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D7F14E7-C133-4CC3-A35C-587FF8C111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TLIST" sheetId="7" r:id="rId1"/>
    <sheet name="INDENT" sheetId="4" r:id="rId2"/>
    <sheet name="Sheet1" sheetId="8" r:id="rId3"/>
  </sheets>
  <definedNames>
    <definedName name="_xlnm._FilterDatabase" localSheetId="0" hidden="1">CUTLIST!$J$1:$P$881</definedName>
  </definedNames>
  <calcPr calcId="191029"/>
</workbook>
</file>

<file path=xl/calcChain.xml><?xml version="1.0" encoding="utf-8"?>
<calcChain xmlns="http://schemas.openxmlformats.org/spreadsheetml/2006/main">
  <c r="J33" i="8" l="1"/>
  <c r="J30" i="8"/>
  <c r="J23" i="8"/>
  <c r="J22" i="8"/>
  <c r="J20" i="8"/>
  <c r="J18" i="8"/>
  <c r="J14" i="8"/>
  <c r="J11" i="8"/>
  <c r="J10" i="8"/>
  <c r="J9" i="8"/>
  <c r="J8" i="8"/>
  <c r="J7" i="8"/>
  <c r="Y9" i="7"/>
  <c r="Y25" i="7"/>
  <c r="Y32" i="7"/>
  <c r="Y47" i="7"/>
  <c r="Y51" i="7"/>
  <c r="Y52" i="7"/>
  <c r="Y82" i="7"/>
  <c r="Y83" i="7"/>
  <c r="Y84" i="7"/>
  <c r="Y85" i="7"/>
  <c r="Y86" i="7"/>
  <c r="Y87" i="7"/>
  <c r="Y88" i="7"/>
  <c r="Y97" i="7"/>
  <c r="Y98" i="7"/>
  <c r="Y196" i="7"/>
  <c r="Y197" i="7"/>
  <c r="Y198" i="7"/>
  <c r="Y206" i="7"/>
  <c r="Y252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83" i="7"/>
  <c r="Y307" i="7"/>
  <c r="Y315" i="7"/>
  <c r="Y322" i="7"/>
  <c r="Y341" i="7"/>
  <c r="Y342" i="7"/>
  <c r="Y348" i="7"/>
  <c r="Y349" i="7"/>
  <c r="Y350" i="7"/>
  <c r="Y351" i="7"/>
  <c r="Y352" i="7"/>
  <c r="Y353" i="7"/>
  <c r="Y354" i="7"/>
  <c r="Y355" i="7"/>
  <c r="Y356" i="7"/>
  <c r="Y363" i="7"/>
  <c r="Y377" i="7"/>
  <c r="Y379" i="7"/>
  <c r="Y392" i="7"/>
  <c r="Y393" i="7"/>
  <c r="Y394" i="7"/>
  <c r="Y395" i="7"/>
  <c r="Y396" i="7"/>
  <c r="Y405" i="7"/>
  <c r="Y406" i="7"/>
  <c r="Y413" i="7"/>
  <c r="Y414" i="7"/>
  <c r="Y415" i="7"/>
  <c r="Y416" i="7"/>
  <c r="Y426" i="7"/>
  <c r="Y429" i="7"/>
  <c r="Y430" i="7"/>
  <c r="Y432" i="7"/>
  <c r="Y433" i="7"/>
  <c r="Y434" i="7"/>
  <c r="Y435" i="7"/>
  <c r="Y436" i="7"/>
  <c r="Y443" i="7"/>
  <c r="Y444" i="7"/>
  <c r="Y446" i="7"/>
  <c r="Y447" i="7"/>
  <c r="Y448" i="7"/>
  <c r="Y449" i="7"/>
  <c r="Y455" i="7"/>
  <c r="Y456" i="7"/>
  <c r="Y458" i="7"/>
  <c r="Y459" i="7"/>
  <c r="Y460" i="7"/>
  <c r="Y461" i="7"/>
  <c r="Y468" i="7"/>
  <c r="Y477" i="7"/>
  <c r="Y480" i="7"/>
  <c r="Y481" i="7"/>
  <c r="Y483" i="7"/>
  <c r="Y484" i="7"/>
  <c r="Y485" i="7"/>
  <c r="Y486" i="7"/>
  <c r="Y487" i="7"/>
  <c r="Y493" i="7"/>
  <c r="Y494" i="7"/>
  <c r="Y496" i="7"/>
  <c r="Y503" i="7"/>
  <c r="Y514" i="7"/>
  <c r="Y519" i="7"/>
  <c r="Y523" i="7"/>
  <c r="Y524" i="7"/>
  <c r="Y525" i="7"/>
  <c r="Y526" i="7"/>
  <c r="Y527" i="7"/>
  <c r="Y528" i="7"/>
  <c r="Y529" i="7"/>
  <c r="Y530" i="7"/>
  <c r="J28" i="8" l="1"/>
  <c r="J27" i="8"/>
  <c r="J26" i="8"/>
  <c r="J21" i="8"/>
  <c r="J19" i="8"/>
  <c r="J17" i="8"/>
  <c r="J16" i="8"/>
  <c r="J15" i="8"/>
  <c r="J13" i="8"/>
  <c r="J12" i="8"/>
  <c r="H95" i="7" l="1"/>
  <c r="H416" i="7" l="1"/>
  <c r="G416" i="7"/>
  <c r="G404" i="7"/>
  <c r="H348" i="7"/>
  <c r="G340" i="7"/>
  <c r="R307" i="7"/>
  <c r="U307" i="7" s="1"/>
  <c r="G307" i="7"/>
  <c r="G289" i="7"/>
  <c r="H289" i="7"/>
  <c r="X289" i="7"/>
  <c r="R197" i="7"/>
  <c r="T197" i="7" s="1"/>
  <c r="X197" i="7"/>
  <c r="C182" i="7"/>
  <c r="R289" i="7" l="1"/>
  <c r="S289" i="7" s="1"/>
  <c r="Y289" i="7"/>
  <c r="G80" i="7"/>
  <c r="X529" i="7"/>
  <c r="X190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1" i="7"/>
  <c r="X192" i="7"/>
  <c r="X193" i="7"/>
  <c r="X194" i="7"/>
  <c r="X195" i="7"/>
  <c r="X196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4" i="7"/>
  <c r="G76" i="7" l="1"/>
  <c r="H73" i="7" l="1"/>
  <c r="G53" i="7"/>
  <c r="G52" i="7"/>
  <c r="D19" i="7"/>
  <c r="D4" i="7"/>
  <c r="G25" i="7"/>
  <c r="H17" i="7"/>
  <c r="C19" i="7" l="1"/>
  <c r="C13" i="7"/>
  <c r="C4" i="7"/>
  <c r="R85" i="7"/>
  <c r="R86" i="7"/>
  <c r="T86" i="7" s="1"/>
  <c r="R88" i="7"/>
  <c r="T88" i="7" s="1"/>
  <c r="R196" i="7"/>
  <c r="T196" i="7" s="1"/>
  <c r="R206" i="7"/>
  <c r="T206" i="7" s="1"/>
  <c r="R252" i="7"/>
  <c r="T252" i="7" s="1"/>
  <c r="R261" i="7"/>
  <c r="T261" i="7" s="1"/>
  <c r="R262" i="7"/>
  <c r="T262" i="7" s="1"/>
  <c r="R263" i="7"/>
  <c r="T263" i="7" s="1"/>
  <c r="R264" i="7"/>
  <c r="T264" i="7" s="1"/>
  <c r="R265" i="7"/>
  <c r="T265" i="7" s="1"/>
  <c r="R322" i="7"/>
  <c r="T322" i="7" s="1"/>
  <c r="R353" i="7"/>
  <c r="T353" i="7" s="1"/>
  <c r="R393" i="7"/>
  <c r="T393" i="7" s="1"/>
  <c r="R394" i="7"/>
  <c r="T394" i="7" s="1"/>
  <c r="R395" i="7"/>
  <c r="T395" i="7" s="1"/>
  <c r="R396" i="7"/>
  <c r="T396" i="7" s="1"/>
  <c r="R414" i="7"/>
  <c r="S414" i="7" s="1"/>
  <c r="R415" i="7"/>
  <c r="T415" i="7" s="1"/>
  <c r="R432" i="7"/>
  <c r="U432" i="7" s="1"/>
  <c r="R433" i="7"/>
  <c r="S433" i="7" s="1"/>
  <c r="R434" i="7"/>
  <c r="U434" i="7" s="1"/>
  <c r="R435" i="7"/>
  <c r="T435" i="7" s="1"/>
  <c r="R436" i="7"/>
  <c r="U436" i="7" s="1"/>
  <c r="R443" i="7"/>
  <c r="S443" i="7" s="1"/>
  <c r="R444" i="7"/>
  <c r="S444" i="7" s="1"/>
  <c r="R446" i="7"/>
  <c r="T446" i="7" s="1"/>
  <c r="R447" i="7"/>
  <c r="T447" i="7" s="1"/>
  <c r="R448" i="7"/>
  <c r="U448" i="7" s="1"/>
  <c r="R449" i="7"/>
  <c r="U449" i="7" s="1"/>
  <c r="R455" i="7"/>
  <c r="S455" i="7" s="1"/>
  <c r="R456" i="7"/>
  <c r="S456" i="7" s="1"/>
  <c r="R459" i="7"/>
  <c r="U459" i="7" s="1"/>
  <c r="R460" i="7"/>
  <c r="U460" i="7" s="1"/>
  <c r="R461" i="7"/>
  <c r="U461" i="7" s="1"/>
  <c r="R468" i="7"/>
  <c r="U468" i="7" s="1"/>
  <c r="R477" i="7"/>
  <c r="S477" i="7" s="1"/>
  <c r="R481" i="7"/>
  <c r="S481" i="7" s="1"/>
  <c r="R483" i="7"/>
  <c r="U483" i="7" s="1"/>
  <c r="R484" i="7"/>
  <c r="S484" i="7" s="1"/>
  <c r="R485" i="7"/>
  <c r="U485" i="7" s="1"/>
  <c r="R486" i="7"/>
  <c r="T486" i="7" s="1"/>
  <c r="R487" i="7"/>
  <c r="U487" i="7" s="1"/>
  <c r="R493" i="7"/>
  <c r="S493" i="7" s="1"/>
  <c r="R494" i="7"/>
  <c r="S494" i="7" s="1"/>
  <c r="R496" i="7"/>
  <c r="T496" i="7" s="1"/>
  <c r="R503" i="7"/>
  <c r="T503" i="7" s="1"/>
  <c r="R523" i="7"/>
  <c r="U523" i="7" s="1"/>
  <c r="R524" i="7"/>
  <c r="U524" i="7" s="1"/>
  <c r="R525" i="7"/>
  <c r="U525" i="7" s="1"/>
  <c r="R526" i="7"/>
  <c r="U526" i="7" s="1"/>
  <c r="R527" i="7"/>
  <c r="U527" i="7" s="1"/>
  <c r="R528" i="7"/>
  <c r="U528" i="7" s="1"/>
  <c r="R529" i="7"/>
  <c r="U529" i="7" s="1"/>
  <c r="H522" i="7" l="1"/>
  <c r="Y522" i="7" s="1"/>
  <c r="G522" i="7"/>
  <c r="H520" i="7"/>
  <c r="H521" i="7" s="1"/>
  <c r="H519" i="7"/>
  <c r="G521" i="7" s="1"/>
  <c r="G519" i="7"/>
  <c r="H518" i="7"/>
  <c r="Y518" i="7" s="1"/>
  <c r="G518" i="7"/>
  <c r="G517" i="7"/>
  <c r="Y517" i="7" s="1"/>
  <c r="H515" i="7"/>
  <c r="H516" i="7" s="1"/>
  <c r="H517" i="7" s="1"/>
  <c r="G515" i="7"/>
  <c r="H514" i="7"/>
  <c r="R514" i="7" s="1"/>
  <c r="U514" i="7" s="1"/>
  <c r="H513" i="7"/>
  <c r="G513" i="7"/>
  <c r="G511" i="7"/>
  <c r="H510" i="7"/>
  <c r="G510" i="7"/>
  <c r="G509" i="7"/>
  <c r="H507" i="7"/>
  <c r="H505" i="7"/>
  <c r="H506" i="7" s="1"/>
  <c r="H508" i="7" s="1"/>
  <c r="G505" i="7"/>
  <c r="D505" i="7"/>
  <c r="H511" i="7" s="1"/>
  <c r="H504" i="7"/>
  <c r="Y504" i="7" s="1"/>
  <c r="G504" i="7"/>
  <c r="H502" i="7"/>
  <c r="H501" i="7"/>
  <c r="G501" i="7"/>
  <c r="G499" i="7"/>
  <c r="H497" i="7"/>
  <c r="H498" i="7" s="1"/>
  <c r="H499" i="7" s="1"/>
  <c r="H500" i="7" s="1"/>
  <c r="G497" i="7"/>
  <c r="Y497" i="7" s="1"/>
  <c r="H495" i="7"/>
  <c r="G495" i="7"/>
  <c r="Y495" i="7" s="1"/>
  <c r="H492" i="7"/>
  <c r="G492" i="7"/>
  <c r="H491" i="7"/>
  <c r="G491" i="7"/>
  <c r="Y491" i="7" s="1"/>
  <c r="H490" i="7"/>
  <c r="G490" i="7"/>
  <c r="Y490" i="7" s="1"/>
  <c r="H488" i="7"/>
  <c r="H489" i="7" s="1"/>
  <c r="G488" i="7"/>
  <c r="Y488" i="7" s="1"/>
  <c r="H482" i="7"/>
  <c r="G482" i="7"/>
  <c r="G480" i="7"/>
  <c r="R480" i="7" s="1"/>
  <c r="S480" i="7" s="1"/>
  <c r="G479" i="7"/>
  <c r="H478" i="7"/>
  <c r="Y478" i="7" s="1"/>
  <c r="H476" i="7"/>
  <c r="H475" i="7"/>
  <c r="G475" i="7"/>
  <c r="Y475" i="7" s="1"/>
  <c r="H474" i="7"/>
  <c r="G474" i="7"/>
  <c r="H473" i="7"/>
  <c r="G473" i="7"/>
  <c r="Y473" i="7" s="1"/>
  <c r="G471" i="7"/>
  <c r="H469" i="7"/>
  <c r="H470" i="7" s="1"/>
  <c r="H471" i="7" s="1"/>
  <c r="H472" i="7" s="1"/>
  <c r="G469" i="7"/>
  <c r="H467" i="7"/>
  <c r="H466" i="7"/>
  <c r="G466" i="7"/>
  <c r="G464" i="7"/>
  <c r="H462" i="7"/>
  <c r="H463" i="7" s="1"/>
  <c r="H464" i="7" s="1"/>
  <c r="H465" i="7" s="1"/>
  <c r="G462" i="7"/>
  <c r="G458" i="7"/>
  <c r="R458" i="7" s="1"/>
  <c r="T458" i="7" s="1"/>
  <c r="H457" i="7"/>
  <c r="G457" i="7"/>
  <c r="Y457" i="7" s="1"/>
  <c r="H454" i="7"/>
  <c r="G454" i="7"/>
  <c r="G452" i="7"/>
  <c r="H450" i="7"/>
  <c r="H451" i="7" s="1"/>
  <c r="H452" i="7" s="1"/>
  <c r="H453" i="7" s="1"/>
  <c r="G450" i="7"/>
  <c r="H445" i="7"/>
  <c r="G445" i="7"/>
  <c r="H442" i="7"/>
  <c r="H441" i="7"/>
  <c r="G441" i="7"/>
  <c r="G439" i="7"/>
  <c r="H437" i="7"/>
  <c r="H438" i="7" s="1"/>
  <c r="H439" i="7" s="1"/>
  <c r="H440" i="7" s="1"/>
  <c r="G437" i="7"/>
  <c r="H431" i="7"/>
  <c r="G431" i="7"/>
  <c r="G430" i="7"/>
  <c r="R430" i="7" s="1"/>
  <c r="S430" i="7" s="1"/>
  <c r="G429" i="7"/>
  <c r="R429" i="7" s="1"/>
  <c r="S429" i="7" s="1"/>
  <c r="H427" i="7"/>
  <c r="H428" i="7" s="1"/>
  <c r="H426" i="7"/>
  <c r="G428" i="7" s="1"/>
  <c r="G426" i="7"/>
  <c r="G424" i="7"/>
  <c r="G423" i="7"/>
  <c r="H422" i="7"/>
  <c r="G422" i="7"/>
  <c r="Y422" i="7" s="1"/>
  <c r="G420" i="7"/>
  <c r="G418" i="7"/>
  <c r="E418" i="7"/>
  <c r="H425" i="7" s="1"/>
  <c r="H417" i="7"/>
  <c r="G413" i="7"/>
  <c r="R413" i="7" s="1"/>
  <c r="T413" i="7" s="1"/>
  <c r="G412" i="7"/>
  <c r="H410" i="7"/>
  <c r="H411" i="7" s="1"/>
  <c r="G410" i="7"/>
  <c r="Y410" i="7" s="1"/>
  <c r="H409" i="7"/>
  <c r="Y409" i="7" s="1"/>
  <c r="G409" i="7"/>
  <c r="H407" i="7"/>
  <c r="H408" i="7" s="1"/>
  <c r="H406" i="7"/>
  <c r="G408" i="7" s="1"/>
  <c r="Y408" i="7" s="1"/>
  <c r="G406" i="7"/>
  <c r="G405" i="7"/>
  <c r="R405" i="7" s="1"/>
  <c r="S405" i="7" s="1"/>
  <c r="G402" i="7"/>
  <c r="H401" i="7"/>
  <c r="G401" i="7"/>
  <c r="G399" i="7"/>
  <c r="G397" i="7"/>
  <c r="E397" i="7"/>
  <c r="G392" i="7"/>
  <c r="R392" i="7" s="1"/>
  <c r="G391" i="7"/>
  <c r="H387" i="7"/>
  <c r="H388" i="7" s="1"/>
  <c r="H389" i="7" s="1"/>
  <c r="H390" i="7" s="1"/>
  <c r="G387" i="7"/>
  <c r="Y387" i="7" s="1"/>
  <c r="D387" i="7"/>
  <c r="H391" i="7" s="1"/>
  <c r="G386" i="7"/>
  <c r="H385" i="7"/>
  <c r="G384" i="7"/>
  <c r="H380" i="7"/>
  <c r="H381" i="7" s="1"/>
  <c r="H382" i="7" s="1"/>
  <c r="H383" i="7" s="1"/>
  <c r="G380" i="7"/>
  <c r="Y380" i="7" s="1"/>
  <c r="D380" i="7"/>
  <c r="H386" i="7" s="1"/>
  <c r="H379" i="7"/>
  <c r="R379" i="7" s="1"/>
  <c r="S379" i="7" s="1"/>
  <c r="G378" i="7"/>
  <c r="H377" i="7"/>
  <c r="H378" i="7" s="1"/>
  <c r="Y378" i="7" s="1"/>
  <c r="G377" i="7"/>
  <c r="H376" i="7"/>
  <c r="G375" i="7"/>
  <c r="H373" i="7"/>
  <c r="H371" i="7"/>
  <c r="H370" i="7"/>
  <c r="H368" i="7"/>
  <c r="H369" i="7" s="1"/>
  <c r="D368" i="7"/>
  <c r="H375" i="7" s="1"/>
  <c r="Y375" i="7" s="1"/>
  <c r="C368" i="7"/>
  <c r="G374" i="7" s="1"/>
  <c r="H367" i="7"/>
  <c r="H366" i="7"/>
  <c r="G366" i="7"/>
  <c r="Y366" i="7" s="1"/>
  <c r="G365" i="7"/>
  <c r="H364" i="7"/>
  <c r="H365" i="7" s="1"/>
  <c r="G363" i="7"/>
  <c r="H362" i="7"/>
  <c r="G362" i="7"/>
  <c r="H361" i="7"/>
  <c r="G361" i="7"/>
  <c r="H360" i="7"/>
  <c r="G360" i="7"/>
  <c r="H359" i="7"/>
  <c r="G359" i="7"/>
  <c r="H357" i="7"/>
  <c r="H358" i="7" s="1"/>
  <c r="G357" i="7"/>
  <c r="H356" i="7"/>
  <c r="G356" i="7"/>
  <c r="H355" i="7"/>
  <c r="G355" i="7"/>
  <c r="H354" i="7"/>
  <c r="R354" i="7" s="1"/>
  <c r="T354" i="7" s="1"/>
  <c r="G352" i="7"/>
  <c r="R352" i="7" s="1"/>
  <c r="T352" i="7" s="1"/>
  <c r="G351" i="7"/>
  <c r="R351" i="7" s="1"/>
  <c r="S351" i="7" s="1"/>
  <c r="G350" i="7"/>
  <c r="R350" i="7" s="1"/>
  <c r="T350" i="7" s="1"/>
  <c r="G349" i="7"/>
  <c r="R349" i="7" s="1"/>
  <c r="T349" i="7" s="1"/>
  <c r="G348" i="7"/>
  <c r="G345" i="7"/>
  <c r="H342" i="7"/>
  <c r="G344" i="7" s="1"/>
  <c r="G342" i="7"/>
  <c r="H341" i="7"/>
  <c r="G341" i="7"/>
  <c r="E332" i="7"/>
  <c r="H340" i="7" s="1"/>
  <c r="Y340" i="7" s="1"/>
  <c r="D332" i="7"/>
  <c r="C332" i="7"/>
  <c r="G346" i="7" s="1"/>
  <c r="H330" i="7"/>
  <c r="G329" i="7"/>
  <c r="Y329" i="7" s="1"/>
  <c r="H328" i="7"/>
  <c r="G326" i="7"/>
  <c r="E324" i="7"/>
  <c r="H329" i="7" s="1"/>
  <c r="C324" i="7"/>
  <c r="G331" i="7" s="1"/>
  <c r="G321" i="7"/>
  <c r="G320" i="7"/>
  <c r="H319" i="7"/>
  <c r="G318" i="7"/>
  <c r="G316" i="7"/>
  <c r="H315" i="7"/>
  <c r="G313" i="7"/>
  <c r="G312" i="7"/>
  <c r="G308" i="7"/>
  <c r="E308" i="7"/>
  <c r="H323" i="7" s="1"/>
  <c r="D308" i="7"/>
  <c r="H321" i="7" s="1"/>
  <c r="E300" i="7"/>
  <c r="H305" i="7" s="1"/>
  <c r="D300" i="7"/>
  <c r="G305" i="7" s="1"/>
  <c r="Y305" i="7" s="1"/>
  <c r="C300" i="7"/>
  <c r="G306" i="7" s="1"/>
  <c r="E291" i="7"/>
  <c r="H296" i="7" s="1"/>
  <c r="D291" i="7"/>
  <c r="G298" i="7" s="1"/>
  <c r="C291" i="7"/>
  <c r="G299" i="7" s="1"/>
  <c r="H290" i="7"/>
  <c r="G290" i="7"/>
  <c r="H288" i="7"/>
  <c r="G288" i="7"/>
  <c r="Y288" i="7" s="1"/>
  <c r="G286" i="7"/>
  <c r="Y286" i="7" s="1"/>
  <c r="H284" i="7"/>
  <c r="H285" i="7" s="1"/>
  <c r="H286" i="7" s="1"/>
  <c r="H287" i="7" s="1"/>
  <c r="G284" i="7"/>
  <c r="G283" i="7"/>
  <c r="R283" i="7" s="1"/>
  <c r="T283" i="7" s="1"/>
  <c r="G282" i="7"/>
  <c r="G281" i="7"/>
  <c r="H279" i="7"/>
  <c r="H280" i="7" s="1"/>
  <c r="H278" i="7"/>
  <c r="G278" i="7"/>
  <c r="G277" i="7"/>
  <c r="H273" i="7"/>
  <c r="H274" i="7" s="1"/>
  <c r="H275" i="7" s="1"/>
  <c r="H276" i="7" s="1"/>
  <c r="G273" i="7"/>
  <c r="Y273" i="7" s="1"/>
  <c r="D273" i="7"/>
  <c r="G279" i="7" s="1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G260" i="7"/>
  <c r="R260" i="7" s="1"/>
  <c r="T260" i="7" s="1"/>
  <c r="G259" i="7"/>
  <c r="R259" i="7" s="1"/>
  <c r="S259" i="7" s="1"/>
  <c r="H258" i="7"/>
  <c r="G257" i="7"/>
  <c r="Y257" i="7" s="1"/>
  <c r="H253" i="7"/>
  <c r="H254" i="7" s="1"/>
  <c r="H255" i="7" s="1"/>
  <c r="H256" i="7" s="1"/>
  <c r="G253" i="7"/>
  <c r="D253" i="7"/>
  <c r="H257" i="7" s="1"/>
  <c r="H250" i="7"/>
  <c r="H245" i="7"/>
  <c r="H246" i="7" s="1"/>
  <c r="H247" i="7" s="1"/>
  <c r="H248" i="7" s="1"/>
  <c r="D245" i="7"/>
  <c r="G247" i="7" s="1"/>
  <c r="C245" i="7"/>
  <c r="G251" i="7" s="1"/>
  <c r="G244" i="7"/>
  <c r="H240" i="7"/>
  <c r="H241" i="7" s="1"/>
  <c r="H242" i="7" s="1"/>
  <c r="H243" i="7" s="1"/>
  <c r="G240" i="7"/>
  <c r="D240" i="7"/>
  <c r="G242" i="7" s="1"/>
  <c r="H239" i="7"/>
  <c r="G239" i="7"/>
  <c r="H238" i="7"/>
  <c r="G238" i="7"/>
  <c r="H237" i="7"/>
  <c r="G237" i="7"/>
  <c r="Y237" i="7" s="1"/>
  <c r="G235" i="7"/>
  <c r="Y235" i="7" s="1"/>
  <c r="H233" i="7"/>
  <c r="H234" i="7" s="1"/>
  <c r="H235" i="7" s="1"/>
  <c r="H236" i="7" s="1"/>
  <c r="G233" i="7"/>
  <c r="H232" i="7"/>
  <c r="G232" i="7"/>
  <c r="H231" i="7"/>
  <c r="G231" i="7"/>
  <c r="G229" i="7"/>
  <c r="H227" i="7"/>
  <c r="H228" i="7" s="1"/>
  <c r="H229" i="7" s="1"/>
  <c r="H230" i="7" s="1"/>
  <c r="G227" i="7"/>
  <c r="G226" i="7"/>
  <c r="H225" i="7"/>
  <c r="G225" i="7"/>
  <c r="H224" i="7"/>
  <c r="G223" i="7"/>
  <c r="H219" i="7"/>
  <c r="H220" i="7" s="1"/>
  <c r="H221" i="7" s="1"/>
  <c r="H222" i="7" s="1"/>
  <c r="G219" i="7"/>
  <c r="D219" i="7"/>
  <c r="H226" i="7" s="1"/>
  <c r="H218" i="7"/>
  <c r="G218" i="7"/>
  <c r="H217" i="7"/>
  <c r="G217" i="7"/>
  <c r="Y217" i="7" s="1"/>
  <c r="G215" i="7"/>
  <c r="H213" i="7"/>
  <c r="H214" i="7" s="1"/>
  <c r="H215" i="7" s="1"/>
  <c r="H216" i="7" s="1"/>
  <c r="G213" i="7"/>
  <c r="H212" i="7"/>
  <c r="G211" i="7"/>
  <c r="H207" i="7"/>
  <c r="H208" i="7" s="1"/>
  <c r="H209" i="7" s="1"/>
  <c r="H210" i="7" s="1"/>
  <c r="G207" i="7"/>
  <c r="D207" i="7"/>
  <c r="G209" i="7" s="1"/>
  <c r="G205" i="7"/>
  <c r="H204" i="7"/>
  <c r="G203" i="7"/>
  <c r="H199" i="7"/>
  <c r="H200" i="7" s="1"/>
  <c r="H201" i="7" s="1"/>
  <c r="H202" i="7" s="1"/>
  <c r="G199" i="7"/>
  <c r="D199" i="7"/>
  <c r="G198" i="7"/>
  <c r="R198" i="7" s="1"/>
  <c r="T198" i="7" s="1"/>
  <c r="H195" i="7"/>
  <c r="G195" i="7"/>
  <c r="H194" i="7"/>
  <c r="G194" i="7"/>
  <c r="G192" i="7"/>
  <c r="H190" i="7"/>
  <c r="H191" i="7" s="1"/>
  <c r="H192" i="7" s="1"/>
  <c r="H193" i="7" s="1"/>
  <c r="G190" i="7"/>
  <c r="H189" i="7"/>
  <c r="H187" i="7"/>
  <c r="H188" i="7" s="1"/>
  <c r="G187" i="7"/>
  <c r="H186" i="7"/>
  <c r="G184" i="7"/>
  <c r="H182" i="7"/>
  <c r="H183" i="7" s="1"/>
  <c r="H185" i="7" s="1"/>
  <c r="G186" i="7"/>
  <c r="H181" i="7"/>
  <c r="H180" i="7"/>
  <c r="G180" i="7"/>
  <c r="Y180" i="7" s="1"/>
  <c r="H179" i="7"/>
  <c r="G177" i="7"/>
  <c r="H175" i="7"/>
  <c r="H176" i="7" s="1"/>
  <c r="H178" i="7" s="1"/>
  <c r="C175" i="7"/>
  <c r="G181" i="7" s="1"/>
  <c r="G174" i="7"/>
  <c r="H173" i="7"/>
  <c r="G172" i="7"/>
  <c r="H170" i="7"/>
  <c r="H168" i="7"/>
  <c r="H169" i="7" s="1"/>
  <c r="H171" i="7" s="1"/>
  <c r="G168" i="7"/>
  <c r="Y168" i="7" s="1"/>
  <c r="D168" i="7"/>
  <c r="G167" i="7"/>
  <c r="H166" i="7"/>
  <c r="G166" i="7"/>
  <c r="H165" i="7"/>
  <c r="G165" i="7"/>
  <c r="Y165" i="7" s="1"/>
  <c r="H163" i="7"/>
  <c r="G163" i="7"/>
  <c r="Y163" i="7" s="1"/>
  <c r="H161" i="7"/>
  <c r="H162" i="7" s="1"/>
  <c r="H164" i="7" s="1"/>
  <c r="G161" i="7"/>
  <c r="G160" i="7"/>
  <c r="G159" i="7"/>
  <c r="H158" i="7"/>
  <c r="G157" i="7"/>
  <c r="H155" i="7"/>
  <c r="H153" i="7"/>
  <c r="H154" i="7" s="1"/>
  <c r="H156" i="7" s="1"/>
  <c r="G153" i="7"/>
  <c r="D153" i="7"/>
  <c r="H160" i="7" s="1"/>
  <c r="H152" i="7"/>
  <c r="G152" i="7"/>
  <c r="H151" i="7"/>
  <c r="G151" i="7"/>
  <c r="Y151" i="7" s="1"/>
  <c r="H150" i="7"/>
  <c r="G150" i="7"/>
  <c r="Y150" i="7" s="1"/>
  <c r="H148" i="7"/>
  <c r="G148" i="7"/>
  <c r="H146" i="7"/>
  <c r="H147" i="7" s="1"/>
  <c r="H149" i="7" s="1"/>
  <c r="G146" i="7"/>
  <c r="H145" i="7"/>
  <c r="H143" i="7"/>
  <c r="G143" i="7"/>
  <c r="Y143" i="7" s="1"/>
  <c r="H142" i="7"/>
  <c r="H140" i="7"/>
  <c r="G140" i="7"/>
  <c r="H138" i="7"/>
  <c r="H139" i="7" s="1"/>
  <c r="H141" i="7" s="1"/>
  <c r="C138" i="7"/>
  <c r="H137" i="7"/>
  <c r="G135" i="7"/>
  <c r="H133" i="7"/>
  <c r="H134" i="7" s="1"/>
  <c r="H135" i="7" s="1"/>
  <c r="H136" i="7" s="1"/>
  <c r="C133" i="7"/>
  <c r="G137" i="7" s="1"/>
  <c r="Y137" i="7" s="1"/>
  <c r="G132" i="7"/>
  <c r="H131" i="7"/>
  <c r="G131" i="7"/>
  <c r="H130" i="7"/>
  <c r="G129" i="7"/>
  <c r="H127" i="7"/>
  <c r="H125" i="7"/>
  <c r="H126" i="7" s="1"/>
  <c r="H128" i="7" s="1"/>
  <c r="G125" i="7"/>
  <c r="Y125" i="7" s="1"/>
  <c r="D125" i="7"/>
  <c r="H124" i="7"/>
  <c r="G124" i="7"/>
  <c r="H123" i="7"/>
  <c r="G123" i="7"/>
  <c r="H121" i="7"/>
  <c r="G121" i="7"/>
  <c r="H119" i="7"/>
  <c r="H120" i="7" s="1"/>
  <c r="H122" i="7" s="1"/>
  <c r="G119" i="7"/>
  <c r="G118" i="7"/>
  <c r="G117" i="7"/>
  <c r="H116" i="7"/>
  <c r="H117" i="7" s="1"/>
  <c r="G116" i="7"/>
  <c r="H114" i="7"/>
  <c r="G114" i="7"/>
  <c r="Y114" i="7" s="1"/>
  <c r="H113" i="7"/>
  <c r="G113" i="7"/>
  <c r="H111" i="7"/>
  <c r="G111" i="7"/>
  <c r="H109" i="7"/>
  <c r="H110" i="7" s="1"/>
  <c r="H112" i="7" s="1"/>
  <c r="G109" i="7"/>
  <c r="G108" i="7"/>
  <c r="G107" i="7"/>
  <c r="H106" i="7"/>
  <c r="H107" i="7" s="1"/>
  <c r="G106" i="7"/>
  <c r="H104" i="7"/>
  <c r="G104" i="7"/>
  <c r="Y104" i="7" s="1"/>
  <c r="H103" i="7"/>
  <c r="G103" i="7"/>
  <c r="H101" i="7"/>
  <c r="G101" i="7"/>
  <c r="H99" i="7"/>
  <c r="H100" i="7" s="1"/>
  <c r="H102" i="7" s="1"/>
  <c r="G99" i="7"/>
  <c r="G98" i="7"/>
  <c r="R98" i="7" s="1"/>
  <c r="T98" i="7" s="1"/>
  <c r="H97" i="7"/>
  <c r="R97" i="7" s="1"/>
  <c r="T97" i="7" s="1"/>
  <c r="H94" i="7"/>
  <c r="H91" i="7"/>
  <c r="H89" i="7"/>
  <c r="H90" i="7" s="1"/>
  <c r="H92" i="7" s="1"/>
  <c r="D89" i="7"/>
  <c r="C89" i="7"/>
  <c r="G87" i="7"/>
  <c r="R87" i="7" s="1"/>
  <c r="T87" i="7" s="1"/>
  <c r="T883" i="7" s="1"/>
  <c r="T884" i="7" s="1"/>
  <c r="H84" i="7"/>
  <c r="R84" i="7" s="1"/>
  <c r="T84" i="7" s="1"/>
  <c r="G83" i="7"/>
  <c r="R83" i="7" s="1"/>
  <c r="T83" i="7" s="1"/>
  <c r="G82" i="7"/>
  <c r="R82" i="7" s="1"/>
  <c r="H81" i="7"/>
  <c r="G81" i="7"/>
  <c r="Y81" i="7" s="1"/>
  <c r="H80" i="7"/>
  <c r="G79" i="7"/>
  <c r="G78" i="7"/>
  <c r="H76" i="7"/>
  <c r="Y76" i="7" s="1"/>
  <c r="G77" i="7"/>
  <c r="H74" i="7"/>
  <c r="H75" i="7" s="1"/>
  <c r="G74" i="7"/>
  <c r="G73" i="7"/>
  <c r="G71" i="7"/>
  <c r="H69" i="7"/>
  <c r="H70" i="7" s="1"/>
  <c r="H71" i="7" s="1"/>
  <c r="H72" i="7" s="1"/>
  <c r="G69" i="7"/>
  <c r="H67" i="7"/>
  <c r="H68" i="7" s="1"/>
  <c r="G67" i="7"/>
  <c r="Y67" i="7" s="1"/>
  <c r="H66" i="7"/>
  <c r="G66" i="7"/>
  <c r="G64" i="7"/>
  <c r="H62" i="7"/>
  <c r="H63" i="7" s="1"/>
  <c r="H64" i="7" s="1"/>
  <c r="H65" i="7" s="1"/>
  <c r="G62" i="7"/>
  <c r="Y62" i="7" s="1"/>
  <c r="H61" i="7"/>
  <c r="G61" i="7"/>
  <c r="H60" i="7"/>
  <c r="H59" i="7"/>
  <c r="G59" i="7"/>
  <c r="H58" i="7"/>
  <c r="G58" i="7"/>
  <c r="G56" i="7"/>
  <c r="H54" i="7"/>
  <c r="H55" i="7" s="1"/>
  <c r="H56" i="7" s="1"/>
  <c r="H57" i="7" s="1"/>
  <c r="G54" i="7"/>
  <c r="H52" i="7"/>
  <c r="H51" i="7"/>
  <c r="G51" i="7"/>
  <c r="G50" i="7"/>
  <c r="H47" i="7"/>
  <c r="G49" i="7" s="1"/>
  <c r="G47" i="7"/>
  <c r="H46" i="7"/>
  <c r="G46" i="7"/>
  <c r="G45" i="7"/>
  <c r="H44" i="7"/>
  <c r="H43" i="7"/>
  <c r="H41" i="7"/>
  <c r="H42" i="7" s="1"/>
  <c r="G41" i="7"/>
  <c r="D41" i="7"/>
  <c r="H40" i="7"/>
  <c r="G40" i="7"/>
  <c r="H39" i="7"/>
  <c r="G38" i="7"/>
  <c r="H36" i="7"/>
  <c r="H37" i="7" s="1"/>
  <c r="H38" i="7" s="1"/>
  <c r="G36" i="7"/>
  <c r="Y36" i="7" s="1"/>
  <c r="G35" i="7"/>
  <c r="H32" i="7"/>
  <c r="G34" i="7" s="1"/>
  <c r="G32" i="7"/>
  <c r="H31" i="7"/>
  <c r="G31" i="7"/>
  <c r="Y31" i="7" s="1"/>
  <c r="G30" i="7"/>
  <c r="H29" i="7"/>
  <c r="H28" i="7"/>
  <c r="H26" i="7"/>
  <c r="H27" i="7" s="1"/>
  <c r="G26" i="7"/>
  <c r="Y26" i="7" s="1"/>
  <c r="D26" i="7"/>
  <c r="H35" i="7" s="1"/>
  <c r="H25" i="7"/>
  <c r="R25" i="7" s="1"/>
  <c r="S25" i="7" s="1"/>
  <c r="H24" i="7"/>
  <c r="H19" i="7"/>
  <c r="H20" i="7" s="1"/>
  <c r="H21" i="7" s="1"/>
  <c r="H22" i="7" s="1"/>
  <c r="G24" i="7"/>
  <c r="G23" i="7"/>
  <c r="H18" i="7"/>
  <c r="G18" i="7"/>
  <c r="Y18" i="7" s="1"/>
  <c r="G15" i="7"/>
  <c r="Y15" i="7" s="1"/>
  <c r="H13" i="7"/>
  <c r="H14" i="7" s="1"/>
  <c r="H15" i="7" s="1"/>
  <c r="H16" i="7" s="1"/>
  <c r="H12" i="7"/>
  <c r="H10" i="7"/>
  <c r="H11" i="7" s="1"/>
  <c r="H9" i="7"/>
  <c r="G10" i="7"/>
  <c r="H8" i="7"/>
  <c r="G6" i="7"/>
  <c r="Y6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H4" i="7"/>
  <c r="H5" i="7" s="1"/>
  <c r="H6" i="7" s="1"/>
  <c r="H7" i="7" s="1"/>
  <c r="G12" i="7"/>
  <c r="Y12" i="7" s="1"/>
  <c r="Y41" i="7" l="1"/>
  <c r="Y58" i="7"/>
  <c r="Y101" i="7"/>
  <c r="Y121" i="7"/>
  <c r="Y187" i="7"/>
  <c r="Y195" i="7"/>
  <c r="Y231" i="7"/>
  <c r="Y360" i="7"/>
  <c r="Y445" i="7"/>
  <c r="Y469" i="7"/>
  <c r="Y38" i="7"/>
  <c r="Y499" i="7"/>
  <c r="Y69" i="7"/>
  <c r="Y99" i="7"/>
  <c r="Y106" i="7"/>
  <c r="Y113" i="7"/>
  <c r="Y119" i="7"/>
  <c r="Y153" i="7"/>
  <c r="Y194" i="7"/>
  <c r="Y213" i="7"/>
  <c r="Y219" i="7"/>
  <c r="Y240" i="7"/>
  <c r="Y253" i="7"/>
  <c r="Y278" i="7"/>
  <c r="Y359" i="7"/>
  <c r="Y401" i="7"/>
  <c r="Y510" i="7"/>
  <c r="Y238" i="7"/>
  <c r="Y511" i="7"/>
  <c r="Y111" i="7"/>
  <c r="Y124" i="7"/>
  <c r="Y131" i="7"/>
  <c r="Y199" i="7"/>
  <c r="Y226" i="7"/>
  <c r="Y233" i="7"/>
  <c r="Y431" i="7"/>
  <c r="Y321" i="7"/>
  <c r="Y117" i="7"/>
  <c r="Y160" i="7"/>
  <c r="Y181" i="7"/>
  <c r="Y35" i="7"/>
  <c r="R205" i="7"/>
  <c r="T205" i="7" s="1"/>
  <c r="Y205" i="7"/>
  <c r="Y10" i="7"/>
  <c r="Y64" i="7"/>
  <c r="R73" i="7"/>
  <c r="S73" i="7" s="1"/>
  <c r="Y73" i="7"/>
  <c r="R108" i="7"/>
  <c r="T108" i="7" s="1"/>
  <c r="Y108" i="7"/>
  <c r="Y135" i="7"/>
  <c r="Y209" i="7"/>
  <c r="Y290" i="7"/>
  <c r="Y391" i="7"/>
  <c r="R412" i="7"/>
  <c r="T412" i="7" s="1"/>
  <c r="Y412" i="7"/>
  <c r="R513" i="7"/>
  <c r="U513" i="7" s="1"/>
  <c r="Y513" i="7"/>
  <c r="Y229" i="7"/>
  <c r="R80" i="7"/>
  <c r="S80" i="7" s="1"/>
  <c r="Y80" i="7"/>
  <c r="Y365" i="7"/>
  <c r="Y24" i="7"/>
  <c r="Y59" i="7"/>
  <c r="Y66" i="7"/>
  <c r="Y74" i="7"/>
  <c r="Y103" i="7"/>
  <c r="Y109" i="7"/>
  <c r="Y116" i="7"/>
  <c r="Y123" i="7"/>
  <c r="Y207" i="7"/>
  <c r="Y225" i="7"/>
  <c r="Y232" i="7"/>
  <c r="Y247" i="7"/>
  <c r="Y279" i="7"/>
  <c r="R282" i="7"/>
  <c r="T282" i="7" s="1"/>
  <c r="Y282" i="7"/>
  <c r="Y361" i="7"/>
  <c r="Y437" i="7"/>
  <c r="Y450" i="7"/>
  <c r="Y462" i="7"/>
  <c r="Y471" i="7"/>
  <c r="Y505" i="7"/>
  <c r="Y521" i="7"/>
  <c r="Y71" i="7"/>
  <c r="Y107" i="7"/>
  <c r="Y215" i="7"/>
  <c r="Y146" i="7"/>
  <c r="Y152" i="7"/>
  <c r="R159" i="7"/>
  <c r="S159" i="7" s="1"/>
  <c r="Y159" i="7"/>
  <c r="Y166" i="7"/>
  <c r="Y190" i="7"/>
  <c r="Y218" i="7"/>
  <c r="Y239" i="7"/>
  <c r="R367" i="7"/>
  <c r="T367" i="7" s="1"/>
  <c r="Y367" i="7"/>
  <c r="Y284" i="7"/>
  <c r="R331" i="7"/>
  <c r="T331" i="7" s="1"/>
  <c r="Y331" i="7"/>
  <c r="Y357" i="7"/>
  <c r="Y362" i="7"/>
  <c r="Y428" i="7"/>
  <c r="Y439" i="7"/>
  <c r="Y452" i="7"/>
  <c r="Y464" i="7"/>
  <c r="Y501" i="7"/>
  <c r="Y515" i="7"/>
  <c r="Y56" i="7"/>
  <c r="Y186" i="7"/>
  <c r="Y40" i="7"/>
  <c r="Y46" i="7"/>
  <c r="Y54" i="7"/>
  <c r="Y61" i="7"/>
  <c r="Y140" i="7"/>
  <c r="Y148" i="7"/>
  <c r="Y161" i="7"/>
  <c r="R167" i="7"/>
  <c r="T167" i="7" s="1"/>
  <c r="Y167" i="7"/>
  <c r="Y192" i="7"/>
  <c r="Y227" i="7"/>
  <c r="Y242" i="7"/>
  <c r="Y386" i="7"/>
  <c r="Y441" i="7"/>
  <c r="Y454" i="7"/>
  <c r="Y466" i="7"/>
  <c r="Y474" i="7"/>
  <c r="Y482" i="7"/>
  <c r="Y492" i="7"/>
  <c r="R51" i="7"/>
  <c r="V51" i="7" s="1"/>
  <c r="V883" i="7" s="1"/>
  <c r="V884" i="7" s="1"/>
  <c r="H397" i="7"/>
  <c r="H398" i="7" s="1"/>
  <c r="H399" i="7" s="1"/>
  <c r="H400" i="7" s="1"/>
  <c r="H404" i="7"/>
  <c r="G92" i="7"/>
  <c r="H96" i="7"/>
  <c r="R341" i="7"/>
  <c r="S341" i="7" s="1"/>
  <c r="R522" i="7"/>
  <c r="T522" i="7" s="1"/>
  <c r="R12" i="7"/>
  <c r="T12" i="7" s="1"/>
  <c r="R266" i="7"/>
  <c r="T266" i="7" s="1"/>
  <c r="R268" i="7"/>
  <c r="T268" i="7" s="1"/>
  <c r="R270" i="7"/>
  <c r="T270" i="7" s="1"/>
  <c r="R272" i="7"/>
  <c r="T272" i="7" s="1"/>
  <c r="R355" i="7"/>
  <c r="T355" i="7" s="1"/>
  <c r="R377" i="7"/>
  <c r="T377" i="7" s="1"/>
  <c r="R47" i="7"/>
  <c r="S47" i="7" s="1"/>
  <c r="R267" i="7"/>
  <c r="T267" i="7" s="1"/>
  <c r="R269" i="7"/>
  <c r="T269" i="7" s="1"/>
  <c r="R271" i="7"/>
  <c r="T271" i="7" s="1"/>
  <c r="R409" i="7"/>
  <c r="S409" i="7" s="1"/>
  <c r="H418" i="7"/>
  <c r="H419" i="7" s="1"/>
  <c r="H420" i="7" s="1"/>
  <c r="H421" i="7" s="1"/>
  <c r="G11" i="7"/>
  <c r="Y11" i="7" s="1"/>
  <c r="R9" i="7"/>
  <c r="S9" i="7" s="1"/>
  <c r="H291" i="7"/>
  <c r="H292" i="7" s="1"/>
  <c r="H294" i="7" s="1"/>
  <c r="R375" i="7"/>
  <c r="T375" i="7" s="1"/>
  <c r="R378" i="7"/>
  <c r="T378" i="7" s="1"/>
  <c r="A196" i="7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G33" i="7"/>
  <c r="R32" i="7"/>
  <c r="S32" i="7" s="1"/>
  <c r="G48" i="7"/>
  <c r="H53" i="7"/>
  <c r="R52" i="7"/>
  <c r="S52" i="7" s="1"/>
  <c r="G317" i="7"/>
  <c r="R315" i="7"/>
  <c r="S315" i="7" s="1"/>
  <c r="R356" i="7"/>
  <c r="T356" i="7" s="1"/>
  <c r="G364" i="7"/>
  <c r="R363" i="7"/>
  <c r="S363" i="7" s="1"/>
  <c r="G407" i="7"/>
  <c r="Y407" i="7" s="1"/>
  <c r="R406" i="7"/>
  <c r="S406" i="7" s="1"/>
  <c r="G427" i="7"/>
  <c r="R426" i="7"/>
  <c r="S426" i="7" s="1"/>
  <c r="G343" i="7"/>
  <c r="R342" i="7"/>
  <c r="S342" i="7" s="1"/>
  <c r="R504" i="7"/>
  <c r="T504" i="7" s="1"/>
  <c r="R518" i="7"/>
  <c r="S518" i="7" s="1"/>
  <c r="G417" i="7"/>
  <c r="R416" i="7"/>
  <c r="T416" i="7" s="1"/>
  <c r="G520" i="7"/>
  <c r="R519" i="7"/>
  <c r="S519" i="7" s="1"/>
  <c r="R137" i="7"/>
  <c r="R365" i="7"/>
  <c r="R24" i="7"/>
  <c r="S24" i="7" s="1"/>
  <c r="R18" i="7"/>
  <c r="S18" i="7" s="1"/>
  <c r="R66" i="7"/>
  <c r="R151" i="7"/>
  <c r="S151" i="7" s="1"/>
  <c r="R165" i="7"/>
  <c r="R180" i="7"/>
  <c r="S180" i="7" s="1"/>
  <c r="R217" i="7"/>
  <c r="R238" i="7"/>
  <c r="S238" i="7" s="1"/>
  <c r="R359" i="7"/>
  <c r="T359" i="7" s="1"/>
  <c r="R361" i="7"/>
  <c r="R401" i="7"/>
  <c r="R422" i="7"/>
  <c r="R457" i="7"/>
  <c r="R473" i="7"/>
  <c r="R491" i="7"/>
  <c r="S491" i="7" s="1"/>
  <c r="R495" i="7"/>
  <c r="R61" i="7"/>
  <c r="S61" i="7" s="1"/>
  <c r="R81" i="7"/>
  <c r="S81" i="7" s="1"/>
  <c r="R107" i="7"/>
  <c r="T107" i="7" s="1"/>
  <c r="R117" i="7"/>
  <c r="T117" i="7" s="1"/>
  <c r="R124" i="7"/>
  <c r="T124" i="7" s="1"/>
  <c r="R131" i="7"/>
  <c r="S131" i="7" s="1"/>
  <c r="R160" i="7"/>
  <c r="T160" i="7" s="1"/>
  <c r="R186" i="7"/>
  <c r="R195" i="7"/>
  <c r="T195" i="7" s="1"/>
  <c r="R226" i="7"/>
  <c r="T226" i="7" s="1"/>
  <c r="R231" i="7"/>
  <c r="R257" i="7"/>
  <c r="R366" i="7"/>
  <c r="T366" i="7" s="1"/>
  <c r="R386" i="7"/>
  <c r="T386" i="7" s="1"/>
  <c r="R391" i="7"/>
  <c r="R408" i="7"/>
  <c r="R510" i="7"/>
  <c r="S510" i="7" s="1"/>
  <c r="R517" i="7"/>
  <c r="U517" i="7" s="1"/>
  <c r="R521" i="7"/>
  <c r="R181" i="7"/>
  <c r="T181" i="7" s="1"/>
  <c r="G16" i="7"/>
  <c r="R15" i="7"/>
  <c r="S15" i="7" s="1"/>
  <c r="G122" i="7"/>
  <c r="R121" i="7"/>
  <c r="S121" i="7" s="1"/>
  <c r="G144" i="7"/>
  <c r="R143" i="7"/>
  <c r="S143" i="7" s="1"/>
  <c r="G188" i="7"/>
  <c r="R187" i="7"/>
  <c r="T187" i="7" s="1"/>
  <c r="G234" i="7"/>
  <c r="R233" i="7"/>
  <c r="S233" i="7" s="1"/>
  <c r="G285" i="7"/>
  <c r="R284" i="7"/>
  <c r="T284" i="7" s="1"/>
  <c r="G425" i="7"/>
  <c r="G451" i="7"/>
  <c r="R450" i="7"/>
  <c r="T450" i="7" s="1"/>
  <c r="G463" i="7"/>
  <c r="R462" i="7"/>
  <c r="T462" i="7" s="1"/>
  <c r="G506" i="7"/>
  <c r="R505" i="7"/>
  <c r="S505" i="7" s="1"/>
  <c r="G55" i="7"/>
  <c r="R54" i="7"/>
  <c r="S54" i="7" s="1"/>
  <c r="G65" i="7"/>
  <c r="R64" i="7"/>
  <c r="U64" i="7" s="1"/>
  <c r="H77" i="7"/>
  <c r="H78" i="7" s="1"/>
  <c r="H79" i="7" s="1"/>
  <c r="R79" i="7" s="1"/>
  <c r="S79" i="7" s="1"/>
  <c r="R76" i="7"/>
  <c r="S76" i="7" s="1"/>
  <c r="G102" i="7"/>
  <c r="R101" i="7"/>
  <c r="S101" i="7" s="1"/>
  <c r="G105" i="7"/>
  <c r="R104" i="7"/>
  <c r="S104" i="7" s="1"/>
  <c r="G112" i="7"/>
  <c r="R111" i="7"/>
  <c r="S111" i="7" s="1"/>
  <c r="G115" i="7"/>
  <c r="R114" i="7"/>
  <c r="S114" i="7" s="1"/>
  <c r="G381" i="7"/>
  <c r="R380" i="7"/>
  <c r="T380" i="7" s="1"/>
  <c r="G438" i="7"/>
  <c r="R437" i="7"/>
  <c r="S437" i="7" s="1"/>
  <c r="G472" i="7"/>
  <c r="R471" i="7"/>
  <c r="S471" i="7" s="1"/>
  <c r="G141" i="7"/>
  <c r="R140" i="7"/>
  <c r="S140" i="7" s="1"/>
  <c r="G149" i="7"/>
  <c r="R148" i="7"/>
  <c r="S148" i="7" s="1"/>
  <c r="G162" i="7"/>
  <c r="R161" i="7"/>
  <c r="S161" i="7" s="1"/>
  <c r="G210" i="7"/>
  <c r="R209" i="7"/>
  <c r="S209" i="7" s="1"/>
  <c r="G327" i="7"/>
  <c r="G476" i="7"/>
  <c r="R475" i="7"/>
  <c r="S475" i="7" s="1"/>
  <c r="R31" i="7"/>
  <c r="S31" i="7" s="1"/>
  <c r="R35" i="7"/>
  <c r="T35" i="7" s="1"/>
  <c r="G42" i="7"/>
  <c r="R41" i="7"/>
  <c r="S41" i="7" s="1"/>
  <c r="G57" i="7"/>
  <c r="R56" i="7"/>
  <c r="S56" i="7" s="1"/>
  <c r="G63" i="7"/>
  <c r="R62" i="7"/>
  <c r="U62" i="7" s="1"/>
  <c r="G100" i="7"/>
  <c r="R99" i="7"/>
  <c r="S99" i="7" s="1"/>
  <c r="R103" i="7"/>
  <c r="R106" i="7"/>
  <c r="T106" i="7" s="1"/>
  <c r="G110" i="7"/>
  <c r="R109" i="7"/>
  <c r="S109" i="7" s="1"/>
  <c r="R113" i="7"/>
  <c r="R116" i="7"/>
  <c r="T116" i="7" s="1"/>
  <c r="G120" i="7"/>
  <c r="R119" i="7"/>
  <c r="S119" i="7" s="1"/>
  <c r="R123" i="7"/>
  <c r="G154" i="7"/>
  <c r="R153" i="7"/>
  <c r="T153" i="7" s="1"/>
  <c r="G185" i="7"/>
  <c r="R194" i="7"/>
  <c r="G208" i="7"/>
  <c r="R207" i="7"/>
  <c r="T207" i="7" s="1"/>
  <c r="G214" i="7"/>
  <c r="R213" i="7"/>
  <c r="T213" i="7" s="1"/>
  <c r="G220" i="7"/>
  <c r="R219" i="7"/>
  <c r="S219" i="7" s="1"/>
  <c r="R225" i="7"/>
  <c r="S225" i="7" s="1"/>
  <c r="R232" i="7"/>
  <c r="S232" i="7" s="1"/>
  <c r="G236" i="7"/>
  <c r="R235" i="7"/>
  <c r="S235" i="7" s="1"/>
  <c r="G241" i="7"/>
  <c r="R240" i="7"/>
  <c r="T240" i="7" s="1"/>
  <c r="G248" i="7"/>
  <c r="R247" i="7"/>
  <c r="S247" i="7" s="1"/>
  <c r="G254" i="7"/>
  <c r="R253" i="7"/>
  <c r="S253" i="7" s="1"/>
  <c r="R279" i="7"/>
  <c r="S279" i="7" s="1"/>
  <c r="R278" i="7"/>
  <c r="S278" i="7" s="1"/>
  <c r="G287" i="7"/>
  <c r="R286" i="7"/>
  <c r="S286" i="7" s="1"/>
  <c r="R305" i="7"/>
  <c r="S305" i="7" s="1"/>
  <c r="G309" i="7"/>
  <c r="R321" i="7"/>
  <c r="T321" i="7" s="1"/>
  <c r="R348" i="7"/>
  <c r="S348" i="7" s="1"/>
  <c r="R340" i="7"/>
  <c r="S340" i="7" s="1"/>
  <c r="G388" i="7"/>
  <c r="R387" i="7"/>
  <c r="T387" i="7" s="1"/>
  <c r="G419" i="7"/>
  <c r="R428" i="7"/>
  <c r="R431" i="7"/>
  <c r="T431" i="7" s="1"/>
  <c r="G440" i="7"/>
  <c r="Y440" i="7" s="1"/>
  <c r="R439" i="7"/>
  <c r="S439" i="7" s="1"/>
  <c r="R445" i="7"/>
  <c r="G453" i="7"/>
  <c r="R452" i="7"/>
  <c r="S452" i="7" s="1"/>
  <c r="G465" i="7"/>
  <c r="Y465" i="7" s="1"/>
  <c r="R464" i="7"/>
  <c r="T464" i="7" s="1"/>
  <c r="G470" i="7"/>
  <c r="R469" i="7"/>
  <c r="S469" i="7" s="1"/>
  <c r="R501" i="7"/>
  <c r="R511" i="7"/>
  <c r="T511" i="7" s="1"/>
  <c r="G516" i="7"/>
  <c r="R515" i="7"/>
  <c r="U515" i="7" s="1"/>
  <c r="G200" i="7"/>
  <c r="R199" i="7"/>
  <c r="S199" i="7" s="1"/>
  <c r="G216" i="7"/>
  <c r="R215" i="7"/>
  <c r="T215" i="7" s="1"/>
  <c r="G400" i="7"/>
  <c r="G421" i="7"/>
  <c r="H479" i="7"/>
  <c r="R479" i="7" s="1"/>
  <c r="R478" i="7"/>
  <c r="S478" i="7" s="1"/>
  <c r="G27" i="7"/>
  <c r="R26" i="7"/>
  <c r="S26" i="7" s="1"/>
  <c r="G39" i="7"/>
  <c r="R38" i="7"/>
  <c r="S38" i="7" s="1"/>
  <c r="G60" i="7"/>
  <c r="R59" i="7"/>
  <c r="S59" i="7" s="1"/>
  <c r="G70" i="7"/>
  <c r="R69" i="7"/>
  <c r="S69" i="7" s="1"/>
  <c r="G75" i="7"/>
  <c r="R74" i="7"/>
  <c r="S74" i="7" s="1"/>
  <c r="G136" i="7"/>
  <c r="R135" i="7"/>
  <c r="T135" i="7" s="1"/>
  <c r="G193" i="7"/>
  <c r="R192" i="7"/>
  <c r="S192" i="7" s="1"/>
  <c r="G228" i="7"/>
  <c r="R227" i="7"/>
  <c r="S227" i="7" s="1"/>
  <c r="G243" i="7"/>
  <c r="R242" i="7"/>
  <c r="T242" i="7" s="1"/>
  <c r="G347" i="7"/>
  <c r="G489" i="7"/>
  <c r="R488" i="7"/>
  <c r="S488" i="7" s="1"/>
  <c r="G500" i="7"/>
  <c r="Y500" i="7" s="1"/>
  <c r="R499" i="7"/>
  <c r="U499" i="7" s="1"/>
  <c r="R10" i="7"/>
  <c r="S10" i="7" s="1"/>
  <c r="G37" i="7"/>
  <c r="R36" i="7"/>
  <c r="S36" i="7" s="1"/>
  <c r="R40" i="7"/>
  <c r="R46" i="7"/>
  <c r="S46" i="7" s="1"/>
  <c r="R58" i="7"/>
  <c r="G68" i="7"/>
  <c r="R67" i="7"/>
  <c r="U67" i="7" s="1"/>
  <c r="G72" i="7"/>
  <c r="R71" i="7"/>
  <c r="S71" i="7" s="1"/>
  <c r="G126" i="7"/>
  <c r="R125" i="7"/>
  <c r="S125" i="7" s="1"/>
  <c r="G147" i="7"/>
  <c r="R146" i="7"/>
  <c r="S146" i="7" s="1"/>
  <c r="R150" i="7"/>
  <c r="R152" i="7"/>
  <c r="T152" i="7" s="1"/>
  <c r="G164" i="7"/>
  <c r="R163" i="7"/>
  <c r="S163" i="7" s="1"/>
  <c r="R166" i="7"/>
  <c r="T166" i="7" s="1"/>
  <c r="G169" i="7"/>
  <c r="R168" i="7"/>
  <c r="S168" i="7" s="1"/>
  <c r="G178" i="7"/>
  <c r="G191" i="7"/>
  <c r="R190" i="7"/>
  <c r="S190" i="7" s="1"/>
  <c r="R218" i="7"/>
  <c r="T218" i="7" s="1"/>
  <c r="G230" i="7"/>
  <c r="R229" i="7"/>
  <c r="S229" i="7" s="1"/>
  <c r="R237" i="7"/>
  <c r="R239" i="7"/>
  <c r="T239" i="7" s="1"/>
  <c r="G274" i="7"/>
  <c r="R273" i="7"/>
  <c r="S273" i="7" s="1"/>
  <c r="R288" i="7"/>
  <c r="R290" i="7"/>
  <c r="T290" i="7" s="1"/>
  <c r="R329" i="7"/>
  <c r="S329" i="7" s="1"/>
  <c r="G358" i="7"/>
  <c r="R357" i="7"/>
  <c r="T357" i="7" s="1"/>
  <c r="R360" i="7"/>
  <c r="S360" i="7" s="1"/>
  <c r="R362" i="7"/>
  <c r="T362" i="7" s="1"/>
  <c r="G398" i="7"/>
  <c r="G403" i="7"/>
  <c r="G411" i="7"/>
  <c r="R410" i="7"/>
  <c r="T410" i="7" s="1"/>
  <c r="R441" i="7"/>
  <c r="R454" i="7"/>
  <c r="R466" i="7"/>
  <c r="R474" i="7"/>
  <c r="S474" i="7" s="1"/>
  <c r="R482" i="7"/>
  <c r="T482" i="7" s="1"/>
  <c r="R490" i="7"/>
  <c r="T490" i="7" s="1"/>
  <c r="R492" i="7"/>
  <c r="G498" i="7"/>
  <c r="R497" i="7"/>
  <c r="U497" i="7" s="1"/>
  <c r="G7" i="7"/>
  <c r="R6" i="7"/>
  <c r="S6" i="7" s="1"/>
  <c r="G300" i="7"/>
  <c r="H249" i="7"/>
  <c r="H23" i="7"/>
  <c r="R23" i="7" s="1"/>
  <c r="G250" i="7"/>
  <c r="H281" i="7"/>
  <c r="R281" i="7" s="1"/>
  <c r="T281" i="7" s="1"/>
  <c r="G297" i="7"/>
  <c r="G314" i="7"/>
  <c r="H346" i="7"/>
  <c r="H347" i="7" s="1"/>
  <c r="G385" i="7"/>
  <c r="H299" i="7"/>
  <c r="R299" i="7" s="1"/>
  <c r="U299" i="7" s="1"/>
  <c r="H336" i="7"/>
  <c r="H251" i="7"/>
  <c r="R251" i="7" s="1"/>
  <c r="T251" i="7" s="1"/>
  <c r="H277" i="7"/>
  <c r="R277" i="7" s="1"/>
  <c r="G280" i="7"/>
  <c r="G304" i="7"/>
  <c r="H320" i="7"/>
  <c r="R320" i="7" s="1"/>
  <c r="T320" i="7" s="1"/>
  <c r="H343" i="7"/>
  <c r="H344" i="7" s="1"/>
  <c r="R344" i="7" s="1"/>
  <c r="G19" i="7"/>
  <c r="Y19" i="7" s="1"/>
  <c r="G133" i="7"/>
  <c r="Y133" i="7" s="1"/>
  <c r="G155" i="7"/>
  <c r="Y155" i="7" s="1"/>
  <c r="G175" i="7"/>
  <c r="Y175" i="7" s="1"/>
  <c r="G212" i="7"/>
  <c r="H223" i="7"/>
  <c r="R223" i="7" s="1"/>
  <c r="G258" i="7"/>
  <c r="G291" i="7"/>
  <c r="Y291" i="7" s="1"/>
  <c r="H295" i="7"/>
  <c r="G302" i="7"/>
  <c r="H316" i="7"/>
  <c r="H317" i="7" s="1"/>
  <c r="G382" i="7"/>
  <c r="Y382" i="7" s="1"/>
  <c r="G28" i="7"/>
  <c r="Y28" i="7" s="1"/>
  <c r="G189" i="7"/>
  <c r="G376" i="7"/>
  <c r="G21" i="7"/>
  <c r="Y21" i="7" s="1"/>
  <c r="H30" i="7"/>
  <c r="R30" i="7" s="1"/>
  <c r="G221" i="7"/>
  <c r="Y221" i="7" s="1"/>
  <c r="H244" i="7"/>
  <c r="R244" i="7" s="1"/>
  <c r="G275" i="7"/>
  <c r="Y275" i="7" s="1"/>
  <c r="G293" i="7"/>
  <c r="H297" i="7"/>
  <c r="H298" i="7" s="1"/>
  <c r="R298" i="7" s="1"/>
  <c r="S298" i="7" s="1"/>
  <c r="G310" i="7"/>
  <c r="H318" i="7"/>
  <c r="R318" i="7" s="1"/>
  <c r="T318" i="7" s="1"/>
  <c r="H324" i="7"/>
  <c r="H325" i="7" s="1"/>
  <c r="H326" i="7" s="1"/>
  <c r="H327" i="7" s="1"/>
  <c r="H345" i="7"/>
  <c r="H157" i="7"/>
  <c r="R157" i="7" s="1"/>
  <c r="T157" i="7" s="1"/>
  <c r="G179" i="7"/>
  <c r="H211" i="7"/>
  <c r="R211" i="7" s="1"/>
  <c r="H293" i="7"/>
  <c r="G323" i="7"/>
  <c r="G370" i="7"/>
  <c r="Y370" i="7" s="1"/>
  <c r="H424" i="7"/>
  <c r="R424" i="7" s="1"/>
  <c r="S424" i="7" s="1"/>
  <c r="G324" i="7"/>
  <c r="G328" i="7"/>
  <c r="G330" i="7"/>
  <c r="G337" i="7"/>
  <c r="G339" i="7"/>
  <c r="H372" i="7"/>
  <c r="H374" i="7"/>
  <c r="R374" i="7" s="1"/>
  <c r="T374" i="7" s="1"/>
  <c r="H384" i="7"/>
  <c r="R384" i="7" s="1"/>
  <c r="G512" i="7"/>
  <c r="H337" i="7"/>
  <c r="H338" i="7" s="1"/>
  <c r="H339" i="7"/>
  <c r="G373" i="7"/>
  <c r="H402" i="7"/>
  <c r="H403" i="7" s="1"/>
  <c r="G332" i="7"/>
  <c r="G334" i="7"/>
  <c r="G336" i="7"/>
  <c r="G389" i="7"/>
  <c r="Y389" i="7" s="1"/>
  <c r="G507" i="7"/>
  <c r="Y507" i="7" s="1"/>
  <c r="H332" i="7"/>
  <c r="H333" i="7" s="1"/>
  <c r="H334" i="7" s="1"/>
  <c r="H335" i="7" s="1"/>
  <c r="G368" i="7"/>
  <c r="Y368" i="7" s="1"/>
  <c r="G372" i="7"/>
  <c r="H423" i="7"/>
  <c r="R423" i="7" s="1"/>
  <c r="S423" i="7" s="1"/>
  <c r="H509" i="7"/>
  <c r="R509" i="7" s="1"/>
  <c r="H45" i="7"/>
  <c r="R45" i="7" s="1"/>
  <c r="G43" i="7"/>
  <c r="Y43" i="7" s="1"/>
  <c r="G93" i="7"/>
  <c r="G89" i="7"/>
  <c r="Y89" i="7" s="1"/>
  <c r="G94" i="7"/>
  <c r="H129" i="7"/>
  <c r="R129" i="7" s="1"/>
  <c r="G127" i="7"/>
  <c r="Y127" i="7" s="1"/>
  <c r="G173" i="7"/>
  <c r="H174" i="7"/>
  <c r="R174" i="7" s="1"/>
  <c r="T174" i="7" s="1"/>
  <c r="H172" i="7"/>
  <c r="R172" i="7" s="1"/>
  <c r="G201" i="7"/>
  <c r="Y201" i="7" s="1"/>
  <c r="G204" i="7"/>
  <c r="H203" i="7"/>
  <c r="R203" i="7" s="1"/>
  <c r="G96" i="7"/>
  <c r="G145" i="7"/>
  <c r="G142" i="7"/>
  <c r="G138" i="7"/>
  <c r="Y138" i="7" s="1"/>
  <c r="H50" i="7"/>
  <c r="R50" i="7" s="1"/>
  <c r="T50" i="7" s="1"/>
  <c r="G170" i="7"/>
  <c r="Y170" i="7" s="1"/>
  <c r="G4" i="7"/>
  <c r="Y4" i="7" s="1"/>
  <c r="G8" i="7"/>
  <c r="G17" i="7"/>
  <c r="G13" i="7"/>
  <c r="Y13" i="7" s="1"/>
  <c r="H93" i="7"/>
  <c r="G95" i="7"/>
  <c r="G91" i="7"/>
  <c r="H118" i="7"/>
  <c r="R118" i="7" s="1"/>
  <c r="T118" i="7" s="1"/>
  <c r="G130" i="7"/>
  <c r="H184" i="7"/>
  <c r="R184" i="7" s="1"/>
  <c r="S184" i="7" s="1"/>
  <c r="H48" i="7"/>
  <c r="H49" i="7" s="1"/>
  <c r="R49" i="7" s="1"/>
  <c r="H132" i="7"/>
  <c r="R132" i="7" s="1"/>
  <c r="T132" i="7" s="1"/>
  <c r="H177" i="7"/>
  <c r="R177" i="7" s="1"/>
  <c r="S177" i="7" s="1"/>
  <c r="H33" i="7"/>
  <c r="H34" i="7" s="1"/>
  <c r="R34" i="7" s="1"/>
  <c r="G158" i="7"/>
  <c r="G224" i="7"/>
  <c r="G255" i="7"/>
  <c r="Y255" i="7" s="1"/>
  <c r="G294" i="7"/>
  <c r="G296" i="7"/>
  <c r="H300" i="7"/>
  <c r="H301" i="7" s="1"/>
  <c r="H303" i="7" s="1"/>
  <c r="H302" i="7"/>
  <c r="H304" i="7"/>
  <c r="H306" i="7"/>
  <c r="R306" i="7" s="1"/>
  <c r="U306" i="7" s="1"/>
  <c r="H308" i="7"/>
  <c r="H309" i="7" s="1"/>
  <c r="H310" i="7" s="1"/>
  <c r="H311" i="7" s="1"/>
  <c r="H312" i="7"/>
  <c r="R312" i="7" s="1"/>
  <c r="H314" i="7"/>
  <c r="G319" i="7"/>
  <c r="G182" i="7"/>
  <c r="Y182" i="7" s="1"/>
  <c r="G245" i="7"/>
  <c r="Y245" i="7" s="1"/>
  <c r="G249" i="7"/>
  <c r="Y249" i="7" s="1"/>
  <c r="G303" i="7"/>
  <c r="G295" i="7"/>
  <c r="H313" i="7"/>
  <c r="R313" i="7" s="1"/>
  <c r="S313" i="7" s="1"/>
  <c r="Y294" i="7" l="1"/>
  <c r="R11" i="7"/>
  <c r="Y419" i="7"/>
  <c r="R420" i="7"/>
  <c r="S420" i="7" s="1"/>
  <c r="R399" i="7"/>
  <c r="S399" i="7" s="1"/>
  <c r="Y277" i="7"/>
  <c r="Y93" i="7"/>
  <c r="Y303" i="7"/>
  <c r="Y324" i="7"/>
  <c r="Y302" i="7"/>
  <c r="Y403" i="7"/>
  <c r="Y48" i="7"/>
  <c r="R397" i="7"/>
  <c r="S397" i="7" s="1"/>
  <c r="Y320" i="7"/>
  <c r="Y423" i="7"/>
  <c r="Y309" i="7"/>
  <c r="Y344" i="7"/>
  <c r="Y418" i="7"/>
  <c r="Y157" i="7"/>
  <c r="Y343" i="7"/>
  <c r="Y399" i="7"/>
  <c r="Y372" i="7"/>
  <c r="Y337" i="7"/>
  <c r="Y293" i="7"/>
  <c r="Y297" i="7"/>
  <c r="Y347" i="7"/>
  <c r="Y174" i="7"/>
  <c r="Y313" i="7"/>
  <c r="Y77" i="7"/>
  <c r="Y374" i="7"/>
  <c r="Y244" i="7"/>
  <c r="Y34" i="7"/>
  <c r="R158" i="7"/>
  <c r="S158" i="7" s="1"/>
  <c r="Y158" i="7"/>
  <c r="R8" i="7"/>
  <c r="Y8" i="7"/>
  <c r="R94" i="7"/>
  <c r="S94" i="7" s="1"/>
  <c r="Y94" i="7"/>
  <c r="R373" i="7"/>
  <c r="S373" i="7" s="1"/>
  <c r="Y373" i="7"/>
  <c r="R136" i="7"/>
  <c r="T136" i="7" s="1"/>
  <c r="Y136" i="7"/>
  <c r="R39" i="7"/>
  <c r="S39" i="7" s="1"/>
  <c r="Y39" i="7"/>
  <c r="R236" i="7"/>
  <c r="S236" i="7" s="1"/>
  <c r="Y236" i="7"/>
  <c r="R208" i="7"/>
  <c r="S208" i="7" s="1"/>
  <c r="Y208" i="7"/>
  <c r="R149" i="7"/>
  <c r="S149" i="7" s="1"/>
  <c r="Y149" i="7"/>
  <c r="R381" i="7"/>
  <c r="S381" i="7" s="1"/>
  <c r="Y381" i="7"/>
  <c r="R102" i="7"/>
  <c r="S102" i="7" s="1"/>
  <c r="Y102" i="7"/>
  <c r="R506" i="7"/>
  <c r="S506" i="7" s="1"/>
  <c r="Y506" i="7"/>
  <c r="Y172" i="7"/>
  <c r="R330" i="7"/>
  <c r="T330" i="7" s="1"/>
  <c r="Y330" i="7"/>
  <c r="R498" i="7"/>
  <c r="U498" i="7" s="1"/>
  <c r="Y498" i="7"/>
  <c r="R358" i="7"/>
  <c r="T358" i="7" s="1"/>
  <c r="Y358" i="7"/>
  <c r="R126" i="7"/>
  <c r="S126" i="7" s="1"/>
  <c r="Y126" i="7"/>
  <c r="R400" i="7"/>
  <c r="S400" i="7" s="1"/>
  <c r="Y400" i="7"/>
  <c r="R63" i="7"/>
  <c r="U63" i="7" s="1"/>
  <c r="Y63" i="7"/>
  <c r="R476" i="7"/>
  <c r="S476" i="7" s="1"/>
  <c r="Y476" i="7"/>
  <c r="R234" i="7"/>
  <c r="T234" i="7" s="1"/>
  <c r="Y234" i="7"/>
  <c r="R16" i="7"/>
  <c r="S16" i="7" s="1"/>
  <c r="Y16" i="7"/>
  <c r="Y317" i="7"/>
  <c r="Y509" i="7"/>
  <c r="Y479" i="7"/>
  <c r="Y129" i="7"/>
  <c r="R212" i="7"/>
  <c r="S212" i="7" s="1"/>
  <c r="Y212" i="7"/>
  <c r="R280" i="7"/>
  <c r="S280" i="7" s="1"/>
  <c r="Y280" i="7"/>
  <c r="R169" i="7"/>
  <c r="S169" i="7" s="1"/>
  <c r="Y169" i="7"/>
  <c r="Y203" i="7"/>
  <c r="Y211" i="7"/>
  <c r="Y23" i="7"/>
  <c r="R130" i="7"/>
  <c r="S130" i="7" s="1"/>
  <c r="Y130" i="7"/>
  <c r="R204" i="7"/>
  <c r="S204" i="7" s="1"/>
  <c r="Y204" i="7"/>
  <c r="R179" i="7"/>
  <c r="Y179" i="7"/>
  <c r="Y295" i="7"/>
  <c r="R224" i="7"/>
  <c r="S224" i="7" s="1"/>
  <c r="Y224" i="7"/>
  <c r="R328" i="7"/>
  <c r="Y328" i="7"/>
  <c r="R250" i="7"/>
  <c r="S250" i="7" s="1"/>
  <c r="Y250" i="7"/>
  <c r="R411" i="7"/>
  <c r="T411" i="7" s="1"/>
  <c r="Y411" i="7"/>
  <c r="R230" i="7"/>
  <c r="S230" i="7" s="1"/>
  <c r="Y230" i="7"/>
  <c r="R37" i="7"/>
  <c r="S37" i="7" s="1"/>
  <c r="Y37" i="7"/>
  <c r="R243" i="7"/>
  <c r="T243" i="7" s="1"/>
  <c r="Y243" i="7"/>
  <c r="R75" i="7"/>
  <c r="S75" i="7" s="1"/>
  <c r="Y75" i="7"/>
  <c r="R27" i="7"/>
  <c r="S27" i="7" s="1"/>
  <c r="Y27" i="7"/>
  <c r="R254" i="7"/>
  <c r="S254" i="7" s="1"/>
  <c r="Y254" i="7"/>
  <c r="R185" i="7"/>
  <c r="T185" i="7" s="1"/>
  <c r="Y185" i="7"/>
  <c r="Y327" i="7"/>
  <c r="R141" i="7"/>
  <c r="S141" i="7" s="1"/>
  <c r="Y141" i="7"/>
  <c r="R115" i="7"/>
  <c r="S115" i="7" s="1"/>
  <c r="Y115" i="7"/>
  <c r="R463" i="7"/>
  <c r="T463" i="7" s="1"/>
  <c r="Y463" i="7"/>
  <c r="R407" i="7"/>
  <c r="S407" i="7" s="1"/>
  <c r="R520" i="7"/>
  <c r="S520" i="7" s="1"/>
  <c r="Y520" i="7"/>
  <c r="R427" i="7"/>
  <c r="S427" i="7" s="1"/>
  <c r="Y427" i="7"/>
  <c r="Y384" i="7"/>
  <c r="Y402" i="7"/>
  <c r="Y177" i="7"/>
  <c r="R345" i="7"/>
  <c r="S345" i="7" s="1"/>
  <c r="Y345" i="7"/>
  <c r="R72" i="7"/>
  <c r="S72" i="7" s="1"/>
  <c r="Y72" i="7"/>
  <c r="R470" i="7"/>
  <c r="U470" i="7" s="1"/>
  <c r="Y470" i="7"/>
  <c r="R110" i="7"/>
  <c r="S110" i="7" s="1"/>
  <c r="Y110" i="7"/>
  <c r="R57" i="7"/>
  <c r="S57" i="7" s="1"/>
  <c r="Y57" i="7"/>
  <c r="R188" i="7"/>
  <c r="T188" i="7" s="1"/>
  <c r="Y188" i="7"/>
  <c r="R53" i="7"/>
  <c r="S53" i="7" s="1"/>
  <c r="Y53" i="7"/>
  <c r="Y336" i="7"/>
  <c r="R220" i="7"/>
  <c r="S220" i="7" s="1"/>
  <c r="Y220" i="7"/>
  <c r="R210" i="7"/>
  <c r="S210" i="7" s="1"/>
  <c r="Y210" i="7"/>
  <c r="R112" i="7"/>
  <c r="S112" i="7" s="1"/>
  <c r="Y112" i="7"/>
  <c r="R65" i="7"/>
  <c r="U65" i="7" s="1"/>
  <c r="Y65" i="7"/>
  <c r="R451" i="7"/>
  <c r="S451" i="7" s="1"/>
  <c r="Y451" i="7"/>
  <c r="Y306" i="7"/>
  <c r="R173" i="7"/>
  <c r="S173" i="7" s="1"/>
  <c r="Y173" i="7"/>
  <c r="Y334" i="7"/>
  <c r="R385" i="7"/>
  <c r="S385" i="7" s="1"/>
  <c r="Y385" i="7"/>
  <c r="Y300" i="7"/>
  <c r="R398" i="7"/>
  <c r="S398" i="7" s="1"/>
  <c r="Y398" i="7"/>
  <c r="R191" i="7"/>
  <c r="T191" i="7" s="1"/>
  <c r="Y191" i="7"/>
  <c r="R68" i="7"/>
  <c r="U68" i="7" s="1"/>
  <c r="Y68" i="7"/>
  <c r="R200" i="7"/>
  <c r="T200" i="7" s="1"/>
  <c r="Y200" i="7"/>
  <c r="R42" i="7"/>
  <c r="S42" i="7" s="1"/>
  <c r="Y42" i="7"/>
  <c r="R425" i="7"/>
  <c r="S425" i="7" s="1"/>
  <c r="Y425" i="7"/>
  <c r="R144" i="7"/>
  <c r="S144" i="7" s="1"/>
  <c r="Y144" i="7"/>
  <c r="R92" i="7"/>
  <c r="S92" i="7" s="1"/>
  <c r="Y92" i="7"/>
  <c r="Y118" i="7"/>
  <c r="Y45" i="7"/>
  <c r="Y312" i="7"/>
  <c r="Y308" i="7"/>
  <c r="Y79" i="7"/>
  <c r="Y424" i="7"/>
  <c r="Y318" i="7"/>
  <c r="Y78" i="7"/>
  <c r="Y281" i="7"/>
  <c r="Y316" i="7"/>
  <c r="R91" i="7"/>
  <c r="S91" i="7" s="1"/>
  <c r="Y91" i="7"/>
  <c r="R512" i="7"/>
  <c r="U512" i="7" s="1"/>
  <c r="Y512" i="7"/>
  <c r="R164" i="7"/>
  <c r="S164" i="7" s="1"/>
  <c r="Y164" i="7"/>
  <c r="R216" i="7"/>
  <c r="T216" i="7" s="1"/>
  <c r="Y216" i="7"/>
  <c r="R95" i="7"/>
  <c r="S95" i="7" s="1"/>
  <c r="Y95" i="7"/>
  <c r="R70" i="7"/>
  <c r="S70" i="7" s="1"/>
  <c r="Y70" i="7"/>
  <c r="R248" i="7"/>
  <c r="S248" i="7" s="1"/>
  <c r="Y248" i="7"/>
  <c r="R472" i="7"/>
  <c r="S472" i="7" s="1"/>
  <c r="Y472" i="7"/>
  <c r="R417" i="7"/>
  <c r="T417" i="7" s="1"/>
  <c r="Y417" i="7"/>
  <c r="Y49" i="7"/>
  <c r="R142" i="7"/>
  <c r="Y142" i="7"/>
  <c r="R145" i="7"/>
  <c r="T145" i="7" s="1"/>
  <c r="Y145" i="7"/>
  <c r="Y332" i="7"/>
  <c r="R323" i="7"/>
  <c r="T323" i="7" s="1"/>
  <c r="Y323" i="7"/>
  <c r="Y310" i="7"/>
  <c r="R376" i="7"/>
  <c r="T376" i="7" s="1"/>
  <c r="Y376" i="7"/>
  <c r="R258" i="7"/>
  <c r="S258" i="7" s="1"/>
  <c r="Y258" i="7"/>
  <c r="R274" i="7"/>
  <c r="S274" i="7" s="1"/>
  <c r="Y274" i="7"/>
  <c r="R178" i="7"/>
  <c r="S178" i="7" s="1"/>
  <c r="Y178" i="7"/>
  <c r="R193" i="7"/>
  <c r="S193" i="7" s="1"/>
  <c r="Y193" i="7"/>
  <c r="R60" i="7"/>
  <c r="S60" i="7" s="1"/>
  <c r="Y60" i="7"/>
  <c r="R287" i="7"/>
  <c r="S287" i="7" s="1"/>
  <c r="Y287" i="7"/>
  <c r="R241" i="7"/>
  <c r="T241" i="7" s="1"/>
  <c r="Y241" i="7"/>
  <c r="R214" i="7"/>
  <c r="T214" i="7" s="1"/>
  <c r="Y214" i="7"/>
  <c r="R162" i="7"/>
  <c r="S162" i="7" s="1"/>
  <c r="Y162" i="7"/>
  <c r="R438" i="7"/>
  <c r="T438" i="7" s="1"/>
  <c r="Y438" i="7"/>
  <c r="R105" i="7"/>
  <c r="S105" i="7" s="1"/>
  <c r="Y105" i="7"/>
  <c r="R55" i="7"/>
  <c r="S55" i="7" s="1"/>
  <c r="Y55" i="7"/>
  <c r="R364" i="7"/>
  <c r="S364" i="7" s="1"/>
  <c r="Y364" i="7"/>
  <c r="Y33" i="7"/>
  <c r="R404" i="7"/>
  <c r="S404" i="7" s="1"/>
  <c r="Y404" i="7"/>
  <c r="Y298" i="7"/>
  <c r="Y299" i="7"/>
  <c r="Y132" i="7"/>
  <c r="Y223" i="7"/>
  <c r="Y251" i="7"/>
  <c r="Y326" i="7"/>
  <c r="R228" i="7"/>
  <c r="S228" i="7" s="1"/>
  <c r="Y228" i="7"/>
  <c r="R154" i="7"/>
  <c r="T154" i="7" s="1"/>
  <c r="Y154" i="7"/>
  <c r="R319" i="7"/>
  <c r="S319" i="7" s="1"/>
  <c r="Y319" i="7"/>
  <c r="R296" i="7"/>
  <c r="S296" i="7" s="1"/>
  <c r="Y296" i="7"/>
  <c r="R17" i="7"/>
  <c r="S17" i="7" s="1"/>
  <c r="Y17" i="7"/>
  <c r="R96" i="7"/>
  <c r="T96" i="7" s="1"/>
  <c r="Y96" i="7"/>
  <c r="Y339" i="7"/>
  <c r="R189" i="7"/>
  <c r="T189" i="7" s="1"/>
  <c r="Y189" i="7"/>
  <c r="Y304" i="7"/>
  <c r="Y314" i="7"/>
  <c r="R7" i="7"/>
  <c r="S7" i="7" s="1"/>
  <c r="Y7" i="7"/>
  <c r="R147" i="7"/>
  <c r="S147" i="7" s="1"/>
  <c r="Y147" i="7"/>
  <c r="R489" i="7"/>
  <c r="T489" i="7" s="1"/>
  <c r="Y489" i="7"/>
  <c r="R421" i="7"/>
  <c r="S421" i="7" s="1"/>
  <c r="Y421" i="7"/>
  <c r="R516" i="7"/>
  <c r="U516" i="7" s="1"/>
  <c r="Y516" i="7"/>
  <c r="R453" i="7"/>
  <c r="S453" i="7" s="1"/>
  <c r="Y453" i="7"/>
  <c r="R388" i="7"/>
  <c r="T388" i="7" s="1"/>
  <c r="Y388" i="7"/>
  <c r="R120" i="7"/>
  <c r="S120" i="7" s="1"/>
  <c r="Y120" i="7"/>
  <c r="R100" i="7"/>
  <c r="S100" i="7" s="1"/>
  <c r="Y100" i="7"/>
  <c r="R285" i="7"/>
  <c r="T285" i="7" s="1"/>
  <c r="Y285" i="7"/>
  <c r="R122" i="7"/>
  <c r="S122" i="7" s="1"/>
  <c r="Y122" i="7"/>
  <c r="Y420" i="7"/>
  <c r="Y397" i="7"/>
  <c r="Y30" i="7"/>
  <c r="Y346" i="7"/>
  <c r="Y50" i="7"/>
  <c r="Y184" i="7"/>
  <c r="R418" i="7"/>
  <c r="S418" i="7" s="1"/>
  <c r="R294" i="7"/>
  <c r="S294" i="7" s="1"/>
  <c r="R317" i="7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R419" i="7"/>
  <c r="U419" i="7" s="1"/>
  <c r="R295" i="7"/>
  <c r="R336" i="7"/>
  <c r="R309" i="7"/>
  <c r="S309" i="7" s="1"/>
  <c r="R326" i="7"/>
  <c r="S326" i="7" s="1"/>
  <c r="R403" i="7"/>
  <c r="S403" i="7" s="1"/>
  <c r="G202" i="7"/>
  <c r="R201" i="7"/>
  <c r="S201" i="7" s="1"/>
  <c r="G128" i="7"/>
  <c r="R127" i="7"/>
  <c r="S127" i="7" s="1"/>
  <c r="R93" i="7"/>
  <c r="G508" i="7"/>
  <c r="R507" i="7"/>
  <c r="S507" i="7" s="1"/>
  <c r="G333" i="7"/>
  <c r="R332" i="7"/>
  <c r="S332" i="7" s="1"/>
  <c r="G311" i="7"/>
  <c r="R310" i="7"/>
  <c r="S310" i="7" s="1"/>
  <c r="G156" i="7"/>
  <c r="R155" i="7"/>
  <c r="S155" i="7" s="1"/>
  <c r="G301" i="7"/>
  <c r="R300" i="7"/>
  <c r="S300" i="7" s="1"/>
  <c r="R77" i="7"/>
  <c r="S77" i="7" s="1"/>
  <c r="G467" i="7"/>
  <c r="R465" i="7"/>
  <c r="T465" i="7" s="1"/>
  <c r="R327" i="7"/>
  <c r="S327" i="7" s="1"/>
  <c r="R33" i="7"/>
  <c r="S33" i="7" s="1"/>
  <c r="G90" i="7"/>
  <c r="R89" i="7"/>
  <c r="T89" i="7" s="1"/>
  <c r="G335" i="7"/>
  <c r="R334" i="7"/>
  <c r="S334" i="7" s="1"/>
  <c r="G371" i="7"/>
  <c r="R370" i="7"/>
  <c r="S370" i="7" s="1"/>
  <c r="G276" i="7"/>
  <c r="R275" i="7"/>
  <c r="S275" i="7" s="1"/>
  <c r="G383" i="7"/>
  <c r="R382" i="7"/>
  <c r="S382" i="7" s="1"/>
  <c r="G176" i="7"/>
  <c r="R175" i="7"/>
  <c r="S175" i="7" s="1"/>
  <c r="R303" i="7"/>
  <c r="S303" i="7" s="1"/>
  <c r="G44" i="7"/>
  <c r="R43" i="7"/>
  <c r="S43" i="7" s="1"/>
  <c r="R372" i="7"/>
  <c r="G390" i="7"/>
  <c r="R389" i="7"/>
  <c r="T389" i="7" s="1"/>
  <c r="R339" i="7"/>
  <c r="S339" i="7" s="1"/>
  <c r="G325" i="7"/>
  <c r="R324" i="7"/>
  <c r="S324" i="7" s="1"/>
  <c r="G222" i="7"/>
  <c r="R221" i="7"/>
  <c r="S221" i="7" s="1"/>
  <c r="R302" i="7"/>
  <c r="U302" i="7" s="1"/>
  <c r="G134" i="7"/>
  <c r="R133" i="7"/>
  <c r="T133" i="7" s="1"/>
  <c r="R304" i="7"/>
  <c r="R314" i="7"/>
  <c r="S314" i="7" s="1"/>
  <c r="G502" i="7"/>
  <c r="R500" i="7"/>
  <c r="U500" i="7" s="1"/>
  <c r="R346" i="7"/>
  <c r="T346" i="7" s="1"/>
  <c r="G442" i="7"/>
  <c r="R440" i="7"/>
  <c r="S440" i="7" s="1"/>
  <c r="R343" i="7"/>
  <c r="S343" i="7" s="1"/>
  <c r="R316" i="7"/>
  <c r="S316" i="7" s="1"/>
  <c r="G246" i="7"/>
  <c r="R245" i="7"/>
  <c r="S245" i="7" s="1"/>
  <c r="G256" i="7"/>
  <c r="R255" i="7"/>
  <c r="S255" i="7" s="1"/>
  <c r="G292" i="7"/>
  <c r="R291" i="7"/>
  <c r="U291" i="7" s="1"/>
  <c r="G183" i="7"/>
  <c r="R182" i="7"/>
  <c r="T182" i="7" s="1"/>
  <c r="G171" i="7"/>
  <c r="R170" i="7"/>
  <c r="S170" i="7" s="1"/>
  <c r="R249" i="7"/>
  <c r="G139" i="7"/>
  <c r="R138" i="7"/>
  <c r="S138" i="7" s="1"/>
  <c r="G369" i="7"/>
  <c r="R368" i="7"/>
  <c r="T368" i="7" s="1"/>
  <c r="G338" i="7"/>
  <c r="R337" i="7"/>
  <c r="S337" i="7" s="1"/>
  <c r="R293" i="7"/>
  <c r="U293" i="7" s="1"/>
  <c r="G29" i="7"/>
  <c r="R28" i="7"/>
  <c r="S28" i="7" s="1"/>
  <c r="R297" i="7"/>
  <c r="S297" i="7" s="1"/>
  <c r="R402" i="7"/>
  <c r="S402" i="7" s="1"/>
  <c r="R48" i="7"/>
  <c r="S48" i="7" s="1"/>
  <c r="R347" i="7"/>
  <c r="T347" i="7" s="1"/>
  <c r="R308" i="7"/>
  <c r="S308" i="7" s="1"/>
  <c r="R78" i="7"/>
  <c r="S78" i="7" s="1"/>
  <c r="G22" i="7"/>
  <c r="R21" i="7"/>
  <c r="S21" i="7" s="1"/>
  <c r="G14" i="7"/>
  <c r="R13" i="7"/>
  <c r="S13" i="7" s="1"/>
  <c r="G20" i="7"/>
  <c r="R19" i="7"/>
  <c r="S19" i="7" s="1"/>
  <c r="G5" i="7"/>
  <c r="R4" i="7"/>
  <c r="S4" i="7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R276" i="7" l="1"/>
  <c r="S276" i="7" s="1"/>
  <c r="Y276" i="7"/>
  <c r="R128" i="7"/>
  <c r="S128" i="7" s="1"/>
  <c r="Y128" i="7"/>
  <c r="R22" i="7"/>
  <c r="S22" i="7" s="1"/>
  <c r="Y22" i="7"/>
  <c r="R222" i="7"/>
  <c r="S222" i="7" s="1"/>
  <c r="Y222" i="7"/>
  <c r="R44" i="7"/>
  <c r="S44" i="7" s="1"/>
  <c r="Y44" i="7"/>
  <c r="R5" i="7"/>
  <c r="S5" i="7" s="1"/>
  <c r="Y5" i="7"/>
  <c r="R171" i="7"/>
  <c r="S171" i="7" s="1"/>
  <c r="Y171" i="7"/>
  <c r="R246" i="7"/>
  <c r="S246" i="7" s="1"/>
  <c r="Y246" i="7"/>
  <c r="R325" i="7"/>
  <c r="S325" i="7" s="1"/>
  <c r="Y325" i="7"/>
  <c r="R333" i="7"/>
  <c r="T333" i="7" s="1"/>
  <c r="Y333" i="7"/>
  <c r="R139" i="7"/>
  <c r="S139" i="7" s="1"/>
  <c r="Y139" i="7"/>
  <c r="R29" i="7"/>
  <c r="S29" i="7" s="1"/>
  <c r="Y29" i="7"/>
  <c r="R256" i="7"/>
  <c r="S256" i="7" s="1"/>
  <c r="Y256" i="7"/>
  <c r="R311" i="7"/>
  <c r="S311" i="7" s="1"/>
  <c r="Y311" i="7"/>
  <c r="R467" i="7"/>
  <c r="U467" i="7" s="1"/>
  <c r="Y467" i="7"/>
  <c r="R202" i="7"/>
  <c r="S202" i="7" s="1"/>
  <c r="Y202" i="7"/>
  <c r="R338" i="7"/>
  <c r="S338" i="7" s="1"/>
  <c r="Y338" i="7"/>
  <c r="R176" i="7"/>
  <c r="S176" i="7" s="1"/>
  <c r="Y176" i="7"/>
  <c r="R335" i="7"/>
  <c r="S335" i="7" s="1"/>
  <c r="Y335" i="7"/>
  <c r="R20" i="7"/>
  <c r="S20" i="7" s="1"/>
  <c r="Y20" i="7"/>
  <c r="R183" i="7"/>
  <c r="T183" i="7" s="1"/>
  <c r="Y183" i="7"/>
  <c r="R301" i="7"/>
  <c r="U301" i="7" s="1"/>
  <c r="Y301" i="7"/>
  <c r="R508" i="7"/>
  <c r="S508" i="7" s="1"/>
  <c r="Y508" i="7"/>
  <c r="R90" i="7"/>
  <c r="S90" i="7" s="1"/>
  <c r="Y90" i="7"/>
  <c r="R502" i="7"/>
  <c r="T502" i="7" s="1"/>
  <c r="Y502" i="7"/>
  <c r="R371" i="7"/>
  <c r="S371" i="7" s="1"/>
  <c r="Y371" i="7"/>
  <c r="R369" i="7"/>
  <c r="S369" i="7" s="1"/>
  <c r="Y369" i="7"/>
  <c r="R134" i="7"/>
  <c r="T134" i="7" s="1"/>
  <c r="Y134" i="7"/>
  <c r="R390" i="7"/>
  <c r="T390" i="7" s="1"/>
  <c r="Y390" i="7"/>
  <c r="R383" i="7"/>
  <c r="S383" i="7" s="1"/>
  <c r="Y383" i="7"/>
  <c r="R14" i="7"/>
  <c r="S14" i="7" s="1"/>
  <c r="Y14" i="7"/>
  <c r="R292" i="7"/>
  <c r="U292" i="7" s="1"/>
  <c r="Y292" i="7"/>
  <c r="R442" i="7"/>
  <c r="S442" i="7" s="1"/>
  <c r="Y442" i="7"/>
  <c r="R156" i="7"/>
  <c r="S156" i="7" s="1"/>
  <c r="Y156" i="7"/>
  <c r="U883" i="7"/>
  <c r="U884" i="7" s="1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S883" i="7" l="1"/>
  <c r="S884" i="7" s="1"/>
</calcChain>
</file>

<file path=xl/sharedStrings.xml><?xml version="1.0" encoding="utf-8"?>
<sst xmlns="http://schemas.openxmlformats.org/spreadsheetml/2006/main" count="2498" uniqueCount="318">
  <si>
    <t>W</t>
  </si>
  <si>
    <t>D</t>
  </si>
  <si>
    <t>L</t>
  </si>
  <si>
    <t>Notes</t>
  </si>
  <si>
    <t>MATERIAL</t>
  </si>
  <si>
    <t>Matrials Indent</t>
  </si>
  <si>
    <t>SL.NO</t>
  </si>
  <si>
    <t>Qty</t>
  </si>
  <si>
    <t>Date</t>
  </si>
  <si>
    <t>Sl.no.</t>
  </si>
  <si>
    <t>Rft</t>
  </si>
  <si>
    <t>total woking measurements</t>
  </si>
  <si>
    <t>BOX NAME</t>
  </si>
  <si>
    <t>DESCRIPTIOON</t>
  </si>
  <si>
    <t>QTY</t>
  </si>
  <si>
    <t>Y</t>
  </si>
  <si>
    <t>EB</t>
  </si>
  <si>
    <t>L-1</t>
  </si>
  <si>
    <t>W-1</t>
  </si>
  <si>
    <t>L-2</t>
  </si>
  <si>
    <t>W-2</t>
  </si>
  <si>
    <t>0.8MM</t>
  </si>
  <si>
    <t>1.3MM</t>
  </si>
  <si>
    <t>2*MM</t>
  </si>
  <si>
    <t>2**MM</t>
  </si>
  <si>
    <t xml:space="preserve"> </t>
  </si>
  <si>
    <t>CLIENT</t>
  </si>
  <si>
    <t>DZINE HOME</t>
  </si>
  <si>
    <t>LHS</t>
  </si>
  <si>
    <t>RHS</t>
  </si>
  <si>
    <t>TOP</t>
  </si>
  <si>
    <t>BTM</t>
  </si>
  <si>
    <t>BACK UP</t>
  </si>
  <si>
    <t>Lshelf</t>
  </si>
  <si>
    <t>16MM PLY FAB-BSL</t>
  </si>
  <si>
    <t>6MM PLY FAB-BSL</t>
  </si>
  <si>
    <t>SHUTTER</t>
  </si>
  <si>
    <t>FILLER</t>
  </si>
  <si>
    <t>Fshelf</t>
  </si>
  <si>
    <t>DR SIDES</t>
  </si>
  <si>
    <t>DR F/B</t>
  </si>
  <si>
    <t>DR BACK UP</t>
  </si>
  <si>
    <t>DR FACIA</t>
  </si>
  <si>
    <t>C/V</t>
  </si>
  <si>
    <t>Loft</t>
  </si>
  <si>
    <t>LOFT FRAMES</t>
  </si>
  <si>
    <t>LOFT FILLERS</t>
  </si>
  <si>
    <t>LOFT END PANEL</t>
  </si>
  <si>
    <t>LOFT SHUTTERS</t>
  </si>
  <si>
    <t>SKIRTING</t>
  </si>
  <si>
    <t>L-Gola</t>
  </si>
  <si>
    <t>FULL TOP</t>
  </si>
  <si>
    <t>SHUTTERS</t>
  </si>
  <si>
    <t>TV FILLERS</t>
  </si>
  <si>
    <t>TV PANEL</t>
  </si>
  <si>
    <t>FILLERS</t>
  </si>
  <si>
    <t>LVNG-B1</t>
  </si>
  <si>
    <t>16MM HDHMR FAB/2922-PVC</t>
  </si>
  <si>
    <t>16MM PLY FAB/VENEER</t>
  </si>
  <si>
    <t>LVNG-B2-Open</t>
  </si>
  <si>
    <t>12MM PLY VENEER-BSL</t>
  </si>
  <si>
    <t>LVNG-B3</t>
  </si>
  <si>
    <t>Profile Door</t>
  </si>
  <si>
    <t>16MM HDHMR FAB/3918-AG</t>
  </si>
  <si>
    <t>G</t>
  </si>
  <si>
    <t>HALL TV-B/U-B4</t>
  </si>
  <si>
    <t>HALL TV-B/U-B5</t>
  </si>
  <si>
    <t>HALL TV-B/U-B6</t>
  </si>
  <si>
    <t>EXPO SIDES</t>
  </si>
  <si>
    <t>25MM PLY FAB/VENEER</t>
  </si>
  <si>
    <t>HALL TV-T/U-B7</t>
  </si>
  <si>
    <t>HALL TV-T/U-B8</t>
  </si>
  <si>
    <t>16MM PLY FAB/88166-SM</t>
  </si>
  <si>
    <t>16MM PLY 88166-SM-BSL</t>
  </si>
  <si>
    <t>6MM PLY FAB/88166-SM</t>
  </si>
  <si>
    <t>HALL TV-T/U-B9-Open</t>
  </si>
  <si>
    <t>HALL TV-B/U-B10-Open</t>
  </si>
  <si>
    <r>
      <t>TV FRAMES</t>
    </r>
    <r>
      <rPr>
        <b/>
        <sz val="11"/>
        <color rgb="FFFF0000"/>
        <rFont val="Calibri"/>
        <family val="2"/>
        <scheme val="minor"/>
      </rPr>
      <t>-No-EB</t>
    </r>
  </si>
  <si>
    <t>16MM PLY FAB/2922-PVC</t>
  </si>
  <si>
    <t>16MM PLY FAB/2922-PVC/VENEER</t>
  </si>
  <si>
    <t>16MM PLY FAB/9235-HG</t>
  </si>
  <si>
    <t>HALL-VNTY-B11</t>
  </si>
  <si>
    <t>KIT-B/U-B12</t>
  </si>
  <si>
    <t>TDM BTM</t>
  </si>
  <si>
    <t>TDM BACK</t>
  </si>
  <si>
    <t>16MM BOILO FAB-BSL</t>
  </si>
  <si>
    <t>6MM BOILO FAB-BSL</t>
  </si>
  <si>
    <t>FACIA</t>
  </si>
  <si>
    <t>16MM HDHMR FAB/SW-738</t>
  </si>
  <si>
    <t>BPO</t>
  </si>
  <si>
    <t>KIT-B/U-B13</t>
  </si>
  <si>
    <t>KIT-B/U-B14</t>
  </si>
  <si>
    <t>KIT-B/U-B15</t>
  </si>
  <si>
    <t>Blind Corner</t>
  </si>
  <si>
    <t>3 Drawer</t>
  </si>
  <si>
    <t>2 Drawer</t>
  </si>
  <si>
    <t>INNER PLANK</t>
  </si>
  <si>
    <t>KIT-B/U-B16-Open</t>
  </si>
  <si>
    <t>KIT-B/U-B17</t>
  </si>
  <si>
    <t>1 Wickers</t>
  </si>
  <si>
    <t>6MM BOILO FAB/85115-HG</t>
  </si>
  <si>
    <t>1 Drawer</t>
  </si>
  <si>
    <t>KIT-B/U-B18</t>
  </si>
  <si>
    <t>Storage</t>
  </si>
  <si>
    <t>KIT-B/U-B19</t>
  </si>
  <si>
    <t>Sink With RO Unit</t>
  </si>
  <si>
    <t>KIT-B/U-B20</t>
  </si>
  <si>
    <t>KIT-B/U-B21</t>
  </si>
  <si>
    <t>KIT-B/U-B22</t>
  </si>
  <si>
    <t>Oven &amp; Microwave</t>
  </si>
  <si>
    <t>16MM BOILO 85115-HG-BSL</t>
  </si>
  <si>
    <t>KIT-T/U-B23-Open</t>
  </si>
  <si>
    <t>Pantry Unit</t>
  </si>
  <si>
    <t>FOLDABLE LEDGE</t>
  </si>
  <si>
    <t>KIT-W/U-B26</t>
  </si>
  <si>
    <t>CMNY PANEL</t>
  </si>
  <si>
    <t>16MM HDHMR FAB/CA-9165</t>
  </si>
  <si>
    <t>Open Storage</t>
  </si>
  <si>
    <t>KIT-W/U-B29</t>
  </si>
  <si>
    <t>16MM HDHMR FAB/85115-HG</t>
  </si>
  <si>
    <t>SHUTERS</t>
  </si>
  <si>
    <t>6MM HDHMR FAB/85115-HG</t>
  </si>
  <si>
    <t>16MM HDHMR 85115-HG-BSL</t>
  </si>
  <si>
    <t>KIT-W/U-B30</t>
  </si>
  <si>
    <t>KIT-W/U-B33</t>
  </si>
  <si>
    <t>LOFT BTM PANEL</t>
  </si>
  <si>
    <t>TOP FILLER</t>
  </si>
  <si>
    <t>16MM HDHMR FAB/88166-SM</t>
  </si>
  <si>
    <r>
      <rPr>
        <b/>
        <sz val="11"/>
        <rFont val="Calibri"/>
        <family val="2"/>
        <scheme val="minor"/>
      </rPr>
      <t>DOOR</t>
    </r>
    <r>
      <rPr>
        <b/>
        <sz val="11"/>
        <color rgb="FFFF0000"/>
        <rFont val="Calibri"/>
        <family val="2"/>
        <scheme val="minor"/>
      </rPr>
      <t xml:space="preserve"> 380</t>
    </r>
  </si>
  <si>
    <r>
      <rPr>
        <b/>
        <sz val="11"/>
        <rFont val="Calibri"/>
        <family val="2"/>
        <scheme val="minor"/>
      </rPr>
      <t>DOOR</t>
    </r>
    <r>
      <rPr>
        <b/>
        <sz val="11"/>
        <color rgb="FFFF0000"/>
        <rFont val="Calibri"/>
        <family val="2"/>
        <scheme val="minor"/>
      </rPr>
      <t xml:space="preserve"> 450</t>
    </r>
  </si>
  <si>
    <r>
      <rPr>
        <b/>
        <sz val="11"/>
        <rFont val="Calibri"/>
        <family val="2"/>
        <scheme val="minor"/>
      </rPr>
      <t xml:space="preserve">DOOR </t>
    </r>
    <r>
      <rPr>
        <b/>
        <sz val="11"/>
        <color rgb="FFFF0000"/>
        <rFont val="Calibri"/>
        <family val="2"/>
        <scheme val="minor"/>
      </rPr>
      <t>440</t>
    </r>
  </si>
  <si>
    <r>
      <rPr>
        <b/>
        <sz val="11"/>
        <rFont val="Calibri"/>
        <family val="2"/>
        <scheme val="minor"/>
      </rPr>
      <t>DOOR</t>
    </r>
    <r>
      <rPr>
        <b/>
        <sz val="11"/>
        <color rgb="FFFF0000"/>
        <rFont val="Calibri"/>
        <family val="2"/>
        <scheme val="minor"/>
      </rPr>
      <t xml:space="preserve"> 481</t>
    </r>
  </si>
  <si>
    <r>
      <rPr>
        <b/>
        <sz val="11"/>
        <rFont val="Calibri"/>
        <family val="2"/>
        <scheme val="minor"/>
      </rPr>
      <t>DOOR</t>
    </r>
    <r>
      <rPr>
        <b/>
        <sz val="11"/>
        <color rgb="FFFF0000"/>
        <rFont val="Calibri"/>
        <family val="2"/>
        <scheme val="minor"/>
      </rPr>
      <t xml:space="preserve"> 600</t>
    </r>
  </si>
  <si>
    <r>
      <rPr>
        <b/>
        <sz val="11"/>
        <rFont val="Calibri"/>
        <family val="2"/>
        <scheme val="minor"/>
      </rPr>
      <t>DOOR</t>
    </r>
    <r>
      <rPr>
        <b/>
        <sz val="11"/>
        <color rgb="FFFF0000"/>
        <rFont val="Calibri"/>
        <family val="2"/>
        <scheme val="minor"/>
      </rPr>
      <t xml:space="preserve"> 365</t>
    </r>
  </si>
  <si>
    <r>
      <rPr>
        <b/>
        <sz val="11"/>
        <rFont val="Calibri"/>
        <family val="2"/>
        <scheme val="minor"/>
      </rPr>
      <t>DOOR</t>
    </r>
    <r>
      <rPr>
        <b/>
        <sz val="11"/>
        <color rgb="FFFF0000"/>
        <rFont val="Calibri"/>
        <family val="2"/>
        <scheme val="minor"/>
      </rPr>
      <t xml:space="preserve"> 465</t>
    </r>
  </si>
  <si>
    <t>Prasadam Tray</t>
  </si>
  <si>
    <t>Prasadam Facia</t>
  </si>
  <si>
    <t>16MM HDHMR FAB/3253-TL</t>
  </si>
  <si>
    <t>LEDGES</t>
  </si>
  <si>
    <t>16MM HDHMR FAB/3912-AG/3911-AG/3911-AG</t>
  </si>
  <si>
    <t>16MM PLY FAB/3913-AG</t>
  </si>
  <si>
    <t>16MM HDHMR FAB/3911-AG/3912-AG</t>
  </si>
  <si>
    <t>16MM HDHMR FAB/3912-AG/3911-AG</t>
  </si>
  <si>
    <t>16MM HDHMR FAB/3912-AG</t>
  </si>
  <si>
    <t>16MM PLY 3912-AG/FAB/3913-AG</t>
  </si>
  <si>
    <t>16MM PLY 3913-AG-BSL</t>
  </si>
  <si>
    <t>6MM PLY FAB/3913-AG/FAB</t>
  </si>
  <si>
    <t>16MM PLY FAB/3912-AG</t>
  </si>
  <si>
    <t>16MM HDHMR FAB/3911-AG</t>
  </si>
  <si>
    <t>16MM PLY 3912-AG-BSL</t>
  </si>
  <si>
    <t>6MM PLY FAB/3912-AG</t>
  </si>
  <si>
    <t>16MM PLY FAB/3911-AG</t>
  </si>
  <si>
    <t>DR DUMMY</t>
  </si>
  <si>
    <t>16MM HDHMR FAB/442-TG</t>
  </si>
  <si>
    <t>16MM PLY FAB/442-TG</t>
  </si>
  <si>
    <t>LOCKER SHUTTER</t>
  </si>
  <si>
    <t>SIDE PLANKS</t>
  </si>
  <si>
    <t>TOP PLANK</t>
  </si>
  <si>
    <t>TV FRAMES</t>
  </si>
  <si>
    <t>BP</t>
  </si>
  <si>
    <t>CV</t>
  </si>
  <si>
    <t>F SHELF</t>
  </si>
  <si>
    <t>L SHELF</t>
  </si>
  <si>
    <t>DR.LR</t>
  </si>
  <si>
    <t>DR.IO</t>
  </si>
  <si>
    <t>DR.BP</t>
  </si>
  <si>
    <t>DR.FACIA</t>
  </si>
  <si>
    <t>DR.DUMMY</t>
  </si>
  <si>
    <t>SHUTER</t>
  </si>
  <si>
    <t>STUDY SIDE</t>
  </si>
  <si>
    <t>STUDY TOP</t>
  </si>
  <si>
    <t>EXTRA TOP</t>
  </si>
  <si>
    <t>MODESTY</t>
  </si>
  <si>
    <t>16MM PLY 442-TG-BSL</t>
  </si>
  <si>
    <t>6MM PLY FAB/442-TG</t>
  </si>
  <si>
    <t>16MM PLY 81201-MHG-BSL</t>
  </si>
  <si>
    <t>16MM PLY FAB/81201-MHG</t>
  </si>
  <si>
    <t>16MM HDHMR FAB/81201-MHG</t>
  </si>
  <si>
    <t>45 Degreeangle Cut</t>
  </si>
  <si>
    <r>
      <rPr>
        <b/>
        <i/>
        <sz val="11"/>
        <color rgb="FFFF0000"/>
        <rFont val="Calibri"/>
        <family val="2"/>
        <scheme val="minor"/>
      </rPr>
      <t>45 angle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Door</t>
    </r>
  </si>
  <si>
    <r>
      <t>BTM</t>
    </r>
    <r>
      <rPr>
        <b/>
        <sz val="11"/>
        <color rgb="FFFF0000"/>
        <rFont val="Calibri"/>
        <family val="2"/>
        <scheme val="minor"/>
      </rPr>
      <t>-VENEER-EB</t>
    </r>
  </si>
  <si>
    <t>16MM BOILO FAB/3918-AG</t>
  </si>
  <si>
    <r>
      <t>ADD ON</t>
    </r>
    <r>
      <rPr>
        <b/>
        <sz val="11"/>
        <color rgb="FFFF0000"/>
        <rFont val="Calibri"/>
        <family val="2"/>
        <scheme val="minor"/>
      </rPr>
      <t>-BP</t>
    </r>
  </si>
  <si>
    <t>KIT-UTILITY-B35</t>
  </si>
  <si>
    <t>SHOE RACK-B37</t>
  </si>
  <si>
    <t>MBR-WB-B40</t>
  </si>
  <si>
    <t>BR1 STUDY-B48</t>
  </si>
  <si>
    <t>BR1 STUDY-B49</t>
  </si>
  <si>
    <t>BR2-STUDY-B53</t>
  </si>
  <si>
    <t>BR2-STUDY-B54</t>
  </si>
  <si>
    <t>KIT-T/U-B24</t>
  </si>
  <si>
    <t>KIT-W/U-B25</t>
  </si>
  <si>
    <t>KIT-W/U-B27-Open</t>
  </si>
  <si>
    <t>KIT-W/U-B28</t>
  </si>
  <si>
    <t>KIT-W/U-B31-Open</t>
  </si>
  <si>
    <t>KIT-W/U-B32</t>
  </si>
  <si>
    <t>KIT-UTILITY-B34</t>
  </si>
  <si>
    <t>SHOE RACK-B36</t>
  </si>
  <si>
    <t>PUJA-B38</t>
  </si>
  <si>
    <t>MBR-WB-B39</t>
  </si>
  <si>
    <t>MBR-BED SIDE-B41</t>
  </si>
  <si>
    <t>MBR-SITOUT-B42</t>
  </si>
  <si>
    <t>MBR-STD-W/U-B43</t>
  </si>
  <si>
    <t>MBR-STD-W/U-B44-Open</t>
  </si>
  <si>
    <t>MBR-DRSG-B45</t>
  </si>
  <si>
    <t>BR1-B46</t>
  </si>
  <si>
    <t>BR1 STUDY-B47</t>
  </si>
  <si>
    <t>BR2-B50</t>
  </si>
  <si>
    <t>BR2-DRSG-B51</t>
  </si>
  <si>
    <t>BR2-STUDY-B52</t>
  </si>
  <si>
    <t>12MM PLYWOOD</t>
  </si>
  <si>
    <t>16MM ACTION BOILO</t>
  </si>
  <si>
    <t>16MM HDHMR</t>
  </si>
  <si>
    <t>16MM PLY WOOD</t>
  </si>
  <si>
    <t>6MM ACTION BOILO</t>
  </si>
  <si>
    <t>6MM HDHMR</t>
  </si>
  <si>
    <t>6MM PLY WOOD</t>
  </si>
  <si>
    <t>VENEER</t>
  </si>
  <si>
    <t>85115-HG</t>
  </si>
  <si>
    <t>3918-AG</t>
  </si>
  <si>
    <t>2922-PVC</t>
  </si>
  <si>
    <t>3253-TL</t>
  </si>
  <si>
    <t>3911-AG</t>
  </si>
  <si>
    <t>3912-AG</t>
  </si>
  <si>
    <t>81201-MHG</t>
  </si>
  <si>
    <t>88166-SM</t>
  </si>
  <si>
    <t>CA-9165</t>
  </si>
  <si>
    <t>SW-738</t>
  </si>
  <si>
    <t>3913-AG</t>
  </si>
  <si>
    <t>9235-HG</t>
  </si>
  <si>
    <r>
      <t>Internal Laminate-</t>
    </r>
    <r>
      <rPr>
        <b/>
        <i/>
        <sz val="14"/>
        <color theme="1"/>
        <rFont val="Calibri"/>
        <family val="2"/>
        <scheme val="minor"/>
      </rPr>
      <t>FABRIC</t>
    </r>
  </si>
  <si>
    <r>
      <rPr>
        <b/>
        <sz val="16"/>
        <color rgb="FF0070C0"/>
        <rFont val="Calibri"/>
        <family val="2"/>
        <scheme val="minor"/>
      </rPr>
      <t>DZINE HOME/</t>
    </r>
    <r>
      <rPr>
        <b/>
        <sz val="16"/>
        <color rgb="FFFF0000"/>
        <rFont val="Calibri"/>
        <family val="2"/>
        <scheme val="minor"/>
      </rPr>
      <t>Mr.Murthy</t>
    </r>
  </si>
  <si>
    <t>+</t>
  </si>
  <si>
    <t>FOR MAIN DOOR PANELLING</t>
  </si>
  <si>
    <t>ONLY PASTING</t>
  </si>
  <si>
    <t>16MM HDHMR FAB/3914-AG</t>
  </si>
  <si>
    <t>3914-AG</t>
  </si>
  <si>
    <t>Mr.Murthy-210-Bion</t>
  </si>
  <si>
    <r>
      <t>TOP</t>
    </r>
    <r>
      <rPr>
        <b/>
        <sz val="11"/>
        <color rgb="FFFF0000"/>
        <rFont val="Calibri"/>
        <family val="2"/>
        <scheme val="minor"/>
      </rPr>
      <t>-VENEER-EB</t>
    </r>
  </si>
  <si>
    <r>
      <t>RHS</t>
    </r>
    <r>
      <rPr>
        <b/>
        <sz val="11"/>
        <color rgb="FFFF0000"/>
        <rFont val="Calibri"/>
        <family val="2"/>
        <scheme val="minor"/>
      </rPr>
      <t>-VENEER-EB</t>
    </r>
  </si>
  <si>
    <t>EDGE BAND</t>
  </si>
  <si>
    <t>0.8*MM</t>
  </si>
  <si>
    <t>1.3*MM</t>
  </si>
  <si>
    <t>85 mtr</t>
  </si>
  <si>
    <t>5 mtr</t>
  </si>
  <si>
    <t>100 mtr</t>
  </si>
  <si>
    <t>25 mtr</t>
  </si>
  <si>
    <t>15 mtr</t>
  </si>
  <si>
    <t>30 mtr</t>
  </si>
  <si>
    <t>20 mtr</t>
  </si>
  <si>
    <t>90 mtr</t>
  </si>
  <si>
    <t>442-TG</t>
  </si>
  <si>
    <t>55 mtr</t>
  </si>
  <si>
    <t>65 mtr</t>
  </si>
  <si>
    <t>175 mtr</t>
  </si>
  <si>
    <t>95 mtr</t>
  </si>
  <si>
    <t>70 mtr</t>
  </si>
  <si>
    <t>985 mtr</t>
  </si>
  <si>
    <t>CANCELLED</t>
  </si>
  <si>
    <t xml:space="preserve">ADDED </t>
  </si>
  <si>
    <t>LSHELF</t>
  </si>
  <si>
    <t>Open Box</t>
  </si>
  <si>
    <t>RECON INTERIORS</t>
  </si>
  <si>
    <t>A15#, Kaytan Nagar Road ,Balanagar,Hyderabad, Telagana,500037</t>
  </si>
  <si>
    <t>GST:-36EZXPS7924F1ZF</t>
  </si>
  <si>
    <t>Company Name:- Dzine Home</t>
  </si>
  <si>
    <t>Job Work:-Wardrobes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</si>
  <si>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</si>
  <si>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</si>
  <si>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</si>
  <si>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</si>
  <si>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</si>
  <si>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</si>
  <si>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</si>
  <si>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</si>
  <si>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</si>
  <si>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</si>
  <si>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</si>
  <si>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</si>
  <si>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</si>
  <si>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</si>
  <si>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</si>
  <si>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</si>
  <si>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</si>
  <si>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</si>
  <si>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</si>
  <si>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</si>
  <si>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</si>
  <si>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</si>
  <si>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</si>
  <si>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</si>
  <si>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</si>
  <si>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</si>
  <si>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</si>
  <si>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Gola Handle</t>
  </si>
  <si>
    <t>Multi Cutting  Sheets</t>
  </si>
  <si>
    <t>Raw Materals</t>
  </si>
  <si>
    <t>Plywood</t>
  </si>
  <si>
    <t>Laminates</t>
  </si>
  <si>
    <t>Internal 0.8 laminate</t>
  </si>
  <si>
    <t>Packing</t>
  </si>
  <si>
    <t>Amount in words:-</t>
  </si>
  <si>
    <t>AMOUNT</t>
  </si>
  <si>
    <t>GST(18%)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</si>
  <si>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</si>
  <si>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</si>
  <si>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</si>
  <si>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</si>
  <si>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</si>
  <si>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</si>
  <si>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</si>
  <si>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</si>
  <si>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</si>
  <si>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</si>
  <si>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</si>
  <si>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</si>
  <si>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Clint Name:- Murthy sir</t>
  </si>
  <si>
    <t>Date:-06-03-2024.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</si>
</sst>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4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7030A0"/>
      <name val="Algerian"/>
      <family val="5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9C000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1" fillId="6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30" fillId="10" borderId="21" applyNumberFormat="0" applyAlignment="0" applyProtection="0"/>
    <xf numFmtId="43" fontId="43" fillId="0" borderId="0" applyFont="0" applyFill="0" applyBorder="0" applyAlignment="0" applyProtection="0"/>
  </cellStyleXfs>
  <cellXfs count="164">
    <xf numFmtId="0" fontId="0" fillId="0" borderId="0" xfId="0"/>
    <xf numFmtId="0" fontId="7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6" fillId="8" borderId="1" xfId="2" applyFont="1" applyBorder="1" applyAlignment="1">
      <alignment horizontal="left"/>
    </xf>
    <xf numFmtId="0" fontId="15" fillId="6" borderId="1" xfId="1" applyFont="1" applyBorder="1" applyAlignment="1">
      <alignment horizontal="left"/>
    </xf>
    <xf numFmtId="0" fontId="17" fillId="9" borderId="1" xfId="3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18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7" borderId="1" xfId="1" applyFont="1" applyFill="1" applyBorder="1" applyAlignment="1">
      <alignment horizontal="left"/>
    </xf>
    <xf numFmtId="0" fontId="31" fillId="6" borderId="1" xfId="1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4" fillId="0" borderId="1" xfId="4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29" fillId="0" borderId="1" xfId="2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0" fillId="7" borderId="21" xfId="4" applyFill="1" applyAlignment="1">
      <alignment horizontal="center"/>
    </xf>
    <xf numFmtId="0" fontId="18" fillId="7" borderId="1" xfId="0" applyFont="1" applyFill="1" applyBorder="1" applyAlignment="1">
      <alignment horizontal="center"/>
    </xf>
    <xf numFmtId="3" fontId="0" fillId="0" borderId="10" xfId="0" applyNumberFormat="1" applyBorder="1" applyAlignment="1">
      <alignment horizontal="center" vertical="center"/>
    </xf>
    <xf numFmtId="0" fontId="30" fillId="10" borderId="1" xfId="4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17" fillId="9" borderId="0" xfId="3" applyFont="1"/>
    <xf numFmtId="0" fontId="38" fillId="7" borderId="10" xfId="0" applyFont="1" applyFill="1" applyBorder="1" applyAlignment="1">
      <alignment horizontal="left"/>
    </xf>
    <xf numFmtId="0" fontId="38" fillId="7" borderId="12" xfId="0" applyFont="1" applyFill="1" applyBorder="1" applyAlignment="1">
      <alignment horizontal="center"/>
    </xf>
    <xf numFmtId="0" fontId="39" fillId="7" borderId="10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36" fillId="0" borderId="2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9" fillId="0" borderId="21" xfId="4" applyFont="1" applyFill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" xfId="1" applyFont="1" applyFill="1" applyBorder="1" applyAlignment="1">
      <alignment horizontal="left"/>
    </xf>
    <xf numFmtId="0" fontId="29" fillId="0" borderId="1" xfId="3" applyFont="1" applyFill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2" fillId="0" borderId="1" xfId="1" applyFont="1" applyFill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/>
    </xf>
    <xf numFmtId="0" fontId="2" fillId="0" borderId="1" xfId="0" applyFont="1" applyBorder="1"/>
    <xf numFmtId="43" fontId="0" fillId="0" borderId="1" xfId="5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9" fillId="6" borderId="2" xfId="1" applyFont="1" applyBorder="1" applyAlignment="1">
      <alignment horizontal="center" vertical="center"/>
    </xf>
    <xf numFmtId="0" fontId="19" fillId="6" borderId="3" xfId="1" applyFont="1" applyBorder="1" applyAlignment="1">
      <alignment horizontal="center" vertical="center"/>
    </xf>
    <xf numFmtId="0" fontId="19" fillId="6" borderId="4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9" fillId="6" borderId="2" xfId="1" applyFont="1" applyBorder="1" applyAlignment="1">
      <alignment horizontal="center"/>
    </xf>
    <xf numFmtId="0" fontId="19" fillId="6" borderId="3" xfId="1" applyFont="1" applyBorder="1" applyAlignment="1">
      <alignment horizontal="center"/>
    </xf>
    <xf numFmtId="0" fontId="19" fillId="6" borderId="4" xfId="1" applyFont="1" applyBorder="1" applyAlignment="1">
      <alignment horizontal="center"/>
    </xf>
    <xf numFmtId="0" fontId="27" fillId="7" borderId="2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5" fillId="6" borderId="0" xfId="1" applyFont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2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9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8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6">
    <cellStyle name="Bad" xfId="1" builtinId="27"/>
    <cellStyle name="Calculation" xfId="4" builtinId="22"/>
    <cellStyle name="Comma" xfId="5" builtinId="3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4"/>
  <sheetViews>
    <sheetView topLeftCell="A508" zoomScaleNormal="100" workbookViewId="0">
      <selection activeCell="C31" sqref="C31"/>
    </sheetView>
  </sheetViews>
  <sheetFormatPr defaultColWidth="9.109375" defaultRowHeight="14.4" x14ac:dyDescent="0.3"/>
  <cols>
    <col min="1" max="1" width="6.88671875" style="7" bestFit="1" customWidth="1"/>
    <col min="2" max="2" width="23" style="7" customWidth="1"/>
    <col min="3" max="5" width="8" style="7" customWidth="1"/>
    <col min="6" max="6" width="16.21875" style="20" bestFit="1" customWidth="1"/>
    <col min="7" max="7" width="5" style="7" bestFit="1" customWidth="1"/>
    <col min="8" max="8" width="6" style="7" bestFit="1" customWidth="1"/>
    <col min="9" max="9" width="4.6640625" style="7" bestFit="1" customWidth="1"/>
    <col min="10" max="10" width="33.88671875" style="31" bestFit="1" customWidth="1"/>
    <col min="11" max="11" width="2.109375" style="11" bestFit="1" customWidth="1"/>
    <col min="12" max="12" width="3.33203125" style="7" bestFit="1" customWidth="1"/>
    <col min="13" max="13" width="3.6640625" style="7" bestFit="1" customWidth="1"/>
    <col min="14" max="14" width="4.77734375" style="7" bestFit="1" customWidth="1"/>
    <col min="15" max="15" width="3.6640625" style="7" bestFit="1" customWidth="1"/>
    <col min="16" max="16" width="4.77734375" style="7" bestFit="1" customWidth="1"/>
    <col min="17" max="17" width="6.44140625" style="7" bestFit="1" customWidth="1"/>
    <col min="18" max="18" width="4" style="13" bestFit="1" customWidth="1"/>
    <col min="19" max="20" width="7.6640625" style="13" bestFit="1" customWidth="1"/>
    <col min="21" max="21" width="7" style="13" bestFit="1" customWidth="1"/>
    <col min="22" max="22" width="8.109375" style="13" bestFit="1" customWidth="1"/>
    <col min="23" max="23" width="22.33203125" style="20" bestFit="1" customWidth="1"/>
    <col min="24" max="24" width="36.77734375" style="20" bestFit="1" customWidth="1"/>
    <col min="25" max="26" width="9.109375" style="7"/>
    <col min="27" max="27" width="33.88671875" style="31" bestFit="1" customWidth="1"/>
    <col min="28" max="29" width="5.109375" style="7" bestFit="1" customWidth="1"/>
    <col min="30" max="30" width="4" style="7" bestFit="1" customWidth="1"/>
    <col min="31" max="31" width="33.88671875" style="31" bestFit="1" customWidth="1"/>
    <col min="32" max="260" width="9.109375" style="7"/>
    <col min="261" max="261" width="14.5546875" style="7" customWidth="1"/>
    <col min="262" max="262" width="33.21875" style="7" bestFit="1" customWidth="1"/>
    <col min="263" max="263" width="10.88671875" style="7" bestFit="1" customWidth="1"/>
    <col min="264" max="264" width="12.88671875" style="7" bestFit="1" customWidth="1"/>
    <col min="265" max="265" width="7.44140625" style="7" customWidth="1"/>
    <col min="266" max="266" width="30.21875" style="7" bestFit="1" customWidth="1"/>
    <col min="267" max="267" width="7.77734375" style="7" customWidth="1"/>
    <col min="268" max="268" width="8.109375" style="7" customWidth="1"/>
    <col min="269" max="269" width="9" style="7" customWidth="1"/>
    <col min="270" max="270" width="8.5546875" style="7" customWidth="1"/>
    <col min="271" max="271" width="8.33203125" style="7" customWidth="1"/>
    <col min="272" max="272" width="8.5546875" style="7" customWidth="1"/>
    <col min="273" max="273" width="18.6640625" style="7" customWidth="1"/>
    <col min="274" max="274" width="13.5546875" style="7" customWidth="1"/>
    <col min="275" max="275" width="11.44140625" style="7" customWidth="1"/>
    <col min="276" max="276" width="11.6640625" style="7" customWidth="1"/>
    <col min="277" max="277" width="11.5546875" style="7" customWidth="1"/>
    <col min="278" max="278" width="15" style="7" customWidth="1"/>
    <col min="279" max="516" width="9.109375" style="7"/>
    <col min="517" max="517" width="14.5546875" style="7" customWidth="1"/>
    <col min="518" max="518" width="33.21875" style="7" bestFit="1" customWidth="1"/>
    <col min="519" max="519" width="10.88671875" style="7" bestFit="1" customWidth="1"/>
    <col min="520" max="520" width="12.88671875" style="7" bestFit="1" customWidth="1"/>
    <col min="521" max="521" width="7.44140625" style="7" customWidth="1"/>
    <col min="522" max="522" width="30.21875" style="7" bestFit="1" customWidth="1"/>
    <col min="523" max="523" width="7.77734375" style="7" customWidth="1"/>
    <col min="524" max="524" width="8.109375" style="7" customWidth="1"/>
    <col min="525" max="525" width="9" style="7" customWidth="1"/>
    <col min="526" max="526" width="8.5546875" style="7" customWidth="1"/>
    <col min="527" max="527" width="8.33203125" style="7" customWidth="1"/>
    <col min="528" max="528" width="8.5546875" style="7" customWidth="1"/>
    <col min="529" max="529" width="18.6640625" style="7" customWidth="1"/>
    <col min="530" max="530" width="13.5546875" style="7" customWidth="1"/>
    <col min="531" max="531" width="11.44140625" style="7" customWidth="1"/>
    <col min="532" max="532" width="11.6640625" style="7" customWidth="1"/>
    <col min="533" max="533" width="11.5546875" style="7" customWidth="1"/>
    <col min="534" max="534" width="15" style="7" customWidth="1"/>
    <col min="535" max="772" width="9.109375" style="7"/>
    <col min="773" max="773" width="14.5546875" style="7" customWidth="1"/>
    <col min="774" max="774" width="33.21875" style="7" bestFit="1" customWidth="1"/>
    <col min="775" max="775" width="10.88671875" style="7" bestFit="1" customWidth="1"/>
    <col min="776" max="776" width="12.88671875" style="7" bestFit="1" customWidth="1"/>
    <col min="777" max="777" width="7.44140625" style="7" customWidth="1"/>
    <col min="778" max="778" width="30.21875" style="7" bestFit="1" customWidth="1"/>
    <col min="779" max="779" width="7.77734375" style="7" customWidth="1"/>
    <col min="780" max="780" width="8.109375" style="7" customWidth="1"/>
    <col min="781" max="781" width="9" style="7" customWidth="1"/>
    <col min="782" max="782" width="8.5546875" style="7" customWidth="1"/>
    <col min="783" max="783" width="8.33203125" style="7" customWidth="1"/>
    <col min="784" max="784" width="8.5546875" style="7" customWidth="1"/>
    <col min="785" max="785" width="18.6640625" style="7" customWidth="1"/>
    <col min="786" max="786" width="13.5546875" style="7" customWidth="1"/>
    <col min="787" max="787" width="11.44140625" style="7" customWidth="1"/>
    <col min="788" max="788" width="11.6640625" style="7" customWidth="1"/>
    <col min="789" max="789" width="11.5546875" style="7" customWidth="1"/>
    <col min="790" max="790" width="15" style="7" customWidth="1"/>
    <col min="791" max="1028" width="9.109375" style="7"/>
    <col min="1029" max="1029" width="14.5546875" style="7" customWidth="1"/>
    <col min="1030" max="1030" width="33.21875" style="7" bestFit="1" customWidth="1"/>
    <col min="1031" max="1031" width="10.88671875" style="7" bestFit="1" customWidth="1"/>
    <col min="1032" max="1032" width="12.88671875" style="7" bestFit="1" customWidth="1"/>
    <col min="1033" max="1033" width="7.44140625" style="7" customWidth="1"/>
    <col min="1034" max="1034" width="30.21875" style="7" bestFit="1" customWidth="1"/>
    <col min="1035" max="1035" width="7.77734375" style="7" customWidth="1"/>
    <col min="1036" max="1036" width="8.109375" style="7" customWidth="1"/>
    <col min="1037" max="1037" width="9" style="7" customWidth="1"/>
    <col min="1038" max="1038" width="8.5546875" style="7" customWidth="1"/>
    <col min="1039" max="1039" width="8.33203125" style="7" customWidth="1"/>
    <col min="1040" max="1040" width="8.5546875" style="7" customWidth="1"/>
    <col min="1041" max="1041" width="18.6640625" style="7" customWidth="1"/>
    <col min="1042" max="1042" width="13.5546875" style="7" customWidth="1"/>
    <col min="1043" max="1043" width="11.44140625" style="7" customWidth="1"/>
    <col min="1044" max="1044" width="11.6640625" style="7" customWidth="1"/>
    <col min="1045" max="1045" width="11.5546875" style="7" customWidth="1"/>
    <col min="1046" max="1046" width="15" style="7" customWidth="1"/>
    <col min="1047" max="1284" width="9.109375" style="7"/>
    <col min="1285" max="1285" width="14.5546875" style="7" customWidth="1"/>
    <col min="1286" max="1286" width="33.21875" style="7" bestFit="1" customWidth="1"/>
    <col min="1287" max="1287" width="10.88671875" style="7" bestFit="1" customWidth="1"/>
    <col min="1288" max="1288" width="12.88671875" style="7" bestFit="1" customWidth="1"/>
    <col min="1289" max="1289" width="7.44140625" style="7" customWidth="1"/>
    <col min="1290" max="1290" width="30.21875" style="7" bestFit="1" customWidth="1"/>
    <col min="1291" max="1291" width="7.77734375" style="7" customWidth="1"/>
    <col min="1292" max="1292" width="8.109375" style="7" customWidth="1"/>
    <col min="1293" max="1293" width="9" style="7" customWidth="1"/>
    <col min="1294" max="1294" width="8.5546875" style="7" customWidth="1"/>
    <col min="1295" max="1295" width="8.33203125" style="7" customWidth="1"/>
    <col min="1296" max="1296" width="8.5546875" style="7" customWidth="1"/>
    <col min="1297" max="1297" width="18.6640625" style="7" customWidth="1"/>
    <col min="1298" max="1298" width="13.5546875" style="7" customWidth="1"/>
    <col min="1299" max="1299" width="11.44140625" style="7" customWidth="1"/>
    <col min="1300" max="1300" width="11.6640625" style="7" customWidth="1"/>
    <col min="1301" max="1301" width="11.5546875" style="7" customWidth="1"/>
    <col min="1302" max="1302" width="15" style="7" customWidth="1"/>
    <col min="1303" max="1540" width="9.109375" style="7"/>
    <col min="1541" max="1541" width="14.5546875" style="7" customWidth="1"/>
    <col min="1542" max="1542" width="33.21875" style="7" bestFit="1" customWidth="1"/>
    <col min="1543" max="1543" width="10.88671875" style="7" bestFit="1" customWidth="1"/>
    <col min="1544" max="1544" width="12.88671875" style="7" bestFit="1" customWidth="1"/>
    <col min="1545" max="1545" width="7.44140625" style="7" customWidth="1"/>
    <col min="1546" max="1546" width="30.21875" style="7" bestFit="1" customWidth="1"/>
    <col min="1547" max="1547" width="7.77734375" style="7" customWidth="1"/>
    <col min="1548" max="1548" width="8.109375" style="7" customWidth="1"/>
    <col min="1549" max="1549" width="9" style="7" customWidth="1"/>
    <col min="1550" max="1550" width="8.5546875" style="7" customWidth="1"/>
    <col min="1551" max="1551" width="8.33203125" style="7" customWidth="1"/>
    <col min="1552" max="1552" width="8.5546875" style="7" customWidth="1"/>
    <col min="1553" max="1553" width="18.6640625" style="7" customWidth="1"/>
    <col min="1554" max="1554" width="13.5546875" style="7" customWidth="1"/>
    <col min="1555" max="1555" width="11.44140625" style="7" customWidth="1"/>
    <col min="1556" max="1556" width="11.6640625" style="7" customWidth="1"/>
    <col min="1557" max="1557" width="11.5546875" style="7" customWidth="1"/>
    <col min="1558" max="1558" width="15" style="7" customWidth="1"/>
    <col min="1559" max="1796" width="9.109375" style="7"/>
    <col min="1797" max="1797" width="14.5546875" style="7" customWidth="1"/>
    <col min="1798" max="1798" width="33.21875" style="7" bestFit="1" customWidth="1"/>
    <col min="1799" max="1799" width="10.88671875" style="7" bestFit="1" customWidth="1"/>
    <col min="1800" max="1800" width="12.88671875" style="7" bestFit="1" customWidth="1"/>
    <col min="1801" max="1801" width="7.44140625" style="7" customWidth="1"/>
    <col min="1802" max="1802" width="30.21875" style="7" bestFit="1" customWidth="1"/>
    <col min="1803" max="1803" width="7.77734375" style="7" customWidth="1"/>
    <col min="1804" max="1804" width="8.109375" style="7" customWidth="1"/>
    <col min="1805" max="1805" width="9" style="7" customWidth="1"/>
    <col min="1806" max="1806" width="8.5546875" style="7" customWidth="1"/>
    <col min="1807" max="1807" width="8.33203125" style="7" customWidth="1"/>
    <col min="1808" max="1808" width="8.5546875" style="7" customWidth="1"/>
    <col min="1809" max="1809" width="18.6640625" style="7" customWidth="1"/>
    <col min="1810" max="1810" width="13.5546875" style="7" customWidth="1"/>
    <col min="1811" max="1811" width="11.44140625" style="7" customWidth="1"/>
    <col min="1812" max="1812" width="11.6640625" style="7" customWidth="1"/>
    <col min="1813" max="1813" width="11.5546875" style="7" customWidth="1"/>
    <col min="1814" max="1814" width="15" style="7" customWidth="1"/>
    <col min="1815" max="2052" width="9.109375" style="7"/>
    <col min="2053" max="2053" width="14.5546875" style="7" customWidth="1"/>
    <col min="2054" max="2054" width="33.21875" style="7" bestFit="1" customWidth="1"/>
    <col min="2055" max="2055" width="10.88671875" style="7" bestFit="1" customWidth="1"/>
    <col min="2056" max="2056" width="12.88671875" style="7" bestFit="1" customWidth="1"/>
    <col min="2057" max="2057" width="7.44140625" style="7" customWidth="1"/>
    <col min="2058" max="2058" width="30.21875" style="7" bestFit="1" customWidth="1"/>
    <col min="2059" max="2059" width="7.77734375" style="7" customWidth="1"/>
    <col min="2060" max="2060" width="8.109375" style="7" customWidth="1"/>
    <col min="2061" max="2061" width="9" style="7" customWidth="1"/>
    <col min="2062" max="2062" width="8.5546875" style="7" customWidth="1"/>
    <col min="2063" max="2063" width="8.33203125" style="7" customWidth="1"/>
    <col min="2064" max="2064" width="8.5546875" style="7" customWidth="1"/>
    <col min="2065" max="2065" width="18.6640625" style="7" customWidth="1"/>
    <col min="2066" max="2066" width="13.5546875" style="7" customWidth="1"/>
    <col min="2067" max="2067" width="11.44140625" style="7" customWidth="1"/>
    <col min="2068" max="2068" width="11.6640625" style="7" customWidth="1"/>
    <col min="2069" max="2069" width="11.5546875" style="7" customWidth="1"/>
    <col min="2070" max="2070" width="15" style="7" customWidth="1"/>
    <col min="2071" max="2308" width="9.109375" style="7"/>
    <col min="2309" max="2309" width="14.5546875" style="7" customWidth="1"/>
    <col min="2310" max="2310" width="33.21875" style="7" bestFit="1" customWidth="1"/>
    <col min="2311" max="2311" width="10.88671875" style="7" bestFit="1" customWidth="1"/>
    <col min="2312" max="2312" width="12.88671875" style="7" bestFit="1" customWidth="1"/>
    <col min="2313" max="2313" width="7.44140625" style="7" customWidth="1"/>
    <col min="2314" max="2314" width="30.21875" style="7" bestFit="1" customWidth="1"/>
    <col min="2315" max="2315" width="7.77734375" style="7" customWidth="1"/>
    <col min="2316" max="2316" width="8.109375" style="7" customWidth="1"/>
    <col min="2317" max="2317" width="9" style="7" customWidth="1"/>
    <col min="2318" max="2318" width="8.5546875" style="7" customWidth="1"/>
    <col min="2319" max="2319" width="8.33203125" style="7" customWidth="1"/>
    <col min="2320" max="2320" width="8.5546875" style="7" customWidth="1"/>
    <col min="2321" max="2321" width="18.6640625" style="7" customWidth="1"/>
    <col min="2322" max="2322" width="13.5546875" style="7" customWidth="1"/>
    <col min="2323" max="2323" width="11.44140625" style="7" customWidth="1"/>
    <col min="2324" max="2324" width="11.6640625" style="7" customWidth="1"/>
    <col min="2325" max="2325" width="11.5546875" style="7" customWidth="1"/>
    <col min="2326" max="2326" width="15" style="7" customWidth="1"/>
    <col min="2327" max="2564" width="9.109375" style="7"/>
    <col min="2565" max="2565" width="14.5546875" style="7" customWidth="1"/>
    <col min="2566" max="2566" width="33.21875" style="7" bestFit="1" customWidth="1"/>
    <col min="2567" max="2567" width="10.88671875" style="7" bestFit="1" customWidth="1"/>
    <col min="2568" max="2568" width="12.88671875" style="7" bestFit="1" customWidth="1"/>
    <col min="2569" max="2569" width="7.44140625" style="7" customWidth="1"/>
    <col min="2570" max="2570" width="30.21875" style="7" bestFit="1" customWidth="1"/>
    <col min="2571" max="2571" width="7.77734375" style="7" customWidth="1"/>
    <col min="2572" max="2572" width="8.109375" style="7" customWidth="1"/>
    <col min="2573" max="2573" width="9" style="7" customWidth="1"/>
    <col min="2574" max="2574" width="8.5546875" style="7" customWidth="1"/>
    <col min="2575" max="2575" width="8.33203125" style="7" customWidth="1"/>
    <col min="2576" max="2576" width="8.5546875" style="7" customWidth="1"/>
    <col min="2577" max="2577" width="18.6640625" style="7" customWidth="1"/>
    <col min="2578" max="2578" width="13.5546875" style="7" customWidth="1"/>
    <col min="2579" max="2579" width="11.44140625" style="7" customWidth="1"/>
    <col min="2580" max="2580" width="11.6640625" style="7" customWidth="1"/>
    <col min="2581" max="2581" width="11.5546875" style="7" customWidth="1"/>
    <col min="2582" max="2582" width="15" style="7" customWidth="1"/>
    <col min="2583" max="2820" width="9.109375" style="7"/>
    <col min="2821" max="2821" width="14.5546875" style="7" customWidth="1"/>
    <col min="2822" max="2822" width="33.21875" style="7" bestFit="1" customWidth="1"/>
    <col min="2823" max="2823" width="10.88671875" style="7" bestFit="1" customWidth="1"/>
    <col min="2824" max="2824" width="12.88671875" style="7" bestFit="1" customWidth="1"/>
    <col min="2825" max="2825" width="7.44140625" style="7" customWidth="1"/>
    <col min="2826" max="2826" width="30.21875" style="7" bestFit="1" customWidth="1"/>
    <col min="2827" max="2827" width="7.77734375" style="7" customWidth="1"/>
    <col min="2828" max="2828" width="8.109375" style="7" customWidth="1"/>
    <col min="2829" max="2829" width="9" style="7" customWidth="1"/>
    <col min="2830" max="2830" width="8.5546875" style="7" customWidth="1"/>
    <col min="2831" max="2831" width="8.33203125" style="7" customWidth="1"/>
    <col min="2832" max="2832" width="8.5546875" style="7" customWidth="1"/>
    <col min="2833" max="2833" width="18.6640625" style="7" customWidth="1"/>
    <col min="2834" max="2834" width="13.5546875" style="7" customWidth="1"/>
    <col min="2835" max="2835" width="11.44140625" style="7" customWidth="1"/>
    <col min="2836" max="2836" width="11.6640625" style="7" customWidth="1"/>
    <col min="2837" max="2837" width="11.5546875" style="7" customWidth="1"/>
    <col min="2838" max="2838" width="15" style="7" customWidth="1"/>
    <col min="2839" max="3076" width="9.109375" style="7"/>
    <col min="3077" max="3077" width="14.5546875" style="7" customWidth="1"/>
    <col min="3078" max="3078" width="33.21875" style="7" bestFit="1" customWidth="1"/>
    <col min="3079" max="3079" width="10.88671875" style="7" bestFit="1" customWidth="1"/>
    <col min="3080" max="3080" width="12.88671875" style="7" bestFit="1" customWidth="1"/>
    <col min="3081" max="3081" width="7.44140625" style="7" customWidth="1"/>
    <col min="3082" max="3082" width="30.21875" style="7" bestFit="1" customWidth="1"/>
    <col min="3083" max="3083" width="7.77734375" style="7" customWidth="1"/>
    <col min="3084" max="3084" width="8.109375" style="7" customWidth="1"/>
    <col min="3085" max="3085" width="9" style="7" customWidth="1"/>
    <col min="3086" max="3086" width="8.5546875" style="7" customWidth="1"/>
    <col min="3087" max="3087" width="8.33203125" style="7" customWidth="1"/>
    <col min="3088" max="3088" width="8.5546875" style="7" customWidth="1"/>
    <col min="3089" max="3089" width="18.6640625" style="7" customWidth="1"/>
    <col min="3090" max="3090" width="13.5546875" style="7" customWidth="1"/>
    <col min="3091" max="3091" width="11.44140625" style="7" customWidth="1"/>
    <col min="3092" max="3092" width="11.6640625" style="7" customWidth="1"/>
    <col min="3093" max="3093" width="11.5546875" style="7" customWidth="1"/>
    <col min="3094" max="3094" width="15" style="7" customWidth="1"/>
    <col min="3095" max="3332" width="9.109375" style="7"/>
    <col min="3333" max="3333" width="14.5546875" style="7" customWidth="1"/>
    <col min="3334" max="3334" width="33.21875" style="7" bestFit="1" customWidth="1"/>
    <col min="3335" max="3335" width="10.88671875" style="7" bestFit="1" customWidth="1"/>
    <col min="3336" max="3336" width="12.88671875" style="7" bestFit="1" customWidth="1"/>
    <col min="3337" max="3337" width="7.44140625" style="7" customWidth="1"/>
    <col min="3338" max="3338" width="30.21875" style="7" bestFit="1" customWidth="1"/>
    <col min="3339" max="3339" width="7.77734375" style="7" customWidth="1"/>
    <col min="3340" max="3340" width="8.109375" style="7" customWidth="1"/>
    <col min="3341" max="3341" width="9" style="7" customWidth="1"/>
    <col min="3342" max="3342" width="8.5546875" style="7" customWidth="1"/>
    <col min="3343" max="3343" width="8.33203125" style="7" customWidth="1"/>
    <col min="3344" max="3344" width="8.5546875" style="7" customWidth="1"/>
    <col min="3345" max="3345" width="18.6640625" style="7" customWidth="1"/>
    <col min="3346" max="3346" width="13.5546875" style="7" customWidth="1"/>
    <col min="3347" max="3347" width="11.44140625" style="7" customWidth="1"/>
    <col min="3348" max="3348" width="11.6640625" style="7" customWidth="1"/>
    <col min="3349" max="3349" width="11.5546875" style="7" customWidth="1"/>
    <col min="3350" max="3350" width="15" style="7" customWidth="1"/>
    <col min="3351" max="3588" width="9.109375" style="7"/>
    <col min="3589" max="3589" width="14.5546875" style="7" customWidth="1"/>
    <col min="3590" max="3590" width="33.21875" style="7" bestFit="1" customWidth="1"/>
    <col min="3591" max="3591" width="10.88671875" style="7" bestFit="1" customWidth="1"/>
    <col min="3592" max="3592" width="12.88671875" style="7" bestFit="1" customWidth="1"/>
    <col min="3593" max="3593" width="7.44140625" style="7" customWidth="1"/>
    <col min="3594" max="3594" width="30.21875" style="7" bestFit="1" customWidth="1"/>
    <col min="3595" max="3595" width="7.77734375" style="7" customWidth="1"/>
    <col min="3596" max="3596" width="8.109375" style="7" customWidth="1"/>
    <col min="3597" max="3597" width="9" style="7" customWidth="1"/>
    <col min="3598" max="3598" width="8.5546875" style="7" customWidth="1"/>
    <col min="3599" max="3599" width="8.33203125" style="7" customWidth="1"/>
    <col min="3600" max="3600" width="8.5546875" style="7" customWidth="1"/>
    <col min="3601" max="3601" width="18.6640625" style="7" customWidth="1"/>
    <col min="3602" max="3602" width="13.5546875" style="7" customWidth="1"/>
    <col min="3603" max="3603" width="11.44140625" style="7" customWidth="1"/>
    <col min="3604" max="3604" width="11.6640625" style="7" customWidth="1"/>
    <col min="3605" max="3605" width="11.5546875" style="7" customWidth="1"/>
    <col min="3606" max="3606" width="15" style="7" customWidth="1"/>
    <col min="3607" max="3844" width="9.109375" style="7"/>
    <col min="3845" max="3845" width="14.5546875" style="7" customWidth="1"/>
    <col min="3846" max="3846" width="33.21875" style="7" bestFit="1" customWidth="1"/>
    <col min="3847" max="3847" width="10.88671875" style="7" bestFit="1" customWidth="1"/>
    <col min="3848" max="3848" width="12.88671875" style="7" bestFit="1" customWidth="1"/>
    <col min="3849" max="3849" width="7.44140625" style="7" customWidth="1"/>
    <col min="3850" max="3850" width="30.21875" style="7" bestFit="1" customWidth="1"/>
    <col min="3851" max="3851" width="7.77734375" style="7" customWidth="1"/>
    <col min="3852" max="3852" width="8.109375" style="7" customWidth="1"/>
    <col min="3853" max="3853" width="9" style="7" customWidth="1"/>
    <col min="3854" max="3854" width="8.5546875" style="7" customWidth="1"/>
    <col min="3855" max="3855" width="8.33203125" style="7" customWidth="1"/>
    <col min="3856" max="3856" width="8.5546875" style="7" customWidth="1"/>
    <col min="3857" max="3857" width="18.6640625" style="7" customWidth="1"/>
    <col min="3858" max="3858" width="13.5546875" style="7" customWidth="1"/>
    <col min="3859" max="3859" width="11.44140625" style="7" customWidth="1"/>
    <col min="3860" max="3860" width="11.6640625" style="7" customWidth="1"/>
    <col min="3861" max="3861" width="11.5546875" style="7" customWidth="1"/>
    <col min="3862" max="3862" width="15" style="7" customWidth="1"/>
    <col min="3863" max="4100" width="9.109375" style="7"/>
    <col min="4101" max="4101" width="14.5546875" style="7" customWidth="1"/>
    <col min="4102" max="4102" width="33.21875" style="7" bestFit="1" customWidth="1"/>
    <col min="4103" max="4103" width="10.88671875" style="7" bestFit="1" customWidth="1"/>
    <col min="4104" max="4104" width="12.88671875" style="7" bestFit="1" customWidth="1"/>
    <col min="4105" max="4105" width="7.44140625" style="7" customWidth="1"/>
    <col min="4106" max="4106" width="30.21875" style="7" bestFit="1" customWidth="1"/>
    <col min="4107" max="4107" width="7.77734375" style="7" customWidth="1"/>
    <col min="4108" max="4108" width="8.109375" style="7" customWidth="1"/>
    <col min="4109" max="4109" width="9" style="7" customWidth="1"/>
    <col min="4110" max="4110" width="8.5546875" style="7" customWidth="1"/>
    <col min="4111" max="4111" width="8.33203125" style="7" customWidth="1"/>
    <col min="4112" max="4112" width="8.5546875" style="7" customWidth="1"/>
    <col min="4113" max="4113" width="18.6640625" style="7" customWidth="1"/>
    <col min="4114" max="4114" width="13.5546875" style="7" customWidth="1"/>
    <col min="4115" max="4115" width="11.44140625" style="7" customWidth="1"/>
    <col min="4116" max="4116" width="11.6640625" style="7" customWidth="1"/>
    <col min="4117" max="4117" width="11.5546875" style="7" customWidth="1"/>
    <col min="4118" max="4118" width="15" style="7" customWidth="1"/>
    <col min="4119" max="4356" width="9.109375" style="7"/>
    <col min="4357" max="4357" width="14.5546875" style="7" customWidth="1"/>
    <col min="4358" max="4358" width="33.21875" style="7" bestFit="1" customWidth="1"/>
    <col min="4359" max="4359" width="10.88671875" style="7" bestFit="1" customWidth="1"/>
    <col min="4360" max="4360" width="12.88671875" style="7" bestFit="1" customWidth="1"/>
    <col min="4361" max="4361" width="7.44140625" style="7" customWidth="1"/>
    <col min="4362" max="4362" width="30.21875" style="7" bestFit="1" customWidth="1"/>
    <col min="4363" max="4363" width="7.77734375" style="7" customWidth="1"/>
    <col min="4364" max="4364" width="8.109375" style="7" customWidth="1"/>
    <col min="4365" max="4365" width="9" style="7" customWidth="1"/>
    <col min="4366" max="4366" width="8.5546875" style="7" customWidth="1"/>
    <col min="4367" max="4367" width="8.33203125" style="7" customWidth="1"/>
    <col min="4368" max="4368" width="8.5546875" style="7" customWidth="1"/>
    <col min="4369" max="4369" width="18.6640625" style="7" customWidth="1"/>
    <col min="4370" max="4370" width="13.5546875" style="7" customWidth="1"/>
    <col min="4371" max="4371" width="11.44140625" style="7" customWidth="1"/>
    <col min="4372" max="4372" width="11.6640625" style="7" customWidth="1"/>
    <col min="4373" max="4373" width="11.5546875" style="7" customWidth="1"/>
    <col min="4374" max="4374" width="15" style="7" customWidth="1"/>
    <col min="4375" max="4612" width="9.109375" style="7"/>
    <col min="4613" max="4613" width="14.5546875" style="7" customWidth="1"/>
    <col min="4614" max="4614" width="33.21875" style="7" bestFit="1" customWidth="1"/>
    <col min="4615" max="4615" width="10.88671875" style="7" bestFit="1" customWidth="1"/>
    <col min="4616" max="4616" width="12.88671875" style="7" bestFit="1" customWidth="1"/>
    <col min="4617" max="4617" width="7.44140625" style="7" customWidth="1"/>
    <col min="4618" max="4618" width="30.21875" style="7" bestFit="1" customWidth="1"/>
    <col min="4619" max="4619" width="7.77734375" style="7" customWidth="1"/>
    <col min="4620" max="4620" width="8.109375" style="7" customWidth="1"/>
    <col min="4621" max="4621" width="9" style="7" customWidth="1"/>
    <col min="4622" max="4622" width="8.5546875" style="7" customWidth="1"/>
    <col min="4623" max="4623" width="8.33203125" style="7" customWidth="1"/>
    <col min="4624" max="4624" width="8.5546875" style="7" customWidth="1"/>
    <col min="4625" max="4625" width="18.6640625" style="7" customWidth="1"/>
    <col min="4626" max="4626" width="13.5546875" style="7" customWidth="1"/>
    <col min="4627" max="4627" width="11.44140625" style="7" customWidth="1"/>
    <col min="4628" max="4628" width="11.6640625" style="7" customWidth="1"/>
    <col min="4629" max="4629" width="11.5546875" style="7" customWidth="1"/>
    <col min="4630" max="4630" width="15" style="7" customWidth="1"/>
    <col min="4631" max="4868" width="9.109375" style="7"/>
    <col min="4869" max="4869" width="14.5546875" style="7" customWidth="1"/>
    <col min="4870" max="4870" width="33.21875" style="7" bestFit="1" customWidth="1"/>
    <col min="4871" max="4871" width="10.88671875" style="7" bestFit="1" customWidth="1"/>
    <col min="4872" max="4872" width="12.88671875" style="7" bestFit="1" customWidth="1"/>
    <col min="4873" max="4873" width="7.44140625" style="7" customWidth="1"/>
    <col min="4874" max="4874" width="30.21875" style="7" bestFit="1" customWidth="1"/>
    <col min="4875" max="4875" width="7.77734375" style="7" customWidth="1"/>
    <col min="4876" max="4876" width="8.109375" style="7" customWidth="1"/>
    <col min="4877" max="4877" width="9" style="7" customWidth="1"/>
    <col min="4878" max="4878" width="8.5546875" style="7" customWidth="1"/>
    <col min="4879" max="4879" width="8.33203125" style="7" customWidth="1"/>
    <col min="4880" max="4880" width="8.5546875" style="7" customWidth="1"/>
    <col min="4881" max="4881" width="18.6640625" style="7" customWidth="1"/>
    <col min="4882" max="4882" width="13.5546875" style="7" customWidth="1"/>
    <col min="4883" max="4883" width="11.44140625" style="7" customWidth="1"/>
    <col min="4884" max="4884" width="11.6640625" style="7" customWidth="1"/>
    <col min="4885" max="4885" width="11.5546875" style="7" customWidth="1"/>
    <col min="4886" max="4886" width="15" style="7" customWidth="1"/>
    <col min="4887" max="5124" width="9.109375" style="7"/>
    <col min="5125" max="5125" width="14.5546875" style="7" customWidth="1"/>
    <col min="5126" max="5126" width="33.21875" style="7" bestFit="1" customWidth="1"/>
    <col min="5127" max="5127" width="10.88671875" style="7" bestFit="1" customWidth="1"/>
    <col min="5128" max="5128" width="12.88671875" style="7" bestFit="1" customWidth="1"/>
    <col min="5129" max="5129" width="7.44140625" style="7" customWidth="1"/>
    <col min="5130" max="5130" width="30.21875" style="7" bestFit="1" customWidth="1"/>
    <col min="5131" max="5131" width="7.77734375" style="7" customWidth="1"/>
    <col min="5132" max="5132" width="8.109375" style="7" customWidth="1"/>
    <col min="5133" max="5133" width="9" style="7" customWidth="1"/>
    <col min="5134" max="5134" width="8.5546875" style="7" customWidth="1"/>
    <col min="5135" max="5135" width="8.33203125" style="7" customWidth="1"/>
    <col min="5136" max="5136" width="8.5546875" style="7" customWidth="1"/>
    <col min="5137" max="5137" width="18.6640625" style="7" customWidth="1"/>
    <col min="5138" max="5138" width="13.5546875" style="7" customWidth="1"/>
    <col min="5139" max="5139" width="11.44140625" style="7" customWidth="1"/>
    <col min="5140" max="5140" width="11.6640625" style="7" customWidth="1"/>
    <col min="5141" max="5141" width="11.5546875" style="7" customWidth="1"/>
    <col min="5142" max="5142" width="15" style="7" customWidth="1"/>
    <col min="5143" max="5380" width="9.109375" style="7"/>
    <col min="5381" max="5381" width="14.5546875" style="7" customWidth="1"/>
    <col min="5382" max="5382" width="33.21875" style="7" bestFit="1" customWidth="1"/>
    <col min="5383" max="5383" width="10.88671875" style="7" bestFit="1" customWidth="1"/>
    <col min="5384" max="5384" width="12.88671875" style="7" bestFit="1" customWidth="1"/>
    <col min="5385" max="5385" width="7.44140625" style="7" customWidth="1"/>
    <col min="5386" max="5386" width="30.21875" style="7" bestFit="1" customWidth="1"/>
    <col min="5387" max="5387" width="7.77734375" style="7" customWidth="1"/>
    <col min="5388" max="5388" width="8.109375" style="7" customWidth="1"/>
    <col min="5389" max="5389" width="9" style="7" customWidth="1"/>
    <col min="5390" max="5390" width="8.5546875" style="7" customWidth="1"/>
    <col min="5391" max="5391" width="8.33203125" style="7" customWidth="1"/>
    <col min="5392" max="5392" width="8.5546875" style="7" customWidth="1"/>
    <col min="5393" max="5393" width="18.6640625" style="7" customWidth="1"/>
    <col min="5394" max="5394" width="13.5546875" style="7" customWidth="1"/>
    <col min="5395" max="5395" width="11.44140625" style="7" customWidth="1"/>
    <col min="5396" max="5396" width="11.6640625" style="7" customWidth="1"/>
    <col min="5397" max="5397" width="11.5546875" style="7" customWidth="1"/>
    <col min="5398" max="5398" width="15" style="7" customWidth="1"/>
    <col min="5399" max="5636" width="9.109375" style="7"/>
    <col min="5637" max="5637" width="14.5546875" style="7" customWidth="1"/>
    <col min="5638" max="5638" width="33.21875" style="7" bestFit="1" customWidth="1"/>
    <col min="5639" max="5639" width="10.88671875" style="7" bestFit="1" customWidth="1"/>
    <col min="5640" max="5640" width="12.88671875" style="7" bestFit="1" customWidth="1"/>
    <col min="5641" max="5641" width="7.44140625" style="7" customWidth="1"/>
    <col min="5642" max="5642" width="30.21875" style="7" bestFit="1" customWidth="1"/>
    <col min="5643" max="5643" width="7.77734375" style="7" customWidth="1"/>
    <col min="5644" max="5644" width="8.109375" style="7" customWidth="1"/>
    <col min="5645" max="5645" width="9" style="7" customWidth="1"/>
    <col min="5646" max="5646" width="8.5546875" style="7" customWidth="1"/>
    <col min="5647" max="5647" width="8.33203125" style="7" customWidth="1"/>
    <col min="5648" max="5648" width="8.5546875" style="7" customWidth="1"/>
    <col min="5649" max="5649" width="18.6640625" style="7" customWidth="1"/>
    <col min="5650" max="5650" width="13.5546875" style="7" customWidth="1"/>
    <col min="5651" max="5651" width="11.44140625" style="7" customWidth="1"/>
    <col min="5652" max="5652" width="11.6640625" style="7" customWidth="1"/>
    <col min="5653" max="5653" width="11.5546875" style="7" customWidth="1"/>
    <col min="5654" max="5654" width="15" style="7" customWidth="1"/>
    <col min="5655" max="5892" width="9.109375" style="7"/>
    <col min="5893" max="5893" width="14.5546875" style="7" customWidth="1"/>
    <col min="5894" max="5894" width="33.21875" style="7" bestFit="1" customWidth="1"/>
    <col min="5895" max="5895" width="10.88671875" style="7" bestFit="1" customWidth="1"/>
    <col min="5896" max="5896" width="12.88671875" style="7" bestFit="1" customWidth="1"/>
    <col min="5897" max="5897" width="7.44140625" style="7" customWidth="1"/>
    <col min="5898" max="5898" width="30.21875" style="7" bestFit="1" customWidth="1"/>
    <col min="5899" max="5899" width="7.77734375" style="7" customWidth="1"/>
    <col min="5900" max="5900" width="8.109375" style="7" customWidth="1"/>
    <col min="5901" max="5901" width="9" style="7" customWidth="1"/>
    <col min="5902" max="5902" width="8.5546875" style="7" customWidth="1"/>
    <col min="5903" max="5903" width="8.33203125" style="7" customWidth="1"/>
    <col min="5904" max="5904" width="8.5546875" style="7" customWidth="1"/>
    <col min="5905" max="5905" width="18.6640625" style="7" customWidth="1"/>
    <col min="5906" max="5906" width="13.5546875" style="7" customWidth="1"/>
    <col min="5907" max="5907" width="11.44140625" style="7" customWidth="1"/>
    <col min="5908" max="5908" width="11.6640625" style="7" customWidth="1"/>
    <col min="5909" max="5909" width="11.5546875" style="7" customWidth="1"/>
    <col min="5910" max="5910" width="15" style="7" customWidth="1"/>
    <col min="5911" max="6148" width="9.109375" style="7"/>
    <col min="6149" max="6149" width="14.5546875" style="7" customWidth="1"/>
    <col min="6150" max="6150" width="33.21875" style="7" bestFit="1" customWidth="1"/>
    <col min="6151" max="6151" width="10.88671875" style="7" bestFit="1" customWidth="1"/>
    <col min="6152" max="6152" width="12.88671875" style="7" bestFit="1" customWidth="1"/>
    <col min="6153" max="6153" width="7.44140625" style="7" customWidth="1"/>
    <col min="6154" max="6154" width="30.21875" style="7" bestFit="1" customWidth="1"/>
    <col min="6155" max="6155" width="7.77734375" style="7" customWidth="1"/>
    <col min="6156" max="6156" width="8.109375" style="7" customWidth="1"/>
    <col min="6157" max="6157" width="9" style="7" customWidth="1"/>
    <col min="6158" max="6158" width="8.5546875" style="7" customWidth="1"/>
    <col min="6159" max="6159" width="8.33203125" style="7" customWidth="1"/>
    <col min="6160" max="6160" width="8.5546875" style="7" customWidth="1"/>
    <col min="6161" max="6161" width="18.6640625" style="7" customWidth="1"/>
    <col min="6162" max="6162" width="13.5546875" style="7" customWidth="1"/>
    <col min="6163" max="6163" width="11.44140625" style="7" customWidth="1"/>
    <col min="6164" max="6164" width="11.6640625" style="7" customWidth="1"/>
    <col min="6165" max="6165" width="11.5546875" style="7" customWidth="1"/>
    <col min="6166" max="6166" width="15" style="7" customWidth="1"/>
    <col min="6167" max="6404" width="9.109375" style="7"/>
    <col min="6405" max="6405" width="14.5546875" style="7" customWidth="1"/>
    <col min="6406" max="6406" width="33.21875" style="7" bestFit="1" customWidth="1"/>
    <col min="6407" max="6407" width="10.88671875" style="7" bestFit="1" customWidth="1"/>
    <col min="6408" max="6408" width="12.88671875" style="7" bestFit="1" customWidth="1"/>
    <col min="6409" max="6409" width="7.44140625" style="7" customWidth="1"/>
    <col min="6410" max="6410" width="30.21875" style="7" bestFit="1" customWidth="1"/>
    <col min="6411" max="6411" width="7.77734375" style="7" customWidth="1"/>
    <col min="6412" max="6412" width="8.109375" style="7" customWidth="1"/>
    <col min="6413" max="6413" width="9" style="7" customWidth="1"/>
    <col min="6414" max="6414" width="8.5546875" style="7" customWidth="1"/>
    <col min="6415" max="6415" width="8.33203125" style="7" customWidth="1"/>
    <col min="6416" max="6416" width="8.5546875" style="7" customWidth="1"/>
    <col min="6417" max="6417" width="18.6640625" style="7" customWidth="1"/>
    <col min="6418" max="6418" width="13.5546875" style="7" customWidth="1"/>
    <col min="6419" max="6419" width="11.44140625" style="7" customWidth="1"/>
    <col min="6420" max="6420" width="11.6640625" style="7" customWidth="1"/>
    <col min="6421" max="6421" width="11.5546875" style="7" customWidth="1"/>
    <col min="6422" max="6422" width="15" style="7" customWidth="1"/>
    <col min="6423" max="6660" width="9.109375" style="7"/>
    <col min="6661" max="6661" width="14.5546875" style="7" customWidth="1"/>
    <col min="6662" max="6662" width="33.21875" style="7" bestFit="1" customWidth="1"/>
    <col min="6663" max="6663" width="10.88671875" style="7" bestFit="1" customWidth="1"/>
    <col min="6664" max="6664" width="12.88671875" style="7" bestFit="1" customWidth="1"/>
    <col min="6665" max="6665" width="7.44140625" style="7" customWidth="1"/>
    <col min="6666" max="6666" width="30.21875" style="7" bestFit="1" customWidth="1"/>
    <col min="6667" max="6667" width="7.77734375" style="7" customWidth="1"/>
    <col min="6668" max="6668" width="8.109375" style="7" customWidth="1"/>
    <col min="6669" max="6669" width="9" style="7" customWidth="1"/>
    <col min="6670" max="6670" width="8.5546875" style="7" customWidth="1"/>
    <col min="6671" max="6671" width="8.33203125" style="7" customWidth="1"/>
    <col min="6672" max="6672" width="8.5546875" style="7" customWidth="1"/>
    <col min="6673" max="6673" width="18.6640625" style="7" customWidth="1"/>
    <col min="6674" max="6674" width="13.5546875" style="7" customWidth="1"/>
    <col min="6675" max="6675" width="11.44140625" style="7" customWidth="1"/>
    <col min="6676" max="6676" width="11.6640625" style="7" customWidth="1"/>
    <col min="6677" max="6677" width="11.5546875" style="7" customWidth="1"/>
    <col min="6678" max="6678" width="15" style="7" customWidth="1"/>
    <col min="6679" max="6916" width="9.109375" style="7"/>
    <col min="6917" max="6917" width="14.5546875" style="7" customWidth="1"/>
    <col min="6918" max="6918" width="33.21875" style="7" bestFit="1" customWidth="1"/>
    <col min="6919" max="6919" width="10.88671875" style="7" bestFit="1" customWidth="1"/>
    <col min="6920" max="6920" width="12.88671875" style="7" bestFit="1" customWidth="1"/>
    <col min="6921" max="6921" width="7.44140625" style="7" customWidth="1"/>
    <col min="6922" max="6922" width="30.21875" style="7" bestFit="1" customWidth="1"/>
    <col min="6923" max="6923" width="7.77734375" style="7" customWidth="1"/>
    <col min="6924" max="6924" width="8.109375" style="7" customWidth="1"/>
    <col min="6925" max="6925" width="9" style="7" customWidth="1"/>
    <col min="6926" max="6926" width="8.5546875" style="7" customWidth="1"/>
    <col min="6927" max="6927" width="8.33203125" style="7" customWidth="1"/>
    <col min="6928" max="6928" width="8.5546875" style="7" customWidth="1"/>
    <col min="6929" max="6929" width="18.6640625" style="7" customWidth="1"/>
    <col min="6930" max="6930" width="13.5546875" style="7" customWidth="1"/>
    <col min="6931" max="6931" width="11.44140625" style="7" customWidth="1"/>
    <col min="6932" max="6932" width="11.6640625" style="7" customWidth="1"/>
    <col min="6933" max="6933" width="11.5546875" style="7" customWidth="1"/>
    <col min="6934" max="6934" width="15" style="7" customWidth="1"/>
    <col min="6935" max="7172" width="9.109375" style="7"/>
    <col min="7173" max="7173" width="14.5546875" style="7" customWidth="1"/>
    <col min="7174" max="7174" width="33.21875" style="7" bestFit="1" customWidth="1"/>
    <col min="7175" max="7175" width="10.88671875" style="7" bestFit="1" customWidth="1"/>
    <col min="7176" max="7176" width="12.88671875" style="7" bestFit="1" customWidth="1"/>
    <col min="7177" max="7177" width="7.44140625" style="7" customWidth="1"/>
    <col min="7178" max="7178" width="30.21875" style="7" bestFit="1" customWidth="1"/>
    <col min="7179" max="7179" width="7.77734375" style="7" customWidth="1"/>
    <col min="7180" max="7180" width="8.109375" style="7" customWidth="1"/>
    <col min="7181" max="7181" width="9" style="7" customWidth="1"/>
    <col min="7182" max="7182" width="8.5546875" style="7" customWidth="1"/>
    <col min="7183" max="7183" width="8.33203125" style="7" customWidth="1"/>
    <col min="7184" max="7184" width="8.5546875" style="7" customWidth="1"/>
    <col min="7185" max="7185" width="18.6640625" style="7" customWidth="1"/>
    <col min="7186" max="7186" width="13.5546875" style="7" customWidth="1"/>
    <col min="7187" max="7187" width="11.44140625" style="7" customWidth="1"/>
    <col min="7188" max="7188" width="11.6640625" style="7" customWidth="1"/>
    <col min="7189" max="7189" width="11.5546875" style="7" customWidth="1"/>
    <col min="7190" max="7190" width="15" style="7" customWidth="1"/>
    <col min="7191" max="7428" width="9.109375" style="7"/>
    <col min="7429" max="7429" width="14.5546875" style="7" customWidth="1"/>
    <col min="7430" max="7430" width="33.21875" style="7" bestFit="1" customWidth="1"/>
    <col min="7431" max="7431" width="10.88671875" style="7" bestFit="1" customWidth="1"/>
    <col min="7432" max="7432" width="12.88671875" style="7" bestFit="1" customWidth="1"/>
    <col min="7433" max="7433" width="7.44140625" style="7" customWidth="1"/>
    <col min="7434" max="7434" width="30.21875" style="7" bestFit="1" customWidth="1"/>
    <col min="7435" max="7435" width="7.77734375" style="7" customWidth="1"/>
    <col min="7436" max="7436" width="8.109375" style="7" customWidth="1"/>
    <col min="7437" max="7437" width="9" style="7" customWidth="1"/>
    <col min="7438" max="7438" width="8.5546875" style="7" customWidth="1"/>
    <col min="7439" max="7439" width="8.33203125" style="7" customWidth="1"/>
    <col min="7440" max="7440" width="8.5546875" style="7" customWidth="1"/>
    <col min="7441" max="7441" width="18.6640625" style="7" customWidth="1"/>
    <col min="7442" max="7442" width="13.5546875" style="7" customWidth="1"/>
    <col min="7443" max="7443" width="11.44140625" style="7" customWidth="1"/>
    <col min="7444" max="7444" width="11.6640625" style="7" customWidth="1"/>
    <col min="7445" max="7445" width="11.5546875" style="7" customWidth="1"/>
    <col min="7446" max="7446" width="15" style="7" customWidth="1"/>
    <col min="7447" max="7684" width="9.109375" style="7"/>
    <col min="7685" max="7685" width="14.5546875" style="7" customWidth="1"/>
    <col min="7686" max="7686" width="33.21875" style="7" bestFit="1" customWidth="1"/>
    <col min="7687" max="7687" width="10.88671875" style="7" bestFit="1" customWidth="1"/>
    <col min="7688" max="7688" width="12.88671875" style="7" bestFit="1" customWidth="1"/>
    <col min="7689" max="7689" width="7.44140625" style="7" customWidth="1"/>
    <col min="7690" max="7690" width="30.21875" style="7" bestFit="1" customWidth="1"/>
    <col min="7691" max="7691" width="7.77734375" style="7" customWidth="1"/>
    <col min="7692" max="7692" width="8.109375" style="7" customWidth="1"/>
    <col min="7693" max="7693" width="9" style="7" customWidth="1"/>
    <col min="7694" max="7694" width="8.5546875" style="7" customWidth="1"/>
    <col min="7695" max="7695" width="8.33203125" style="7" customWidth="1"/>
    <col min="7696" max="7696" width="8.5546875" style="7" customWidth="1"/>
    <col min="7697" max="7697" width="18.6640625" style="7" customWidth="1"/>
    <col min="7698" max="7698" width="13.5546875" style="7" customWidth="1"/>
    <col min="7699" max="7699" width="11.44140625" style="7" customWidth="1"/>
    <col min="7700" max="7700" width="11.6640625" style="7" customWidth="1"/>
    <col min="7701" max="7701" width="11.5546875" style="7" customWidth="1"/>
    <col min="7702" max="7702" width="15" style="7" customWidth="1"/>
    <col min="7703" max="7940" width="9.109375" style="7"/>
    <col min="7941" max="7941" width="14.5546875" style="7" customWidth="1"/>
    <col min="7942" max="7942" width="33.21875" style="7" bestFit="1" customWidth="1"/>
    <col min="7943" max="7943" width="10.88671875" style="7" bestFit="1" customWidth="1"/>
    <col min="7944" max="7944" width="12.88671875" style="7" bestFit="1" customWidth="1"/>
    <col min="7945" max="7945" width="7.44140625" style="7" customWidth="1"/>
    <col min="7946" max="7946" width="30.21875" style="7" bestFit="1" customWidth="1"/>
    <col min="7947" max="7947" width="7.77734375" style="7" customWidth="1"/>
    <col min="7948" max="7948" width="8.109375" style="7" customWidth="1"/>
    <col min="7949" max="7949" width="9" style="7" customWidth="1"/>
    <col min="7950" max="7950" width="8.5546875" style="7" customWidth="1"/>
    <col min="7951" max="7951" width="8.33203125" style="7" customWidth="1"/>
    <col min="7952" max="7952" width="8.5546875" style="7" customWidth="1"/>
    <col min="7953" max="7953" width="18.6640625" style="7" customWidth="1"/>
    <col min="7954" max="7954" width="13.5546875" style="7" customWidth="1"/>
    <col min="7955" max="7955" width="11.44140625" style="7" customWidth="1"/>
    <col min="7956" max="7956" width="11.6640625" style="7" customWidth="1"/>
    <col min="7957" max="7957" width="11.5546875" style="7" customWidth="1"/>
    <col min="7958" max="7958" width="15" style="7" customWidth="1"/>
    <col min="7959" max="8196" width="9.109375" style="7"/>
    <col min="8197" max="8197" width="14.5546875" style="7" customWidth="1"/>
    <col min="8198" max="8198" width="33.21875" style="7" bestFit="1" customWidth="1"/>
    <col min="8199" max="8199" width="10.88671875" style="7" bestFit="1" customWidth="1"/>
    <col min="8200" max="8200" width="12.88671875" style="7" bestFit="1" customWidth="1"/>
    <col min="8201" max="8201" width="7.44140625" style="7" customWidth="1"/>
    <col min="8202" max="8202" width="30.21875" style="7" bestFit="1" customWidth="1"/>
    <col min="8203" max="8203" width="7.77734375" style="7" customWidth="1"/>
    <col min="8204" max="8204" width="8.109375" style="7" customWidth="1"/>
    <col min="8205" max="8205" width="9" style="7" customWidth="1"/>
    <col min="8206" max="8206" width="8.5546875" style="7" customWidth="1"/>
    <col min="8207" max="8207" width="8.33203125" style="7" customWidth="1"/>
    <col min="8208" max="8208" width="8.5546875" style="7" customWidth="1"/>
    <col min="8209" max="8209" width="18.6640625" style="7" customWidth="1"/>
    <col min="8210" max="8210" width="13.5546875" style="7" customWidth="1"/>
    <col min="8211" max="8211" width="11.44140625" style="7" customWidth="1"/>
    <col min="8212" max="8212" width="11.6640625" style="7" customWidth="1"/>
    <col min="8213" max="8213" width="11.5546875" style="7" customWidth="1"/>
    <col min="8214" max="8214" width="15" style="7" customWidth="1"/>
    <col min="8215" max="8452" width="9.109375" style="7"/>
    <col min="8453" max="8453" width="14.5546875" style="7" customWidth="1"/>
    <col min="8454" max="8454" width="33.21875" style="7" bestFit="1" customWidth="1"/>
    <col min="8455" max="8455" width="10.88671875" style="7" bestFit="1" customWidth="1"/>
    <col min="8456" max="8456" width="12.88671875" style="7" bestFit="1" customWidth="1"/>
    <col min="8457" max="8457" width="7.44140625" style="7" customWidth="1"/>
    <col min="8458" max="8458" width="30.21875" style="7" bestFit="1" customWidth="1"/>
    <col min="8459" max="8459" width="7.77734375" style="7" customWidth="1"/>
    <col min="8460" max="8460" width="8.109375" style="7" customWidth="1"/>
    <col min="8461" max="8461" width="9" style="7" customWidth="1"/>
    <col min="8462" max="8462" width="8.5546875" style="7" customWidth="1"/>
    <col min="8463" max="8463" width="8.33203125" style="7" customWidth="1"/>
    <col min="8464" max="8464" width="8.5546875" style="7" customWidth="1"/>
    <col min="8465" max="8465" width="18.6640625" style="7" customWidth="1"/>
    <col min="8466" max="8466" width="13.5546875" style="7" customWidth="1"/>
    <col min="8467" max="8467" width="11.44140625" style="7" customWidth="1"/>
    <col min="8468" max="8468" width="11.6640625" style="7" customWidth="1"/>
    <col min="8469" max="8469" width="11.5546875" style="7" customWidth="1"/>
    <col min="8470" max="8470" width="15" style="7" customWidth="1"/>
    <col min="8471" max="8708" width="9.109375" style="7"/>
    <col min="8709" max="8709" width="14.5546875" style="7" customWidth="1"/>
    <col min="8710" max="8710" width="33.21875" style="7" bestFit="1" customWidth="1"/>
    <col min="8711" max="8711" width="10.88671875" style="7" bestFit="1" customWidth="1"/>
    <col min="8712" max="8712" width="12.88671875" style="7" bestFit="1" customWidth="1"/>
    <col min="8713" max="8713" width="7.44140625" style="7" customWidth="1"/>
    <col min="8714" max="8714" width="30.21875" style="7" bestFit="1" customWidth="1"/>
    <col min="8715" max="8715" width="7.77734375" style="7" customWidth="1"/>
    <col min="8716" max="8716" width="8.109375" style="7" customWidth="1"/>
    <col min="8717" max="8717" width="9" style="7" customWidth="1"/>
    <col min="8718" max="8718" width="8.5546875" style="7" customWidth="1"/>
    <col min="8719" max="8719" width="8.33203125" style="7" customWidth="1"/>
    <col min="8720" max="8720" width="8.5546875" style="7" customWidth="1"/>
    <col min="8721" max="8721" width="18.6640625" style="7" customWidth="1"/>
    <col min="8722" max="8722" width="13.5546875" style="7" customWidth="1"/>
    <col min="8723" max="8723" width="11.44140625" style="7" customWidth="1"/>
    <col min="8724" max="8724" width="11.6640625" style="7" customWidth="1"/>
    <col min="8725" max="8725" width="11.5546875" style="7" customWidth="1"/>
    <col min="8726" max="8726" width="15" style="7" customWidth="1"/>
    <col min="8727" max="8964" width="9.109375" style="7"/>
    <col min="8965" max="8965" width="14.5546875" style="7" customWidth="1"/>
    <col min="8966" max="8966" width="33.21875" style="7" bestFit="1" customWidth="1"/>
    <col min="8967" max="8967" width="10.88671875" style="7" bestFit="1" customWidth="1"/>
    <col min="8968" max="8968" width="12.88671875" style="7" bestFit="1" customWidth="1"/>
    <col min="8969" max="8969" width="7.44140625" style="7" customWidth="1"/>
    <col min="8970" max="8970" width="30.21875" style="7" bestFit="1" customWidth="1"/>
    <col min="8971" max="8971" width="7.77734375" style="7" customWidth="1"/>
    <col min="8972" max="8972" width="8.109375" style="7" customWidth="1"/>
    <col min="8973" max="8973" width="9" style="7" customWidth="1"/>
    <col min="8974" max="8974" width="8.5546875" style="7" customWidth="1"/>
    <col min="8975" max="8975" width="8.33203125" style="7" customWidth="1"/>
    <col min="8976" max="8976" width="8.5546875" style="7" customWidth="1"/>
    <col min="8977" max="8977" width="18.6640625" style="7" customWidth="1"/>
    <col min="8978" max="8978" width="13.5546875" style="7" customWidth="1"/>
    <col min="8979" max="8979" width="11.44140625" style="7" customWidth="1"/>
    <col min="8980" max="8980" width="11.6640625" style="7" customWidth="1"/>
    <col min="8981" max="8981" width="11.5546875" style="7" customWidth="1"/>
    <col min="8982" max="8982" width="15" style="7" customWidth="1"/>
    <col min="8983" max="9220" width="9.109375" style="7"/>
    <col min="9221" max="9221" width="14.5546875" style="7" customWidth="1"/>
    <col min="9222" max="9222" width="33.21875" style="7" bestFit="1" customWidth="1"/>
    <col min="9223" max="9223" width="10.88671875" style="7" bestFit="1" customWidth="1"/>
    <col min="9224" max="9224" width="12.88671875" style="7" bestFit="1" customWidth="1"/>
    <col min="9225" max="9225" width="7.44140625" style="7" customWidth="1"/>
    <col min="9226" max="9226" width="30.21875" style="7" bestFit="1" customWidth="1"/>
    <col min="9227" max="9227" width="7.77734375" style="7" customWidth="1"/>
    <col min="9228" max="9228" width="8.109375" style="7" customWidth="1"/>
    <col min="9229" max="9229" width="9" style="7" customWidth="1"/>
    <col min="9230" max="9230" width="8.5546875" style="7" customWidth="1"/>
    <col min="9231" max="9231" width="8.33203125" style="7" customWidth="1"/>
    <col min="9232" max="9232" width="8.5546875" style="7" customWidth="1"/>
    <col min="9233" max="9233" width="18.6640625" style="7" customWidth="1"/>
    <col min="9234" max="9234" width="13.5546875" style="7" customWidth="1"/>
    <col min="9235" max="9235" width="11.44140625" style="7" customWidth="1"/>
    <col min="9236" max="9236" width="11.6640625" style="7" customWidth="1"/>
    <col min="9237" max="9237" width="11.5546875" style="7" customWidth="1"/>
    <col min="9238" max="9238" width="15" style="7" customWidth="1"/>
    <col min="9239" max="9476" width="9.109375" style="7"/>
    <col min="9477" max="9477" width="14.5546875" style="7" customWidth="1"/>
    <col min="9478" max="9478" width="33.21875" style="7" bestFit="1" customWidth="1"/>
    <col min="9479" max="9479" width="10.88671875" style="7" bestFit="1" customWidth="1"/>
    <col min="9480" max="9480" width="12.88671875" style="7" bestFit="1" customWidth="1"/>
    <col min="9481" max="9481" width="7.44140625" style="7" customWidth="1"/>
    <col min="9482" max="9482" width="30.21875" style="7" bestFit="1" customWidth="1"/>
    <col min="9483" max="9483" width="7.77734375" style="7" customWidth="1"/>
    <col min="9484" max="9484" width="8.109375" style="7" customWidth="1"/>
    <col min="9485" max="9485" width="9" style="7" customWidth="1"/>
    <col min="9486" max="9486" width="8.5546875" style="7" customWidth="1"/>
    <col min="9487" max="9487" width="8.33203125" style="7" customWidth="1"/>
    <col min="9488" max="9488" width="8.5546875" style="7" customWidth="1"/>
    <col min="9489" max="9489" width="18.6640625" style="7" customWidth="1"/>
    <col min="9490" max="9490" width="13.5546875" style="7" customWidth="1"/>
    <col min="9491" max="9491" width="11.44140625" style="7" customWidth="1"/>
    <col min="9492" max="9492" width="11.6640625" style="7" customWidth="1"/>
    <col min="9493" max="9493" width="11.5546875" style="7" customWidth="1"/>
    <col min="9494" max="9494" width="15" style="7" customWidth="1"/>
    <col min="9495" max="9732" width="9.109375" style="7"/>
    <col min="9733" max="9733" width="14.5546875" style="7" customWidth="1"/>
    <col min="9734" max="9734" width="33.21875" style="7" bestFit="1" customWidth="1"/>
    <col min="9735" max="9735" width="10.88671875" style="7" bestFit="1" customWidth="1"/>
    <col min="9736" max="9736" width="12.88671875" style="7" bestFit="1" customWidth="1"/>
    <col min="9737" max="9737" width="7.44140625" style="7" customWidth="1"/>
    <col min="9738" max="9738" width="30.21875" style="7" bestFit="1" customWidth="1"/>
    <col min="9739" max="9739" width="7.77734375" style="7" customWidth="1"/>
    <col min="9740" max="9740" width="8.109375" style="7" customWidth="1"/>
    <col min="9741" max="9741" width="9" style="7" customWidth="1"/>
    <col min="9742" max="9742" width="8.5546875" style="7" customWidth="1"/>
    <col min="9743" max="9743" width="8.33203125" style="7" customWidth="1"/>
    <col min="9744" max="9744" width="8.5546875" style="7" customWidth="1"/>
    <col min="9745" max="9745" width="18.6640625" style="7" customWidth="1"/>
    <col min="9746" max="9746" width="13.5546875" style="7" customWidth="1"/>
    <col min="9747" max="9747" width="11.44140625" style="7" customWidth="1"/>
    <col min="9748" max="9748" width="11.6640625" style="7" customWidth="1"/>
    <col min="9749" max="9749" width="11.5546875" style="7" customWidth="1"/>
    <col min="9750" max="9750" width="15" style="7" customWidth="1"/>
    <col min="9751" max="9988" width="9.109375" style="7"/>
    <col min="9989" max="9989" width="14.5546875" style="7" customWidth="1"/>
    <col min="9990" max="9990" width="33.21875" style="7" bestFit="1" customWidth="1"/>
    <col min="9991" max="9991" width="10.88671875" style="7" bestFit="1" customWidth="1"/>
    <col min="9992" max="9992" width="12.88671875" style="7" bestFit="1" customWidth="1"/>
    <col min="9993" max="9993" width="7.44140625" style="7" customWidth="1"/>
    <col min="9994" max="9994" width="30.21875" style="7" bestFit="1" customWidth="1"/>
    <col min="9995" max="9995" width="7.77734375" style="7" customWidth="1"/>
    <col min="9996" max="9996" width="8.109375" style="7" customWidth="1"/>
    <col min="9997" max="9997" width="9" style="7" customWidth="1"/>
    <col min="9998" max="9998" width="8.5546875" style="7" customWidth="1"/>
    <col min="9999" max="9999" width="8.33203125" style="7" customWidth="1"/>
    <col min="10000" max="10000" width="8.5546875" style="7" customWidth="1"/>
    <col min="10001" max="10001" width="18.6640625" style="7" customWidth="1"/>
    <col min="10002" max="10002" width="13.5546875" style="7" customWidth="1"/>
    <col min="10003" max="10003" width="11.44140625" style="7" customWidth="1"/>
    <col min="10004" max="10004" width="11.6640625" style="7" customWidth="1"/>
    <col min="10005" max="10005" width="11.5546875" style="7" customWidth="1"/>
    <col min="10006" max="10006" width="15" style="7" customWidth="1"/>
    <col min="10007" max="10244" width="9.109375" style="7"/>
    <col min="10245" max="10245" width="14.5546875" style="7" customWidth="1"/>
    <col min="10246" max="10246" width="33.21875" style="7" bestFit="1" customWidth="1"/>
    <col min="10247" max="10247" width="10.88671875" style="7" bestFit="1" customWidth="1"/>
    <col min="10248" max="10248" width="12.88671875" style="7" bestFit="1" customWidth="1"/>
    <col min="10249" max="10249" width="7.44140625" style="7" customWidth="1"/>
    <col min="10250" max="10250" width="30.21875" style="7" bestFit="1" customWidth="1"/>
    <col min="10251" max="10251" width="7.77734375" style="7" customWidth="1"/>
    <col min="10252" max="10252" width="8.109375" style="7" customWidth="1"/>
    <col min="10253" max="10253" width="9" style="7" customWidth="1"/>
    <col min="10254" max="10254" width="8.5546875" style="7" customWidth="1"/>
    <col min="10255" max="10255" width="8.33203125" style="7" customWidth="1"/>
    <col min="10256" max="10256" width="8.5546875" style="7" customWidth="1"/>
    <col min="10257" max="10257" width="18.6640625" style="7" customWidth="1"/>
    <col min="10258" max="10258" width="13.5546875" style="7" customWidth="1"/>
    <col min="10259" max="10259" width="11.44140625" style="7" customWidth="1"/>
    <col min="10260" max="10260" width="11.6640625" style="7" customWidth="1"/>
    <col min="10261" max="10261" width="11.5546875" style="7" customWidth="1"/>
    <col min="10262" max="10262" width="15" style="7" customWidth="1"/>
    <col min="10263" max="10500" width="9.109375" style="7"/>
    <col min="10501" max="10501" width="14.5546875" style="7" customWidth="1"/>
    <col min="10502" max="10502" width="33.21875" style="7" bestFit="1" customWidth="1"/>
    <col min="10503" max="10503" width="10.88671875" style="7" bestFit="1" customWidth="1"/>
    <col min="10504" max="10504" width="12.88671875" style="7" bestFit="1" customWidth="1"/>
    <col min="10505" max="10505" width="7.44140625" style="7" customWidth="1"/>
    <col min="10506" max="10506" width="30.21875" style="7" bestFit="1" customWidth="1"/>
    <col min="10507" max="10507" width="7.77734375" style="7" customWidth="1"/>
    <col min="10508" max="10508" width="8.109375" style="7" customWidth="1"/>
    <col min="10509" max="10509" width="9" style="7" customWidth="1"/>
    <col min="10510" max="10510" width="8.5546875" style="7" customWidth="1"/>
    <col min="10511" max="10511" width="8.33203125" style="7" customWidth="1"/>
    <col min="10512" max="10512" width="8.5546875" style="7" customWidth="1"/>
    <col min="10513" max="10513" width="18.6640625" style="7" customWidth="1"/>
    <col min="10514" max="10514" width="13.5546875" style="7" customWidth="1"/>
    <col min="10515" max="10515" width="11.44140625" style="7" customWidth="1"/>
    <col min="10516" max="10516" width="11.6640625" style="7" customWidth="1"/>
    <col min="10517" max="10517" width="11.5546875" style="7" customWidth="1"/>
    <col min="10518" max="10518" width="15" style="7" customWidth="1"/>
    <col min="10519" max="10756" width="9.109375" style="7"/>
    <col min="10757" max="10757" width="14.5546875" style="7" customWidth="1"/>
    <col min="10758" max="10758" width="33.21875" style="7" bestFit="1" customWidth="1"/>
    <col min="10759" max="10759" width="10.88671875" style="7" bestFit="1" customWidth="1"/>
    <col min="10760" max="10760" width="12.88671875" style="7" bestFit="1" customWidth="1"/>
    <col min="10761" max="10761" width="7.44140625" style="7" customWidth="1"/>
    <col min="10762" max="10762" width="30.21875" style="7" bestFit="1" customWidth="1"/>
    <col min="10763" max="10763" width="7.77734375" style="7" customWidth="1"/>
    <col min="10764" max="10764" width="8.109375" style="7" customWidth="1"/>
    <col min="10765" max="10765" width="9" style="7" customWidth="1"/>
    <col min="10766" max="10766" width="8.5546875" style="7" customWidth="1"/>
    <col min="10767" max="10767" width="8.33203125" style="7" customWidth="1"/>
    <col min="10768" max="10768" width="8.5546875" style="7" customWidth="1"/>
    <col min="10769" max="10769" width="18.6640625" style="7" customWidth="1"/>
    <col min="10770" max="10770" width="13.5546875" style="7" customWidth="1"/>
    <col min="10771" max="10771" width="11.44140625" style="7" customWidth="1"/>
    <col min="10772" max="10772" width="11.6640625" style="7" customWidth="1"/>
    <col min="10773" max="10773" width="11.5546875" style="7" customWidth="1"/>
    <col min="10774" max="10774" width="15" style="7" customWidth="1"/>
    <col min="10775" max="11012" width="9.109375" style="7"/>
    <col min="11013" max="11013" width="14.5546875" style="7" customWidth="1"/>
    <col min="11014" max="11014" width="33.21875" style="7" bestFit="1" customWidth="1"/>
    <col min="11015" max="11015" width="10.88671875" style="7" bestFit="1" customWidth="1"/>
    <col min="11016" max="11016" width="12.88671875" style="7" bestFit="1" customWidth="1"/>
    <col min="11017" max="11017" width="7.44140625" style="7" customWidth="1"/>
    <col min="11018" max="11018" width="30.21875" style="7" bestFit="1" customWidth="1"/>
    <col min="11019" max="11019" width="7.77734375" style="7" customWidth="1"/>
    <col min="11020" max="11020" width="8.109375" style="7" customWidth="1"/>
    <col min="11021" max="11021" width="9" style="7" customWidth="1"/>
    <col min="11022" max="11022" width="8.5546875" style="7" customWidth="1"/>
    <col min="11023" max="11023" width="8.33203125" style="7" customWidth="1"/>
    <col min="11024" max="11024" width="8.5546875" style="7" customWidth="1"/>
    <col min="11025" max="11025" width="18.6640625" style="7" customWidth="1"/>
    <col min="11026" max="11026" width="13.5546875" style="7" customWidth="1"/>
    <col min="11027" max="11027" width="11.44140625" style="7" customWidth="1"/>
    <col min="11028" max="11028" width="11.6640625" style="7" customWidth="1"/>
    <col min="11029" max="11029" width="11.5546875" style="7" customWidth="1"/>
    <col min="11030" max="11030" width="15" style="7" customWidth="1"/>
    <col min="11031" max="11268" width="9.109375" style="7"/>
    <col min="11269" max="11269" width="14.5546875" style="7" customWidth="1"/>
    <col min="11270" max="11270" width="33.21875" style="7" bestFit="1" customWidth="1"/>
    <col min="11271" max="11271" width="10.88671875" style="7" bestFit="1" customWidth="1"/>
    <col min="11272" max="11272" width="12.88671875" style="7" bestFit="1" customWidth="1"/>
    <col min="11273" max="11273" width="7.44140625" style="7" customWidth="1"/>
    <col min="11274" max="11274" width="30.21875" style="7" bestFit="1" customWidth="1"/>
    <col min="11275" max="11275" width="7.77734375" style="7" customWidth="1"/>
    <col min="11276" max="11276" width="8.109375" style="7" customWidth="1"/>
    <col min="11277" max="11277" width="9" style="7" customWidth="1"/>
    <col min="11278" max="11278" width="8.5546875" style="7" customWidth="1"/>
    <col min="11279" max="11279" width="8.33203125" style="7" customWidth="1"/>
    <col min="11280" max="11280" width="8.5546875" style="7" customWidth="1"/>
    <col min="11281" max="11281" width="18.6640625" style="7" customWidth="1"/>
    <col min="11282" max="11282" width="13.5546875" style="7" customWidth="1"/>
    <col min="11283" max="11283" width="11.44140625" style="7" customWidth="1"/>
    <col min="11284" max="11284" width="11.6640625" style="7" customWidth="1"/>
    <col min="11285" max="11285" width="11.5546875" style="7" customWidth="1"/>
    <col min="11286" max="11286" width="15" style="7" customWidth="1"/>
    <col min="11287" max="11524" width="9.109375" style="7"/>
    <col min="11525" max="11525" width="14.5546875" style="7" customWidth="1"/>
    <col min="11526" max="11526" width="33.21875" style="7" bestFit="1" customWidth="1"/>
    <col min="11527" max="11527" width="10.88671875" style="7" bestFit="1" customWidth="1"/>
    <col min="11528" max="11528" width="12.88671875" style="7" bestFit="1" customWidth="1"/>
    <col min="11529" max="11529" width="7.44140625" style="7" customWidth="1"/>
    <col min="11530" max="11530" width="30.21875" style="7" bestFit="1" customWidth="1"/>
    <col min="11531" max="11531" width="7.77734375" style="7" customWidth="1"/>
    <col min="11532" max="11532" width="8.109375" style="7" customWidth="1"/>
    <col min="11533" max="11533" width="9" style="7" customWidth="1"/>
    <col min="11534" max="11534" width="8.5546875" style="7" customWidth="1"/>
    <col min="11535" max="11535" width="8.33203125" style="7" customWidth="1"/>
    <col min="11536" max="11536" width="8.5546875" style="7" customWidth="1"/>
    <col min="11537" max="11537" width="18.6640625" style="7" customWidth="1"/>
    <col min="11538" max="11538" width="13.5546875" style="7" customWidth="1"/>
    <col min="11539" max="11539" width="11.44140625" style="7" customWidth="1"/>
    <col min="11540" max="11540" width="11.6640625" style="7" customWidth="1"/>
    <col min="11541" max="11541" width="11.5546875" style="7" customWidth="1"/>
    <col min="11542" max="11542" width="15" style="7" customWidth="1"/>
    <col min="11543" max="11780" width="9.109375" style="7"/>
    <col min="11781" max="11781" width="14.5546875" style="7" customWidth="1"/>
    <col min="11782" max="11782" width="33.21875" style="7" bestFit="1" customWidth="1"/>
    <col min="11783" max="11783" width="10.88671875" style="7" bestFit="1" customWidth="1"/>
    <col min="11784" max="11784" width="12.88671875" style="7" bestFit="1" customWidth="1"/>
    <col min="11785" max="11785" width="7.44140625" style="7" customWidth="1"/>
    <col min="11786" max="11786" width="30.21875" style="7" bestFit="1" customWidth="1"/>
    <col min="11787" max="11787" width="7.77734375" style="7" customWidth="1"/>
    <col min="11788" max="11788" width="8.109375" style="7" customWidth="1"/>
    <col min="11789" max="11789" width="9" style="7" customWidth="1"/>
    <col min="11790" max="11790" width="8.5546875" style="7" customWidth="1"/>
    <col min="11791" max="11791" width="8.33203125" style="7" customWidth="1"/>
    <col min="11792" max="11792" width="8.5546875" style="7" customWidth="1"/>
    <col min="11793" max="11793" width="18.6640625" style="7" customWidth="1"/>
    <col min="11794" max="11794" width="13.5546875" style="7" customWidth="1"/>
    <col min="11795" max="11795" width="11.44140625" style="7" customWidth="1"/>
    <col min="11796" max="11796" width="11.6640625" style="7" customWidth="1"/>
    <col min="11797" max="11797" width="11.5546875" style="7" customWidth="1"/>
    <col min="11798" max="11798" width="15" style="7" customWidth="1"/>
    <col min="11799" max="12036" width="9.109375" style="7"/>
    <col min="12037" max="12037" width="14.5546875" style="7" customWidth="1"/>
    <col min="12038" max="12038" width="33.21875" style="7" bestFit="1" customWidth="1"/>
    <col min="12039" max="12039" width="10.88671875" style="7" bestFit="1" customWidth="1"/>
    <col min="12040" max="12040" width="12.88671875" style="7" bestFit="1" customWidth="1"/>
    <col min="12041" max="12041" width="7.44140625" style="7" customWidth="1"/>
    <col min="12042" max="12042" width="30.21875" style="7" bestFit="1" customWidth="1"/>
    <col min="12043" max="12043" width="7.77734375" style="7" customWidth="1"/>
    <col min="12044" max="12044" width="8.109375" style="7" customWidth="1"/>
    <col min="12045" max="12045" width="9" style="7" customWidth="1"/>
    <col min="12046" max="12046" width="8.5546875" style="7" customWidth="1"/>
    <col min="12047" max="12047" width="8.33203125" style="7" customWidth="1"/>
    <col min="12048" max="12048" width="8.5546875" style="7" customWidth="1"/>
    <col min="12049" max="12049" width="18.6640625" style="7" customWidth="1"/>
    <col min="12050" max="12050" width="13.5546875" style="7" customWidth="1"/>
    <col min="12051" max="12051" width="11.44140625" style="7" customWidth="1"/>
    <col min="12052" max="12052" width="11.6640625" style="7" customWidth="1"/>
    <col min="12053" max="12053" width="11.5546875" style="7" customWidth="1"/>
    <col min="12054" max="12054" width="15" style="7" customWidth="1"/>
    <col min="12055" max="12292" width="9.109375" style="7"/>
    <col min="12293" max="12293" width="14.5546875" style="7" customWidth="1"/>
    <col min="12294" max="12294" width="33.21875" style="7" bestFit="1" customWidth="1"/>
    <col min="12295" max="12295" width="10.88671875" style="7" bestFit="1" customWidth="1"/>
    <col min="12296" max="12296" width="12.88671875" style="7" bestFit="1" customWidth="1"/>
    <col min="12297" max="12297" width="7.44140625" style="7" customWidth="1"/>
    <col min="12298" max="12298" width="30.21875" style="7" bestFit="1" customWidth="1"/>
    <col min="12299" max="12299" width="7.77734375" style="7" customWidth="1"/>
    <col min="12300" max="12300" width="8.109375" style="7" customWidth="1"/>
    <col min="12301" max="12301" width="9" style="7" customWidth="1"/>
    <col min="12302" max="12302" width="8.5546875" style="7" customWidth="1"/>
    <col min="12303" max="12303" width="8.33203125" style="7" customWidth="1"/>
    <col min="12304" max="12304" width="8.5546875" style="7" customWidth="1"/>
    <col min="12305" max="12305" width="18.6640625" style="7" customWidth="1"/>
    <col min="12306" max="12306" width="13.5546875" style="7" customWidth="1"/>
    <col min="12307" max="12307" width="11.44140625" style="7" customWidth="1"/>
    <col min="12308" max="12308" width="11.6640625" style="7" customWidth="1"/>
    <col min="12309" max="12309" width="11.5546875" style="7" customWidth="1"/>
    <col min="12310" max="12310" width="15" style="7" customWidth="1"/>
    <col min="12311" max="12548" width="9.109375" style="7"/>
    <col min="12549" max="12549" width="14.5546875" style="7" customWidth="1"/>
    <col min="12550" max="12550" width="33.21875" style="7" bestFit="1" customWidth="1"/>
    <col min="12551" max="12551" width="10.88671875" style="7" bestFit="1" customWidth="1"/>
    <col min="12552" max="12552" width="12.88671875" style="7" bestFit="1" customWidth="1"/>
    <col min="12553" max="12553" width="7.44140625" style="7" customWidth="1"/>
    <col min="12554" max="12554" width="30.21875" style="7" bestFit="1" customWidth="1"/>
    <col min="12555" max="12555" width="7.77734375" style="7" customWidth="1"/>
    <col min="12556" max="12556" width="8.109375" style="7" customWidth="1"/>
    <col min="12557" max="12557" width="9" style="7" customWidth="1"/>
    <col min="12558" max="12558" width="8.5546875" style="7" customWidth="1"/>
    <col min="12559" max="12559" width="8.33203125" style="7" customWidth="1"/>
    <col min="12560" max="12560" width="8.5546875" style="7" customWidth="1"/>
    <col min="12561" max="12561" width="18.6640625" style="7" customWidth="1"/>
    <col min="12562" max="12562" width="13.5546875" style="7" customWidth="1"/>
    <col min="12563" max="12563" width="11.44140625" style="7" customWidth="1"/>
    <col min="12564" max="12564" width="11.6640625" style="7" customWidth="1"/>
    <col min="12565" max="12565" width="11.5546875" style="7" customWidth="1"/>
    <col min="12566" max="12566" width="15" style="7" customWidth="1"/>
    <col min="12567" max="12804" width="9.109375" style="7"/>
    <col min="12805" max="12805" width="14.5546875" style="7" customWidth="1"/>
    <col min="12806" max="12806" width="33.21875" style="7" bestFit="1" customWidth="1"/>
    <col min="12807" max="12807" width="10.88671875" style="7" bestFit="1" customWidth="1"/>
    <col min="12808" max="12808" width="12.88671875" style="7" bestFit="1" customWidth="1"/>
    <col min="12809" max="12809" width="7.44140625" style="7" customWidth="1"/>
    <col min="12810" max="12810" width="30.21875" style="7" bestFit="1" customWidth="1"/>
    <col min="12811" max="12811" width="7.77734375" style="7" customWidth="1"/>
    <col min="12812" max="12812" width="8.109375" style="7" customWidth="1"/>
    <col min="12813" max="12813" width="9" style="7" customWidth="1"/>
    <col min="12814" max="12814" width="8.5546875" style="7" customWidth="1"/>
    <col min="12815" max="12815" width="8.33203125" style="7" customWidth="1"/>
    <col min="12816" max="12816" width="8.5546875" style="7" customWidth="1"/>
    <col min="12817" max="12817" width="18.6640625" style="7" customWidth="1"/>
    <col min="12818" max="12818" width="13.5546875" style="7" customWidth="1"/>
    <col min="12819" max="12819" width="11.44140625" style="7" customWidth="1"/>
    <col min="12820" max="12820" width="11.6640625" style="7" customWidth="1"/>
    <col min="12821" max="12821" width="11.5546875" style="7" customWidth="1"/>
    <col min="12822" max="12822" width="15" style="7" customWidth="1"/>
    <col min="12823" max="13060" width="9.109375" style="7"/>
    <col min="13061" max="13061" width="14.5546875" style="7" customWidth="1"/>
    <col min="13062" max="13062" width="33.21875" style="7" bestFit="1" customWidth="1"/>
    <col min="13063" max="13063" width="10.88671875" style="7" bestFit="1" customWidth="1"/>
    <col min="13064" max="13064" width="12.88671875" style="7" bestFit="1" customWidth="1"/>
    <col min="13065" max="13065" width="7.44140625" style="7" customWidth="1"/>
    <col min="13066" max="13066" width="30.21875" style="7" bestFit="1" customWidth="1"/>
    <col min="13067" max="13067" width="7.77734375" style="7" customWidth="1"/>
    <col min="13068" max="13068" width="8.109375" style="7" customWidth="1"/>
    <col min="13069" max="13069" width="9" style="7" customWidth="1"/>
    <col min="13070" max="13070" width="8.5546875" style="7" customWidth="1"/>
    <col min="13071" max="13071" width="8.33203125" style="7" customWidth="1"/>
    <col min="13072" max="13072" width="8.5546875" style="7" customWidth="1"/>
    <col min="13073" max="13073" width="18.6640625" style="7" customWidth="1"/>
    <col min="13074" max="13074" width="13.5546875" style="7" customWidth="1"/>
    <col min="13075" max="13075" width="11.44140625" style="7" customWidth="1"/>
    <col min="13076" max="13076" width="11.6640625" style="7" customWidth="1"/>
    <col min="13077" max="13077" width="11.5546875" style="7" customWidth="1"/>
    <col min="13078" max="13078" width="15" style="7" customWidth="1"/>
    <col min="13079" max="13316" width="9.109375" style="7"/>
    <col min="13317" max="13317" width="14.5546875" style="7" customWidth="1"/>
    <col min="13318" max="13318" width="33.21875" style="7" bestFit="1" customWidth="1"/>
    <col min="13319" max="13319" width="10.88671875" style="7" bestFit="1" customWidth="1"/>
    <col min="13320" max="13320" width="12.88671875" style="7" bestFit="1" customWidth="1"/>
    <col min="13321" max="13321" width="7.44140625" style="7" customWidth="1"/>
    <col min="13322" max="13322" width="30.21875" style="7" bestFit="1" customWidth="1"/>
    <col min="13323" max="13323" width="7.77734375" style="7" customWidth="1"/>
    <col min="13324" max="13324" width="8.109375" style="7" customWidth="1"/>
    <col min="13325" max="13325" width="9" style="7" customWidth="1"/>
    <col min="13326" max="13326" width="8.5546875" style="7" customWidth="1"/>
    <col min="13327" max="13327" width="8.33203125" style="7" customWidth="1"/>
    <col min="13328" max="13328" width="8.5546875" style="7" customWidth="1"/>
    <col min="13329" max="13329" width="18.6640625" style="7" customWidth="1"/>
    <col min="13330" max="13330" width="13.5546875" style="7" customWidth="1"/>
    <col min="13331" max="13331" width="11.44140625" style="7" customWidth="1"/>
    <col min="13332" max="13332" width="11.6640625" style="7" customWidth="1"/>
    <col min="13333" max="13333" width="11.5546875" style="7" customWidth="1"/>
    <col min="13334" max="13334" width="15" style="7" customWidth="1"/>
    <col min="13335" max="13572" width="9.109375" style="7"/>
    <col min="13573" max="13573" width="14.5546875" style="7" customWidth="1"/>
    <col min="13574" max="13574" width="33.21875" style="7" bestFit="1" customWidth="1"/>
    <col min="13575" max="13575" width="10.88671875" style="7" bestFit="1" customWidth="1"/>
    <col min="13576" max="13576" width="12.88671875" style="7" bestFit="1" customWidth="1"/>
    <col min="13577" max="13577" width="7.44140625" style="7" customWidth="1"/>
    <col min="13578" max="13578" width="30.21875" style="7" bestFit="1" customWidth="1"/>
    <col min="13579" max="13579" width="7.77734375" style="7" customWidth="1"/>
    <col min="13580" max="13580" width="8.109375" style="7" customWidth="1"/>
    <col min="13581" max="13581" width="9" style="7" customWidth="1"/>
    <col min="13582" max="13582" width="8.5546875" style="7" customWidth="1"/>
    <col min="13583" max="13583" width="8.33203125" style="7" customWidth="1"/>
    <col min="13584" max="13584" width="8.5546875" style="7" customWidth="1"/>
    <col min="13585" max="13585" width="18.6640625" style="7" customWidth="1"/>
    <col min="13586" max="13586" width="13.5546875" style="7" customWidth="1"/>
    <col min="13587" max="13587" width="11.44140625" style="7" customWidth="1"/>
    <col min="13588" max="13588" width="11.6640625" style="7" customWidth="1"/>
    <col min="13589" max="13589" width="11.5546875" style="7" customWidth="1"/>
    <col min="13590" max="13590" width="15" style="7" customWidth="1"/>
    <col min="13591" max="13828" width="9.109375" style="7"/>
    <col min="13829" max="13829" width="14.5546875" style="7" customWidth="1"/>
    <col min="13830" max="13830" width="33.21875" style="7" bestFit="1" customWidth="1"/>
    <col min="13831" max="13831" width="10.88671875" style="7" bestFit="1" customWidth="1"/>
    <col min="13832" max="13832" width="12.88671875" style="7" bestFit="1" customWidth="1"/>
    <col min="13833" max="13833" width="7.44140625" style="7" customWidth="1"/>
    <col min="13834" max="13834" width="30.21875" style="7" bestFit="1" customWidth="1"/>
    <col min="13835" max="13835" width="7.77734375" style="7" customWidth="1"/>
    <col min="13836" max="13836" width="8.109375" style="7" customWidth="1"/>
    <col min="13837" max="13837" width="9" style="7" customWidth="1"/>
    <col min="13838" max="13838" width="8.5546875" style="7" customWidth="1"/>
    <col min="13839" max="13839" width="8.33203125" style="7" customWidth="1"/>
    <col min="13840" max="13840" width="8.5546875" style="7" customWidth="1"/>
    <col min="13841" max="13841" width="18.6640625" style="7" customWidth="1"/>
    <col min="13842" max="13842" width="13.5546875" style="7" customWidth="1"/>
    <col min="13843" max="13843" width="11.44140625" style="7" customWidth="1"/>
    <col min="13844" max="13844" width="11.6640625" style="7" customWidth="1"/>
    <col min="13845" max="13845" width="11.5546875" style="7" customWidth="1"/>
    <col min="13846" max="13846" width="15" style="7" customWidth="1"/>
    <col min="13847" max="14084" width="9.109375" style="7"/>
    <col min="14085" max="14085" width="14.5546875" style="7" customWidth="1"/>
    <col min="14086" max="14086" width="33.21875" style="7" bestFit="1" customWidth="1"/>
    <col min="14087" max="14087" width="10.88671875" style="7" bestFit="1" customWidth="1"/>
    <col min="14088" max="14088" width="12.88671875" style="7" bestFit="1" customWidth="1"/>
    <col min="14089" max="14089" width="7.44140625" style="7" customWidth="1"/>
    <col min="14090" max="14090" width="30.21875" style="7" bestFit="1" customWidth="1"/>
    <col min="14091" max="14091" width="7.77734375" style="7" customWidth="1"/>
    <col min="14092" max="14092" width="8.109375" style="7" customWidth="1"/>
    <col min="14093" max="14093" width="9" style="7" customWidth="1"/>
    <col min="14094" max="14094" width="8.5546875" style="7" customWidth="1"/>
    <col min="14095" max="14095" width="8.33203125" style="7" customWidth="1"/>
    <col min="14096" max="14096" width="8.5546875" style="7" customWidth="1"/>
    <col min="14097" max="14097" width="18.6640625" style="7" customWidth="1"/>
    <col min="14098" max="14098" width="13.5546875" style="7" customWidth="1"/>
    <col min="14099" max="14099" width="11.44140625" style="7" customWidth="1"/>
    <col min="14100" max="14100" width="11.6640625" style="7" customWidth="1"/>
    <col min="14101" max="14101" width="11.5546875" style="7" customWidth="1"/>
    <col min="14102" max="14102" width="15" style="7" customWidth="1"/>
    <col min="14103" max="14340" width="9.109375" style="7"/>
    <col min="14341" max="14341" width="14.5546875" style="7" customWidth="1"/>
    <col min="14342" max="14342" width="33.21875" style="7" bestFit="1" customWidth="1"/>
    <col min="14343" max="14343" width="10.88671875" style="7" bestFit="1" customWidth="1"/>
    <col min="14344" max="14344" width="12.88671875" style="7" bestFit="1" customWidth="1"/>
    <col min="14345" max="14345" width="7.44140625" style="7" customWidth="1"/>
    <col min="14346" max="14346" width="30.21875" style="7" bestFit="1" customWidth="1"/>
    <col min="14347" max="14347" width="7.77734375" style="7" customWidth="1"/>
    <col min="14348" max="14348" width="8.109375" style="7" customWidth="1"/>
    <col min="14349" max="14349" width="9" style="7" customWidth="1"/>
    <col min="14350" max="14350" width="8.5546875" style="7" customWidth="1"/>
    <col min="14351" max="14351" width="8.33203125" style="7" customWidth="1"/>
    <col min="14352" max="14352" width="8.5546875" style="7" customWidth="1"/>
    <col min="14353" max="14353" width="18.6640625" style="7" customWidth="1"/>
    <col min="14354" max="14354" width="13.5546875" style="7" customWidth="1"/>
    <col min="14355" max="14355" width="11.44140625" style="7" customWidth="1"/>
    <col min="14356" max="14356" width="11.6640625" style="7" customWidth="1"/>
    <col min="14357" max="14357" width="11.5546875" style="7" customWidth="1"/>
    <col min="14358" max="14358" width="15" style="7" customWidth="1"/>
    <col min="14359" max="14596" width="9.109375" style="7"/>
    <col min="14597" max="14597" width="14.5546875" style="7" customWidth="1"/>
    <col min="14598" max="14598" width="33.21875" style="7" bestFit="1" customWidth="1"/>
    <col min="14599" max="14599" width="10.88671875" style="7" bestFit="1" customWidth="1"/>
    <col min="14600" max="14600" width="12.88671875" style="7" bestFit="1" customWidth="1"/>
    <col min="14601" max="14601" width="7.44140625" style="7" customWidth="1"/>
    <col min="14602" max="14602" width="30.21875" style="7" bestFit="1" customWidth="1"/>
    <col min="14603" max="14603" width="7.77734375" style="7" customWidth="1"/>
    <col min="14604" max="14604" width="8.109375" style="7" customWidth="1"/>
    <col min="14605" max="14605" width="9" style="7" customWidth="1"/>
    <col min="14606" max="14606" width="8.5546875" style="7" customWidth="1"/>
    <col min="14607" max="14607" width="8.33203125" style="7" customWidth="1"/>
    <col min="14608" max="14608" width="8.5546875" style="7" customWidth="1"/>
    <col min="14609" max="14609" width="18.6640625" style="7" customWidth="1"/>
    <col min="14610" max="14610" width="13.5546875" style="7" customWidth="1"/>
    <col min="14611" max="14611" width="11.44140625" style="7" customWidth="1"/>
    <col min="14612" max="14612" width="11.6640625" style="7" customWidth="1"/>
    <col min="14613" max="14613" width="11.5546875" style="7" customWidth="1"/>
    <col min="14614" max="14614" width="15" style="7" customWidth="1"/>
    <col min="14615" max="14852" width="9.109375" style="7"/>
    <col min="14853" max="14853" width="14.5546875" style="7" customWidth="1"/>
    <col min="14854" max="14854" width="33.21875" style="7" bestFit="1" customWidth="1"/>
    <col min="14855" max="14855" width="10.88671875" style="7" bestFit="1" customWidth="1"/>
    <col min="14856" max="14856" width="12.88671875" style="7" bestFit="1" customWidth="1"/>
    <col min="14857" max="14857" width="7.44140625" style="7" customWidth="1"/>
    <col min="14858" max="14858" width="30.21875" style="7" bestFit="1" customWidth="1"/>
    <col min="14859" max="14859" width="7.77734375" style="7" customWidth="1"/>
    <col min="14860" max="14860" width="8.109375" style="7" customWidth="1"/>
    <col min="14861" max="14861" width="9" style="7" customWidth="1"/>
    <col min="14862" max="14862" width="8.5546875" style="7" customWidth="1"/>
    <col min="14863" max="14863" width="8.33203125" style="7" customWidth="1"/>
    <col min="14864" max="14864" width="8.5546875" style="7" customWidth="1"/>
    <col min="14865" max="14865" width="18.6640625" style="7" customWidth="1"/>
    <col min="14866" max="14866" width="13.5546875" style="7" customWidth="1"/>
    <col min="14867" max="14867" width="11.44140625" style="7" customWidth="1"/>
    <col min="14868" max="14868" width="11.6640625" style="7" customWidth="1"/>
    <col min="14869" max="14869" width="11.5546875" style="7" customWidth="1"/>
    <col min="14870" max="14870" width="15" style="7" customWidth="1"/>
    <col min="14871" max="15108" width="9.109375" style="7"/>
    <col min="15109" max="15109" width="14.5546875" style="7" customWidth="1"/>
    <col min="15110" max="15110" width="33.21875" style="7" bestFit="1" customWidth="1"/>
    <col min="15111" max="15111" width="10.88671875" style="7" bestFit="1" customWidth="1"/>
    <col min="15112" max="15112" width="12.88671875" style="7" bestFit="1" customWidth="1"/>
    <col min="15113" max="15113" width="7.44140625" style="7" customWidth="1"/>
    <col min="15114" max="15114" width="30.21875" style="7" bestFit="1" customWidth="1"/>
    <col min="15115" max="15115" width="7.77734375" style="7" customWidth="1"/>
    <col min="15116" max="15116" width="8.109375" style="7" customWidth="1"/>
    <col min="15117" max="15117" width="9" style="7" customWidth="1"/>
    <col min="15118" max="15118" width="8.5546875" style="7" customWidth="1"/>
    <col min="15119" max="15119" width="8.33203125" style="7" customWidth="1"/>
    <col min="15120" max="15120" width="8.5546875" style="7" customWidth="1"/>
    <col min="15121" max="15121" width="18.6640625" style="7" customWidth="1"/>
    <col min="15122" max="15122" width="13.5546875" style="7" customWidth="1"/>
    <col min="15123" max="15123" width="11.44140625" style="7" customWidth="1"/>
    <col min="15124" max="15124" width="11.6640625" style="7" customWidth="1"/>
    <col min="15125" max="15125" width="11.5546875" style="7" customWidth="1"/>
    <col min="15126" max="15126" width="15" style="7" customWidth="1"/>
    <col min="15127" max="15364" width="9.109375" style="7"/>
    <col min="15365" max="15365" width="14.5546875" style="7" customWidth="1"/>
    <col min="15366" max="15366" width="33.21875" style="7" bestFit="1" customWidth="1"/>
    <col min="15367" max="15367" width="10.88671875" style="7" bestFit="1" customWidth="1"/>
    <col min="15368" max="15368" width="12.88671875" style="7" bestFit="1" customWidth="1"/>
    <col min="15369" max="15369" width="7.44140625" style="7" customWidth="1"/>
    <col min="15370" max="15370" width="30.21875" style="7" bestFit="1" customWidth="1"/>
    <col min="15371" max="15371" width="7.77734375" style="7" customWidth="1"/>
    <col min="15372" max="15372" width="8.109375" style="7" customWidth="1"/>
    <col min="15373" max="15373" width="9" style="7" customWidth="1"/>
    <col min="15374" max="15374" width="8.5546875" style="7" customWidth="1"/>
    <col min="15375" max="15375" width="8.33203125" style="7" customWidth="1"/>
    <col min="15376" max="15376" width="8.5546875" style="7" customWidth="1"/>
    <col min="15377" max="15377" width="18.6640625" style="7" customWidth="1"/>
    <col min="15378" max="15378" width="13.5546875" style="7" customWidth="1"/>
    <col min="15379" max="15379" width="11.44140625" style="7" customWidth="1"/>
    <col min="15380" max="15380" width="11.6640625" style="7" customWidth="1"/>
    <col min="15381" max="15381" width="11.5546875" style="7" customWidth="1"/>
    <col min="15382" max="15382" width="15" style="7" customWidth="1"/>
    <col min="15383" max="15620" width="9.109375" style="7"/>
    <col min="15621" max="15621" width="14.5546875" style="7" customWidth="1"/>
    <col min="15622" max="15622" width="33.21875" style="7" bestFit="1" customWidth="1"/>
    <col min="15623" max="15623" width="10.88671875" style="7" bestFit="1" customWidth="1"/>
    <col min="15624" max="15624" width="12.88671875" style="7" bestFit="1" customWidth="1"/>
    <col min="15625" max="15625" width="7.44140625" style="7" customWidth="1"/>
    <col min="15626" max="15626" width="30.21875" style="7" bestFit="1" customWidth="1"/>
    <col min="15627" max="15627" width="7.77734375" style="7" customWidth="1"/>
    <col min="15628" max="15628" width="8.109375" style="7" customWidth="1"/>
    <col min="15629" max="15629" width="9" style="7" customWidth="1"/>
    <col min="15630" max="15630" width="8.5546875" style="7" customWidth="1"/>
    <col min="15631" max="15631" width="8.33203125" style="7" customWidth="1"/>
    <col min="15632" max="15632" width="8.5546875" style="7" customWidth="1"/>
    <col min="15633" max="15633" width="18.6640625" style="7" customWidth="1"/>
    <col min="15634" max="15634" width="13.5546875" style="7" customWidth="1"/>
    <col min="15635" max="15635" width="11.44140625" style="7" customWidth="1"/>
    <col min="15636" max="15636" width="11.6640625" style="7" customWidth="1"/>
    <col min="15637" max="15637" width="11.5546875" style="7" customWidth="1"/>
    <col min="15638" max="15638" width="15" style="7" customWidth="1"/>
    <col min="15639" max="15876" width="9.109375" style="7"/>
    <col min="15877" max="15877" width="14.5546875" style="7" customWidth="1"/>
    <col min="15878" max="15878" width="33.21875" style="7" bestFit="1" customWidth="1"/>
    <col min="15879" max="15879" width="10.88671875" style="7" bestFit="1" customWidth="1"/>
    <col min="15880" max="15880" width="12.88671875" style="7" bestFit="1" customWidth="1"/>
    <col min="15881" max="15881" width="7.44140625" style="7" customWidth="1"/>
    <col min="15882" max="15882" width="30.21875" style="7" bestFit="1" customWidth="1"/>
    <col min="15883" max="15883" width="7.77734375" style="7" customWidth="1"/>
    <col min="15884" max="15884" width="8.109375" style="7" customWidth="1"/>
    <col min="15885" max="15885" width="9" style="7" customWidth="1"/>
    <col min="15886" max="15886" width="8.5546875" style="7" customWidth="1"/>
    <col min="15887" max="15887" width="8.33203125" style="7" customWidth="1"/>
    <col min="15888" max="15888" width="8.5546875" style="7" customWidth="1"/>
    <col min="15889" max="15889" width="18.6640625" style="7" customWidth="1"/>
    <col min="15890" max="15890" width="13.5546875" style="7" customWidth="1"/>
    <col min="15891" max="15891" width="11.44140625" style="7" customWidth="1"/>
    <col min="15892" max="15892" width="11.6640625" style="7" customWidth="1"/>
    <col min="15893" max="15893" width="11.5546875" style="7" customWidth="1"/>
    <col min="15894" max="15894" width="15" style="7" customWidth="1"/>
    <col min="15895" max="16132" width="9.109375" style="7"/>
    <col min="16133" max="16133" width="14.5546875" style="7" customWidth="1"/>
    <col min="16134" max="16134" width="33.21875" style="7" bestFit="1" customWidth="1"/>
    <col min="16135" max="16135" width="10.88671875" style="7" bestFit="1" customWidth="1"/>
    <col min="16136" max="16136" width="12.88671875" style="7" bestFit="1" customWidth="1"/>
    <col min="16137" max="16137" width="7.44140625" style="7" customWidth="1"/>
    <col min="16138" max="16138" width="30.21875" style="7" bestFit="1" customWidth="1"/>
    <col min="16139" max="16139" width="7.77734375" style="7" customWidth="1"/>
    <col min="16140" max="16140" width="8.109375" style="7" customWidth="1"/>
    <col min="16141" max="16141" width="9" style="7" customWidth="1"/>
    <col min="16142" max="16142" width="8.5546875" style="7" customWidth="1"/>
    <col min="16143" max="16143" width="8.33203125" style="7" customWidth="1"/>
    <col min="16144" max="16144" width="8.5546875" style="7" customWidth="1"/>
    <col min="16145" max="16145" width="18.6640625" style="7" customWidth="1"/>
    <col min="16146" max="16146" width="13.5546875" style="7" customWidth="1"/>
    <col min="16147" max="16147" width="11.44140625" style="7" customWidth="1"/>
    <col min="16148" max="16148" width="11.6640625" style="7" customWidth="1"/>
    <col min="16149" max="16149" width="11.5546875" style="7" customWidth="1"/>
    <col min="16150" max="16150" width="15" style="7" customWidth="1"/>
    <col min="16151" max="16384" width="9.109375" style="7"/>
  </cols>
  <sheetData>
    <row r="1" spans="1:31" ht="15.6" x14ac:dyDescent="0.3">
      <c r="A1" s="2" t="s">
        <v>26</v>
      </c>
      <c r="B1" s="22" t="s">
        <v>237</v>
      </c>
      <c r="C1" s="4"/>
      <c r="D1" s="4"/>
      <c r="E1" s="4"/>
      <c r="F1" s="19"/>
      <c r="G1" s="109" t="s">
        <v>27</v>
      </c>
      <c r="H1" s="110"/>
      <c r="I1" s="111"/>
      <c r="J1" s="30"/>
      <c r="K1" s="5"/>
      <c r="L1" s="4"/>
      <c r="M1" s="4"/>
      <c r="N1" s="4"/>
      <c r="O1" s="4"/>
      <c r="P1" s="4"/>
      <c r="Q1" s="4"/>
      <c r="R1" s="6"/>
      <c r="S1" s="6"/>
      <c r="T1" s="6"/>
      <c r="U1" s="6"/>
      <c r="V1" s="6"/>
      <c r="AA1" s="30"/>
      <c r="AE1" s="30"/>
    </row>
    <row r="2" spans="1:31" ht="15.6" x14ac:dyDescent="0.3">
      <c r="A2" s="3" t="s">
        <v>8</v>
      </c>
      <c r="B2" s="21">
        <v>45340</v>
      </c>
      <c r="C2" s="4"/>
      <c r="D2" s="4"/>
      <c r="E2" s="4"/>
      <c r="F2" s="19"/>
      <c r="G2" s="4"/>
      <c r="H2" s="4"/>
      <c r="I2" s="4"/>
      <c r="J2" s="17"/>
      <c r="K2" s="5"/>
      <c r="L2" s="4"/>
      <c r="M2" s="4"/>
      <c r="N2" s="4"/>
      <c r="O2" s="4"/>
      <c r="P2" s="4"/>
      <c r="Q2" s="4"/>
      <c r="R2" s="6"/>
      <c r="S2" s="6"/>
      <c r="T2" s="6"/>
      <c r="U2" s="6"/>
      <c r="V2" s="6"/>
      <c r="AA2" s="9" t="s">
        <v>4</v>
      </c>
      <c r="AE2" s="9" t="s">
        <v>4</v>
      </c>
    </row>
    <row r="3" spans="1:31" ht="15.6" x14ac:dyDescent="0.3">
      <c r="A3" s="8" t="s">
        <v>9</v>
      </c>
      <c r="B3" s="8" t="s">
        <v>12</v>
      </c>
      <c r="C3" s="8" t="s">
        <v>2</v>
      </c>
      <c r="D3" s="8" t="s">
        <v>0</v>
      </c>
      <c r="E3" s="8" t="s">
        <v>1</v>
      </c>
      <c r="F3" s="45" t="s">
        <v>13</v>
      </c>
      <c r="G3" s="8" t="s">
        <v>2</v>
      </c>
      <c r="H3" s="8" t="s">
        <v>0</v>
      </c>
      <c r="I3" s="8" t="s">
        <v>14</v>
      </c>
      <c r="J3" s="9" t="s">
        <v>4</v>
      </c>
      <c r="K3" s="9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3</v>
      </c>
      <c r="R3" s="10" t="s">
        <v>10</v>
      </c>
      <c r="S3" s="10" t="s">
        <v>21</v>
      </c>
      <c r="T3" s="10" t="s">
        <v>22</v>
      </c>
      <c r="U3" s="10" t="s">
        <v>23</v>
      </c>
      <c r="V3" s="10" t="s">
        <v>24</v>
      </c>
      <c r="AA3" s="42" t="s">
        <v>58</v>
      </c>
      <c r="AB3" s="7">
        <v>2420</v>
      </c>
      <c r="AC3" s="7">
        <v>1210</v>
      </c>
      <c r="AD3" s="7">
        <v>150</v>
      </c>
      <c r="AE3" s="42" t="s">
        <v>58</v>
      </c>
    </row>
    <row r="4" spans="1:31" x14ac:dyDescent="0.3">
      <c r="A4" s="4">
        <v>1</v>
      </c>
      <c r="B4" s="46" t="s">
        <v>56</v>
      </c>
      <c r="C4" s="23">
        <f>240+240+240</f>
        <v>720</v>
      </c>
      <c r="D4" s="23">
        <f>532+18</f>
        <v>550</v>
      </c>
      <c r="E4" s="23">
        <v>450</v>
      </c>
      <c r="F4" s="17" t="s">
        <v>28</v>
      </c>
      <c r="G4" s="39">
        <f>C4</f>
        <v>720</v>
      </c>
      <c r="H4" s="38">
        <f>E4</f>
        <v>450</v>
      </c>
      <c r="I4" s="39">
        <v>1</v>
      </c>
      <c r="J4" s="81" t="s">
        <v>58</v>
      </c>
      <c r="K4" s="39"/>
      <c r="L4" s="39"/>
      <c r="M4" s="39">
        <v>1</v>
      </c>
      <c r="N4" s="39">
        <v>1</v>
      </c>
      <c r="O4" s="39">
        <v>1</v>
      </c>
      <c r="P4" s="39">
        <v>1</v>
      </c>
      <c r="Q4" s="4" t="s">
        <v>64</v>
      </c>
      <c r="R4" s="6">
        <f>(G4+H4)*2*I4/300</f>
        <v>7.8</v>
      </c>
      <c r="S4" s="6">
        <f>R4</f>
        <v>7.8</v>
      </c>
      <c r="T4" s="6"/>
      <c r="U4" s="6"/>
      <c r="V4" s="6"/>
      <c r="W4" s="20" t="s">
        <v>56</v>
      </c>
      <c r="X4" s="20" t="str">
        <f>W4&amp;"-"&amp;F4</f>
        <v>LVNG-B1-LHS</v>
      </c>
      <c r="Y4" s="7">
        <f>(G4+H4)*2*I4/300</f>
        <v>7.8</v>
      </c>
      <c r="AA4" s="17" t="s">
        <v>34</v>
      </c>
      <c r="AB4" s="7">
        <v>2420</v>
      </c>
      <c r="AC4" s="7">
        <v>1210</v>
      </c>
      <c r="AD4" s="7">
        <v>150</v>
      </c>
      <c r="AE4" s="17" t="s">
        <v>34</v>
      </c>
    </row>
    <row r="5" spans="1:31" x14ac:dyDescent="0.3">
      <c r="A5" s="4">
        <f>A4+1</f>
        <v>2</v>
      </c>
      <c r="B5" s="4"/>
      <c r="C5" s="39"/>
      <c r="D5" s="39"/>
      <c r="E5" s="39"/>
      <c r="F5" s="17" t="s">
        <v>239</v>
      </c>
      <c r="G5" s="39">
        <f>G4</f>
        <v>720</v>
      </c>
      <c r="H5" s="38">
        <f>H4</f>
        <v>450</v>
      </c>
      <c r="I5" s="39">
        <v>1</v>
      </c>
      <c r="J5" s="62" t="s">
        <v>34</v>
      </c>
      <c r="K5" s="17" t="s">
        <v>15</v>
      </c>
      <c r="L5" s="39"/>
      <c r="M5" s="36">
        <v>1</v>
      </c>
      <c r="N5" s="39">
        <v>1</v>
      </c>
      <c r="O5" s="39">
        <v>1</v>
      </c>
      <c r="P5" s="39">
        <v>1</v>
      </c>
      <c r="Q5" s="4"/>
      <c r="R5" s="6">
        <f t="shared" ref="R5:R68" si="0">(G5+H5)*2*I5/300</f>
        <v>7.8</v>
      </c>
      <c r="S5" s="6">
        <f t="shared" ref="S5:S7" si="1">R5</f>
        <v>7.8</v>
      </c>
      <c r="T5" s="6"/>
      <c r="U5" s="6"/>
      <c r="V5" s="6"/>
      <c r="W5" s="20" t="s">
        <v>56</v>
      </c>
      <c r="X5" s="20" t="str">
        <f t="shared" ref="X5:X68" si="2">W5&amp;"-"&amp;F5</f>
        <v>LVNG-B1-RHS-VENEER-EB</v>
      </c>
      <c r="Y5" s="7">
        <f t="shared" ref="Y5:Y68" si="3">(G5+H5)*2*I5/300</f>
        <v>7.8</v>
      </c>
      <c r="AA5" s="17" t="s">
        <v>35</v>
      </c>
      <c r="AB5" s="7">
        <v>2420</v>
      </c>
      <c r="AC5" s="7">
        <v>1210</v>
      </c>
      <c r="AD5" s="7">
        <v>150</v>
      </c>
      <c r="AE5" s="17" t="s">
        <v>35</v>
      </c>
    </row>
    <row r="6" spans="1:31" x14ac:dyDescent="0.3">
      <c r="A6" s="4">
        <f t="shared" ref="A6:A69" si="4">A5+1</f>
        <v>3</v>
      </c>
      <c r="B6" s="4"/>
      <c r="C6" s="39"/>
      <c r="D6" s="39"/>
      <c r="E6" s="39"/>
      <c r="F6" s="17" t="s">
        <v>238</v>
      </c>
      <c r="G6" s="39">
        <f>D4-36</f>
        <v>514</v>
      </c>
      <c r="H6" s="38">
        <f>H5</f>
        <v>450</v>
      </c>
      <c r="I6" s="39">
        <v>1</v>
      </c>
      <c r="J6" s="62" t="s">
        <v>34</v>
      </c>
      <c r="K6" s="17" t="s">
        <v>15</v>
      </c>
      <c r="L6" s="39"/>
      <c r="M6" s="36">
        <v>1</v>
      </c>
      <c r="N6" s="39">
        <v>1</v>
      </c>
      <c r="O6" s="39">
        <v>1</v>
      </c>
      <c r="P6" s="39">
        <v>1</v>
      </c>
      <c r="Q6" s="4"/>
      <c r="R6" s="6">
        <f t="shared" si="0"/>
        <v>6.4266666666666667</v>
      </c>
      <c r="S6" s="6">
        <f t="shared" si="1"/>
        <v>6.4266666666666667</v>
      </c>
      <c r="T6" s="6"/>
      <c r="U6" s="6"/>
      <c r="V6" s="6"/>
      <c r="W6" s="20" t="s">
        <v>56</v>
      </c>
      <c r="X6" s="20" t="str">
        <f t="shared" si="2"/>
        <v>LVNG-B1-TOP-VENEER-EB</v>
      </c>
      <c r="Y6" s="7">
        <f t="shared" si="3"/>
        <v>6.4266666666666667</v>
      </c>
      <c r="AA6" s="41" t="s">
        <v>57</v>
      </c>
      <c r="AB6" s="7">
        <v>2420</v>
      </c>
      <c r="AC6" s="7">
        <v>1210</v>
      </c>
      <c r="AD6" s="7">
        <v>150</v>
      </c>
      <c r="AE6" s="41" t="s">
        <v>57</v>
      </c>
    </row>
    <row r="7" spans="1:31" x14ac:dyDescent="0.3">
      <c r="A7" s="4">
        <f t="shared" si="4"/>
        <v>4</v>
      </c>
      <c r="B7" s="4"/>
      <c r="C7" s="39" t="s">
        <v>25</v>
      </c>
      <c r="D7" s="39"/>
      <c r="E7" s="39"/>
      <c r="F7" s="17" t="s">
        <v>180</v>
      </c>
      <c r="G7" s="39">
        <f>G6</f>
        <v>514</v>
      </c>
      <c r="H7" s="38">
        <f>H6</f>
        <v>450</v>
      </c>
      <c r="I7" s="39">
        <v>1</v>
      </c>
      <c r="J7" s="62" t="s">
        <v>34</v>
      </c>
      <c r="K7" s="17" t="s">
        <v>15</v>
      </c>
      <c r="L7" s="39"/>
      <c r="M7" s="36">
        <v>1</v>
      </c>
      <c r="N7" s="39">
        <v>1</v>
      </c>
      <c r="O7" s="39">
        <v>1</v>
      </c>
      <c r="P7" s="39">
        <v>1</v>
      </c>
      <c r="Q7" s="4"/>
      <c r="R7" s="6">
        <f t="shared" si="0"/>
        <v>6.4266666666666667</v>
      </c>
      <c r="S7" s="6">
        <f t="shared" si="1"/>
        <v>6.4266666666666667</v>
      </c>
      <c r="T7" s="6"/>
      <c r="U7" s="6"/>
      <c r="V7" s="6"/>
      <c r="W7" s="20" t="s">
        <v>56</v>
      </c>
      <c r="X7" s="20" t="str">
        <f t="shared" si="2"/>
        <v>LVNG-B1-BTM-VENEER-EB</v>
      </c>
      <c r="Y7" s="7">
        <f t="shared" si="3"/>
        <v>6.4266666666666667</v>
      </c>
      <c r="AA7" s="44" t="s">
        <v>60</v>
      </c>
      <c r="AB7" s="7">
        <v>2420</v>
      </c>
      <c r="AC7" s="7">
        <v>1210</v>
      </c>
      <c r="AD7" s="7">
        <v>150</v>
      </c>
      <c r="AE7" s="44" t="s">
        <v>60</v>
      </c>
    </row>
    <row r="8" spans="1:31" x14ac:dyDescent="0.3">
      <c r="A8" s="4">
        <f t="shared" si="4"/>
        <v>5</v>
      </c>
      <c r="B8" s="4"/>
      <c r="C8" s="39"/>
      <c r="D8" s="39"/>
      <c r="E8" s="39"/>
      <c r="F8" s="17" t="s">
        <v>32</v>
      </c>
      <c r="G8" s="39">
        <f>C4-36+16</f>
        <v>700</v>
      </c>
      <c r="H8" s="39">
        <f>D4-36+16</f>
        <v>530</v>
      </c>
      <c r="I8" s="39">
        <v>1</v>
      </c>
      <c r="J8" s="62" t="s">
        <v>35</v>
      </c>
      <c r="K8" s="17" t="s">
        <v>15</v>
      </c>
      <c r="L8" s="39"/>
      <c r="M8" s="39"/>
      <c r="N8" s="39"/>
      <c r="O8" s="39"/>
      <c r="P8" s="39"/>
      <c r="Q8" s="4"/>
      <c r="R8" s="6">
        <f t="shared" si="0"/>
        <v>8.1999999999999993</v>
      </c>
      <c r="S8" s="6"/>
      <c r="T8" s="6"/>
      <c r="U8" s="6"/>
      <c r="V8" s="6"/>
      <c r="W8" s="20" t="s">
        <v>56</v>
      </c>
      <c r="X8" s="20" t="str">
        <f t="shared" si="2"/>
        <v>LVNG-B1-BACK UP</v>
      </c>
      <c r="Y8" s="7">
        <f t="shared" si="3"/>
        <v>8.1999999999999993</v>
      </c>
      <c r="AA8" s="41" t="s">
        <v>235</v>
      </c>
      <c r="AB8" s="7">
        <v>2420</v>
      </c>
      <c r="AC8" s="7">
        <v>1210</v>
      </c>
      <c r="AD8" s="7">
        <v>150</v>
      </c>
      <c r="AE8" s="41" t="s">
        <v>235</v>
      </c>
    </row>
    <row r="9" spans="1:31" x14ac:dyDescent="0.3">
      <c r="A9" s="4">
        <f t="shared" si="4"/>
        <v>6</v>
      </c>
      <c r="B9" s="4"/>
      <c r="C9" s="39"/>
      <c r="D9" s="39"/>
      <c r="E9" s="39"/>
      <c r="F9" s="17" t="s">
        <v>39</v>
      </c>
      <c r="G9" s="39">
        <v>180</v>
      </c>
      <c r="H9" s="39">
        <f>350</f>
        <v>350</v>
      </c>
      <c r="I9" s="39">
        <v>6</v>
      </c>
      <c r="J9" s="62" t="s">
        <v>34</v>
      </c>
      <c r="K9" s="17" t="s">
        <v>15</v>
      </c>
      <c r="L9" s="39"/>
      <c r="M9" s="39">
        <v>1</v>
      </c>
      <c r="N9" s="39">
        <v>1</v>
      </c>
      <c r="O9" s="39">
        <v>1</v>
      </c>
      <c r="P9" s="39">
        <v>1</v>
      </c>
      <c r="Q9" s="4"/>
      <c r="R9" s="6">
        <f t="shared" si="0"/>
        <v>21.2</v>
      </c>
      <c r="S9" s="6">
        <f t="shared" ref="S9:S10" si="5">R9</f>
        <v>21.2</v>
      </c>
      <c r="T9" s="6"/>
      <c r="U9" s="6"/>
      <c r="V9" s="6"/>
      <c r="W9" s="20" t="s">
        <v>56</v>
      </c>
      <c r="X9" s="20" t="str">
        <f t="shared" si="2"/>
        <v>LVNG-B1-DR SIDES</v>
      </c>
      <c r="Y9" s="7">
        <f t="shared" si="3"/>
        <v>21.2</v>
      </c>
      <c r="AA9" s="35" t="s">
        <v>69</v>
      </c>
      <c r="AB9" s="7">
        <v>2420</v>
      </c>
      <c r="AC9" s="7">
        <v>1210</v>
      </c>
      <c r="AD9" s="7">
        <v>150</v>
      </c>
      <c r="AE9" s="35" t="s">
        <v>69</v>
      </c>
    </row>
    <row r="10" spans="1:31" x14ac:dyDescent="0.3">
      <c r="A10" s="4">
        <f t="shared" si="4"/>
        <v>7</v>
      </c>
      <c r="B10" s="4"/>
      <c r="C10" s="39"/>
      <c r="D10" s="39"/>
      <c r="E10" s="39"/>
      <c r="F10" s="17" t="s">
        <v>40</v>
      </c>
      <c r="G10" s="39">
        <f>G9</f>
        <v>180</v>
      </c>
      <c r="H10" s="39">
        <f>D4-36-28-36</f>
        <v>450</v>
      </c>
      <c r="I10" s="39">
        <v>6</v>
      </c>
      <c r="J10" s="62" t="s">
        <v>34</v>
      </c>
      <c r="K10" s="17" t="s">
        <v>15</v>
      </c>
      <c r="L10" s="39"/>
      <c r="M10" s="39">
        <v>1</v>
      </c>
      <c r="N10" s="39">
        <v>1</v>
      </c>
      <c r="O10" s="39">
        <v>1</v>
      </c>
      <c r="P10" s="39">
        <v>1</v>
      </c>
      <c r="Q10" s="4"/>
      <c r="R10" s="6">
        <f t="shared" si="0"/>
        <v>25.2</v>
      </c>
      <c r="S10" s="6">
        <f t="shared" si="5"/>
        <v>25.2</v>
      </c>
      <c r="T10" s="6"/>
      <c r="U10" s="6"/>
      <c r="V10" s="6"/>
      <c r="W10" s="20" t="s">
        <v>56</v>
      </c>
      <c r="X10" s="20" t="str">
        <f t="shared" si="2"/>
        <v>LVNG-B1-DR F/B</v>
      </c>
      <c r="Y10" s="7">
        <f t="shared" si="3"/>
        <v>25.2</v>
      </c>
      <c r="AA10" s="37" t="s">
        <v>72</v>
      </c>
      <c r="AB10" s="7">
        <v>2420</v>
      </c>
      <c r="AC10" s="7">
        <v>1210</v>
      </c>
      <c r="AD10" s="7">
        <v>150</v>
      </c>
      <c r="AE10" s="37" t="s">
        <v>72</v>
      </c>
    </row>
    <row r="11" spans="1:31" x14ac:dyDescent="0.3">
      <c r="A11" s="4">
        <f t="shared" si="4"/>
        <v>8</v>
      </c>
      <c r="B11" s="4"/>
      <c r="C11" s="39"/>
      <c r="D11" s="39"/>
      <c r="E11" s="39"/>
      <c r="F11" s="17" t="s">
        <v>41</v>
      </c>
      <c r="G11" s="39">
        <f>H9-36+16</f>
        <v>330</v>
      </c>
      <c r="H11" s="39">
        <f>H10+16</f>
        <v>466</v>
      </c>
      <c r="I11" s="39">
        <v>3</v>
      </c>
      <c r="J11" s="62" t="s">
        <v>35</v>
      </c>
      <c r="K11" s="17" t="s">
        <v>15</v>
      </c>
      <c r="L11" s="39"/>
      <c r="M11" s="39"/>
      <c r="N11" s="39"/>
      <c r="O11" s="39"/>
      <c r="P11" s="39"/>
      <c r="Q11" s="4"/>
      <c r="R11" s="6">
        <f t="shared" si="0"/>
        <v>15.92</v>
      </c>
      <c r="S11" s="17"/>
      <c r="T11" s="6"/>
      <c r="U11" s="6"/>
      <c r="V11" s="6"/>
      <c r="W11" s="20" t="s">
        <v>56</v>
      </c>
      <c r="X11" s="20" t="str">
        <f t="shared" si="2"/>
        <v>LVNG-B1-DR BACK UP</v>
      </c>
      <c r="Y11" s="7">
        <f t="shared" si="3"/>
        <v>15.92</v>
      </c>
      <c r="AA11" s="40" t="s">
        <v>74</v>
      </c>
      <c r="AB11" s="7">
        <v>2420</v>
      </c>
      <c r="AC11" s="7">
        <v>1210</v>
      </c>
      <c r="AD11" s="7">
        <v>150</v>
      </c>
      <c r="AE11" s="40" t="s">
        <v>74</v>
      </c>
    </row>
    <row r="12" spans="1:31" x14ac:dyDescent="0.3">
      <c r="A12" s="4">
        <f t="shared" si="4"/>
        <v>9</v>
      </c>
      <c r="B12" s="4"/>
      <c r="C12" s="17"/>
      <c r="D12" s="17"/>
      <c r="E12" s="17"/>
      <c r="F12" s="17" t="s">
        <v>42</v>
      </c>
      <c r="G12" s="39">
        <f>(C4-36)/3-2</f>
        <v>226</v>
      </c>
      <c r="H12" s="39">
        <f>(D4-36)-2</f>
        <v>512</v>
      </c>
      <c r="I12" s="39">
        <v>3</v>
      </c>
      <c r="J12" s="81" t="s">
        <v>57</v>
      </c>
      <c r="K12" s="17" t="s">
        <v>15</v>
      </c>
      <c r="L12" s="17"/>
      <c r="M12" s="17">
        <v>3</v>
      </c>
      <c r="N12" s="17">
        <v>3</v>
      </c>
      <c r="O12" s="17">
        <v>3</v>
      </c>
      <c r="P12" s="17">
        <v>3</v>
      </c>
      <c r="Q12" s="17"/>
      <c r="R12" s="6">
        <f t="shared" si="0"/>
        <v>14.76</v>
      </c>
      <c r="S12" s="6"/>
      <c r="T12" s="6">
        <f>R12</f>
        <v>14.76</v>
      </c>
      <c r="U12" s="6"/>
      <c r="V12" s="6"/>
      <c r="W12" s="20" t="s">
        <v>56</v>
      </c>
      <c r="X12" s="20" t="str">
        <f t="shared" si="2"/>
        <v>LVNG-B1-DR FACIA</v>
      </c>
      <c r="Y12" s="7">
        <f t="shared" si="3"/>
        <v>14.76</v>
      </c>
      <c r="AA12" s="43" t="s">
        <v>73</v>
      </c>
      <c r="AB12" s="7">
        <v>2420</v>
      </c>
      <c r="AC12" s="7">
        <v>1210</v>
      </c>
      <c r="AD12" s="7">
        <v>150</v>
      </c>
      <c r="AE12" s="43" t="s">
        <v>73</v>
      </c>
    </row>
    <row r="13" spans="1:31" x14ac:dyDescent="0.3">
      <c r="A13" s="4">
        <f t="shared" si="4"/>
        <v>10</v>
      </c>
      <c r="B13" s="46" t="s">
        <v>59</v>
      </c>
      <c r="C13" s="23">
        <f>240+240+240</f>
        <v>720</v>
      </c>
      <c r="D13" s="23">
        <v>200</v>
      </c>
      <c r="E13" s="23">
        <v>450</v>
      </c>
      <c r="F13" s="17" t="s">
        <v>28</v>
      </c>
      <c r="G13" s="39">
        <f>C13</f>
        <v>720</v>
      </c>
      <c r="H13" s="38">
        <f>E13</f>
        <v>450</v>
      </c>
      <c r="I13" s="39">
        <v>1</v>
      </c>
      <c r="J13" s="81" t="s">
        <v>58</v>
      </c>
      <c r="K13" s="39"/>
      <c r="L13" s="39"/>
      <c r="M13" s="39">
        <v>1</v>
      </c>
      <c r="N13" s="39">
        <v>1</v>
      </c>
      <c r="O13" s="39">
        <v>1</v>
      </c>
      <c r="P13" s="39">
        <v>1</v>
      </c>
      <c r="Q13" s="17" t="s">
        <v>64</v>
      </c>
      <c r="R13" s="6">
        <f t="shared" si="0"/>
        <v>7.8</v>
      </c>
      <c r="S13" s="6">
        <f t="shared" ref="S13:S22" si="6">R13</f>
        <v>7.8</v>
      </c>
      <c r="T13" s="6"/>
      <c r="U13" s="6"/>
      <c r="V13" s="6"/>
      <c r="W13" s="20" t="s">
        <v>59</v>
      </c>
      <c r="X13" s="20" t="str">
        <f t="shared" si="2"/>
        <v>LVNG-B2-Open-LHS</v>
      </c>
      <c r="Y13" s="7">
        <f t="shared" si="3"/>
        <v>7.8</v>
      </c>
      <c r="AA13" s="41" t="s">
        <v>78</v>
      </c>
      <c r="AB13" s="7">
        <v>2420</v>
      </c>
      <c r="AC13" s="7">
        <v>1210</v>
      </c>
      <c r="AD13" s="7">
        <v>150</v>
      </c>
      <c r="AE13" s="41" t="s">
        <v>78</v>
      </c>
    </row>
    <row r="14" spans="1:31" x14ac:dyDescent="0.3">
      <c r="A14" s="4">
        <f t="shared" si="4"/>
        <v>11</v>
      </c>
      <c r="B14" s="4"/>
      <c r="C14" s="39"/>
      <c r="D14" s="39"/>
      <c r="E14" s="39"/>
      <c r="F14" s="17" t="s">
        <v>29</v>
      </c>
      <c r="G14" s="39">
        <f>G13</f>
        <v>720</v>
      </c>
      <c r="H14" s="38">
        <f>H13</f>
        <v>450</v>
      </c>
      <c r="I14" s="39">
        <v>1</v>
      </c>
      <c r="J14" s="81" t="s">
        <v>58</v>
      </c>
      <c r="K14" s="39"/>
      <c r="L14" s="39"/>
      <c r="M14" s="39">
        <v>1</v>
      </c>
      <c r="N14" s="39">
        <v>1</v>
      </c>
      <c r="O14" s="39">
        <v>1</v>
      </c>
      <c r="P14" s="39">
        <v>1</v>
      </c>
      <c r="Q14" s="17" t="s">
        <v>64</v>
      </c>
      <c r="R14" s="6">
        <f t="shared" si="0"/>
        <v>7.8</v>
      </c>
      <c r="S14" s="6">
        <f t="shared" si="6"/>
        <v>7.8</v>
      </c>
      <c r="T14" s="6"/>
      <c r="U14" s="6"/>
      <c r="V14" s="6"/>
      <c r="W14" s="20" t="s">
        <v>59</v>
      </c>
      <c r="X14" s="20" t="str">
        <f t="shared" si="2"/>
        <v>LVNG-B2-Open-RHS</v>
      </c>
      <c r="Y14" s="7">
        <f t="shared" si="3"/>
        <v>7.8</v>
      </c>
      <c r="AA14" s="33" t="s">
        <v>79</v>
      </c>
      <c r="AB14" s="7">
        <v>2420</v>
      </c>
      <c r="AC14" s="7">
        <v>1210</v>
      </c>
      <c r="AD14" s="7">
        <v>150</v>
      </c>
      <c r="AE14" s="33" t="s">
        <v>79</v>
      </c>
    </row>
    <row r="15" spans="1:31" x14ac:dyDescent="0.3">
      <c r="A15" s="4">
        <f t="shared" si="4"/>
        <v>12</v>
      </c>
      <c r="B15" s="4"/>
      <c r="C15" s="39"/>
      <c r="D15" s="39"/>
      <c r="E15" s="39"/>
      <c r="F15" s="17" t="s">
        <v>30</v>
      </c>
      <c r="G15" s="39">
        <f>D13-40</f>
        <v>160</v>
      </c>
      <c r="H15" s="38">
        <f>H14</f>
        <v>450</v>
      </c>
      <c r="I15" s="39">
        <v>1</v>
      </c>
      <c r="J15" s="81" t="s">
        <v>58</v>
      </c>
      <c r="K15" s="39"/>
      <c r="L15" s="39"/>
      <c r="M15" s="39">
        <v>1</v>
      </c>
      <c r="N15" s="39">
        <v>1</v>
      </c>
      <c r="O15" s="39">
        <v>1</v>
      </c>
      <c r="P15" s="39">
        <v>1</v>
      </c>
      <c r="Q15" s="17" t="s">
        <v>64</v>
      </c>
      <c r="R15" s="6">
        <f t="shared" si="0"/>
        <v>4.0666666666666664</v>
      </c>
      <c r="S15" s="6">
        <f t="shared" si="6"/>
        <v>4.0666666666666664</v>
      </c>
      <c r="T15" s="6"/>
      <c r="U15" s="6"/>
      <c r="V15" s="6"/>
      <c r="W15" s="20" t="s">
        <v>59</v>
      </c>
      <c r="X15" s="20" t="str">
        <f t="shared" si="2"/>
        <v>LVNG-B2-Open-TOP</v>
      </c>
      <c r="Y15" s="7">
        <f t="shared" si="3"/>
        <v>4.0666666666666664</v>
      </c>
      <c r="AA15" s="34" t="s">
        <v>80</v>
      </c>
      <c r="AB15" s="7">
        <v>2420</v>
      </c>
      <c r="AC15" s="7">
        <v>1210</v>
      </c>
      <c r="AD15" s="7">
        <v>150</v>
      </c>
      <c r="AE15" s="34" t="s">
        <v>80</v>
      </c>
    </row>
    <row r="16" spans="1:31" x14ac:dyDescent="0.3">
      <c r="A16" s="4">
        <f t="shared" si="4"/>
        <v>13</v>
      </c>
      <c r="B16" s="4"/>
      <c r="C16" s="39" t="s">
        <v>25</v>
      </c>
      <c r="D16" s="39"/>
      <c r="E16" s="39"/>
      <c r="F16" s="17" t="s">
        <v>31</v>
      </c>
      <c r="G16" s="39">
        <f>G15</f>
        <v>160</v>
      </c>
      <c r="H16" s="38">
        <f>H15</f>
        <v>450</v>
      </c>
      <c r="I16" s="39">
        <v>1</v>
      </c>
      <c r="J16" s="81" t="s">
        <v>58</v>
      </c>
      <c r="K16" s="39"/>
      <c r="L16" s="39"/>
      <c r="M16" s="39">
        <v>1</v>
      </c>
      <c r="N16" s="39">
        <v>1</v>
      </c>
      <c r="O16" s="39">
        <v>1</v>
      </c>
      <c r="P16" s="39">
        <v>1</v>
      </c>
      <c r="Q16" s="17" t="s">
        <v>64</v>
      </c>
      <c r="R16" s="6">
        <f t="shared" si="0"/>
        <v>4.0666666666666664</v>
      </c>
      <c r="S16" s="6">
        <f t="shared" si="6"/>
        <v>4.0666666666666664</v>
      </c>
      <c r="T16" s="6"/>
      <c r="U16" s="6"/>
      <c r="V16" s="6"/>
      <c r="W16" s="20" t="s">
        <v>59</v>
      </c>
      <c r="X16" s="20" t="str">
        <f t="shared" si="2"/>
        <v>LVNG-B2-Open-BTM</v>
      </c>
      <c r="Y16" s="7">
        <f t="shared" si="3"/>
        <v>4.0666666666666664</v>
      </c>
      <c r="AA16" s="41" t="s">
        <v>181</v>
      </c>
      <c r="AB16" s="7">
        <v>2420</v>
      </c>
      <c r="AC16" s="7">
        <v>1210</v>
      </c>
      <c r="AD16" s="7">
        <v>150</v>
      </c>
      <c r="AE16" s="41" t="s">
        <v>181</v>
      </c>
    </row>
    <row r="17" spans="1:31" x14ac:dyDescent="0.3">
      <c r="A17" s="4">
        <f t="shared" si="4"/>
        <v>14</v>
      </c>
      <c r="B17" s="4"/>
      <c r="C17" s="39"/>
      <c r="D17" s="39"/>
      <c r="E17" s="39"/>
      <c r="F17" s="17" t="s">
        <v>32</v>
      </c>
      <c r="G17" s="39">
        <f>C13-36</f>
        <v>684</v>
      </c>
      <c r="H17" s="39">
        <f>D13-40</f>
        <v>160</v>
      </c>
      <c r="I17" s="39">
        <v>1</v>
      </c>
      <c r="J17" s="81" t="s">
        <v>58</v>
      </c>
      <c r="K17" s="39"/>
      <c r="L17" s="39"/>
      <c r="M17" s="39">
        <v>1</v>
      </c>
      <c r="N17" s="39">
        <v>1</v>
      </c>
      <c r="O17" s="39">
        <v>1</v>
      </c>
      <c r="P17" s="39">
        <v>1</v>
      </c>
      <c r="Q17" s="17" t="s">
        <v>64</v>
      </c>
      <c r="R17" s="6">
        <f t="shared" si="0"/>
        <v>5.6266666666666669</v>
      </c>
      <c r="S17" s="6">
        <f t="shared" si="6"/>
        <v>5.6266666666666669</v>
      </c>
      <c r="T17" s="6"/>
      <c r="U17" s="6"/>
      <c r="V17" s="6"/>
      <c r="W17" s="20" t="s">
        <v>59</v>
      </c>
      <c r="X17" s="20" t="str">
        <f t="shared" si="2"/>
        <v>LVNG-B2-Open-BACK UP</v>
      </c>
      <c r="Y17" s="7">
        <f t="shared" si="3"/>
        <v>5.6266666666666669</v>
      </c>
      <c r="AA17" s="47" t="s">
        <v>85</v>
      </c>
      <c r="AB17" s="7">
        <v>2420</v>
      </c>
      <c r="AC17" s="7">
        <v>1210</v>
      </c>
      <c r="AD17" s="7">
        <v>150</v>
      </c>
      <c r="AE17" s="47" t="s">
        <v>85</v>
      </c>
    </row>
    <row r="18" spans="1:31" x14ac:dyDescent="0.3">
      <c r="A18" s="4">
        <f t="shared" si="4"/>
        <v>15</v>
      </c>
      <c r="B18" s="4"/>
      <c r="C18" s="39"/>
      <c r="D18" s="39"/>
      <c r="E18" s="39"/>
      <c r="F18" s="17" t="s">
        <v>38</v>
      </c>
      <c r="G18" s="39">
        <f>D13-40</f>
        <v>160</v>
      </c>
      <c r="H18" s="39">
        <f>E13-20</f>
        <v>430</v>
      </c>
      <c r="I18" s="39">
        <v>1</v>
      </c>
      <c r="J18" s="81" t="s">
        <v>60</v>
      </c>
      <c r="K18" s="39"/>
      <c r="L18" s="39"/>
      <c r="M18" s="39">
        <v>1</v>
      </c>
      <c r="N18" s="39">
        <v>1</v>
      </c>
      <c r="O18" s="39">
        <v>1</v>
      </c>
      <c r="P18" s="39">
        <v>1</v>
      </c>
      <c r="Q18" s="17" t="s">
        <v>64</v>
      </c>
      <c r="R18" s="6">
        <f t="shared" si="0"/>
        <v>3.9333333333333331</v>
      </c>
      <c r="S18" s="6">
        <f t="shared" si="6"/>
        <v>3.9333333333333331</v>
      </c>
      <c r="T18" s="6"/>
      <c r="U18" s="6"/>
      <c r="V18" s="6"/>
      <c r="W18" s="20" t="s">
        <v>59</v>
      </c>
      <c r="X18" s="20" t="str">
        <f t="shared" si="2"/>
        <v>LVNG-B2-Open-Fshelf</v>
      </c>
      <c r="Y18" s="7">
        <f t="shared" si="3"/>
        <v>3.9333333333333331</v>
      </c>
      <c r="AA18" s="47" t="s">
        <v>86</v>
      </c>
      <c r="AB18" s="7">
        <v>2420</v>
      </c>
      <c r="AC18" s="7">
        <v>1210</v>
      </c>
      <c r="AD18" s="7">
        <v>150</v>
      </c>
      <c r="AE18" s="47" t="s">
        <v>86</v>
      </c>
    </row>
    <row r="19" spans="1:31" x14ac:dyDescent="0.3">
      <c r="A19" s="4">
        <f t="shared" si="4"/>
        <v>16</v>
      </c>
      <c r="B19" s="46" t="s">
        <v>61</v>
      </c>
      <c r="C19" s="23">
        <f>240+240+240</f>
        <v>720</v>
      </c>
      <c r="D19" s="23">
        <f>375+375+18</f>
        <v>768</v>
      </c>
      <c r="E19" s="23">
        <v>450</v>
      </c>
      <c r="F19" s="17" t="s">
        <v>28</v>
      </c>
      <c r="G19" s="39">
        <f>C19</f>
        <v>720</v>
      </c>
      <c r="H19" s="38">
        <f>E19</f>
        <v>450</v>
      </c>
      <c r="I19" s="39">
        <v>1</v>
      </c>
      <c r="J19" s="62" t="s">
        <v>34</v>
      </c>
      <c r="K19" s="17" t="s">
        <v>15</v>
      </c>
      <c r="L19" s="39"/>
      <c r="M19" s="39">
        <v>1</v>
      </c>
      <c r="N19" s="39">
        <v>1</v>
      </c>
      <c r="O19" s="39">
        <v>1</v>
      </c>
      <c r="P19" s="39">
        <v>1</v>
      </c>
      <c r="Q19" s="4"/>
      <c r="R19" s="6">
        <f t="shared" si="0"/>
        <v>7.8</v>
      </c>
      <c r="S19" s="6">
        <f t="shared" si="6"/>
        <v>7.8</v>
      </c>
      <c r="T19" s="6"/>
      <c r="U19" s="6"/>
      <c r="V19" s="6"/>
      <c r="W19" s="20" t="s">
        <v>61</v>
      </c>
      <c r="X19" s="20" t="str">
        <f t="shared" si="2"/>
        <v>LVNG-B3-LHS</v>
      </c>
      <c r="Y19" s="7">
        <f t="shared" si="3"/>
        <v>7.8</v>
      </c>
      <c r="AA19" s="32" t="s">
        <v>63</v>
      </c>
      <c r="AB19" s="7">
        <v>2420</v>
      </c>
      <c r="AC19" s="7">
        <v>1210</v>
      </c>
      <c r="AD19" s="7">
        <v>150</v>
      </c>
      <c r="AE19" s="32" t="s">
        <v>63</v>
      </c>
    </row>
    <row r="20" spans="1:31" x14ac:dyDescent="0.3">
      <c r="A20" s="4">
        <f t="shared" si="4"/>
        <v>17</v>
      </c>
      <c r="B20" s="4"/>
      <c r="C20" s="39"/>
      <c r="D20" s="39"/>
      <c r="E20" s="39"/>
      <c r="F20" s="17" t="s">
        <v>29</v>
      </c>
      <c r="G20" s="39">
        <f>G19</f>
        <v>720</v>
      </c>
      <c r="H20" s="38">
        <f>H19</f>
        <v>450</v>
      </c>
      <c r="I20" s="39">
        <v>1</v>
      </c>
      <c r="J20" s="81" t="s">
        <v>58</v>
      </c>
      <c r="K20" s="39"/>
      <c r="L20" s="39"/>
      <c r="M20" s="39">
        <v>1</v>
      </c>
      <c r="N20" s="39">
        <v>1</v>
      </c>
      <c r="O20" s="39">
        <v>1</v>
      </c>
      <c r="P20" s="39">
        <v>1</v>
      </c>
      <c r="Q20" s="17" t="s">
        <v>64</v>
      </c>
      <c r="R20" s="6">
        <f t="shared" si="0"/>
        <v>7.8</v>
      </c>
      <c r="S20" s="6">
        <f t="shared" si="6"/>
        <v>7.8</v>
      </c>
      <c r="T20" s="6"/>
      <c r="U20" s="6"/>
      <c r="V20" s="6"/>
      <c r="W20" s="20" t="s">
        <v>61</v>
      </c>
      <c r="X20" s="20" t="str">
        <f t="shared" si="2"/>
        <v>LVNG-B3-RHS</v>
      </c>
      <c r="Y20" s="7">
        <f t="shared" si="3"/>
        <v>7.8</v>
      </c>
      <c r="AA20" s="33" t="s">
        <v>88</v>
      </c>
      <c r="AB20" s="7">
        <v>2420</v>
      </c>
      <c r="AC20" s="7">
        <v>1210</v>
      </c>
      <c r="AD20" s="7">
        <v>150</v>
      </c>
      <c r="AE20" s="33" t="s">
        <v>88</v>
      </c>
    </row>
    <row r="21" spans="1:31" x14ac:dyDescent="0.3">
      <c r="A21" s="4">
        <f t="shared" si="4"/>
        <v>18</v>
      </c>
      <c r="B21" s="4"/>
      <c r="C21" s="39"/>
      <c r="D21" s="39"/>
      <c r="E21" s="39"/>
      <c r="F21" s="17" t="s">
        <v>30</v>
      </c>
      <c r="G21" s="39">
        <f>D19-36</f>
        <v>732</v>
      </c>
      <c r="H21" s="38">
        <f>H20</f>
        <v>450</v>
      </c>
      <c r="I21" s="39">
        <v>1</v>
      </c>
      <c r="J21" s="62" t="s">
        <v>34</v>
      </c>
      <c r="K21" s="17" t="s">
        <v>15</v>
      </c>
      <c r="L21" s="39"/>
      <c r="M21" s="39">
        <v>1</v>
      </c>
      <c r="N21" s="39">
        <v>1</v>
      </c>
      <c r="O21" s="39">
        <v>1</v>
      </c>
      <c r="P21" s="39">
        <v>1</v>
      </c>
      <c r="Q21" s="4"/>
      <c r="R21" s="6">
        <f t="shared" si="0"/>
        <v>7.88</v>
      </c>
      <c r="S21" s="6">
        <f t="shared" si="6"/>
        <v>7.88</v>
      </c>
      <c r="T21" s="6"/>
      <c r="U21" s="6"/>
      <c r="V21" s="6"/>
      <c r="W21" s="20" t="s">
        <v>61</v>
      </c>
      <c r="X21" s="20" t="str">
        <f t="shared" si="2"/>
        <v>LVNG-B3-TOP</v>
      </c>
      <c r="Y21" s="7">
        <f t="shared" si="3"/>
        <v>7.88</v>
      </c>
      <c r="AA21" s="51" t="s">
        <v>119</v>
      </c>
      <c r="AB21" s="7">
        <v>2420</v>
      </c>
      <c r="AC21" s="7">
        <v>1210</v>
      </c>
      <c r="AD21" s="7">
        <v>150</v>
      </c>
      <c r="AE21" s="51" t="s">
        <v>119</v>
      </c>
    </row>
    <row r="22" spans="1:31" x14ac:dyDescent="0.3">
      <c r="A22" s="4">
        <f t="shared" si="4"/>
        <v>19</v>
      </c>
      <c r="B22" s="4"/>
      <c r="C22" s="103" t="s">
        <v>62</v>
      </c>
      <c r="D22" s="104"/>
      <c r="E22" s="105"/>
      <c r="F22" s="17" t="s">
        <v>180</v>
      </c>
      <c r="G22" s="39">
        <f>G21</f>
        <v>732</v>
      </c>
      <c r="H22" s="38">
        <f>H21</f>
        <v>450</v>
      </c>
      <c r="I22" s="39">
        <v>1</v>
      </c>
      <c r="J22" s="62" t="s">
        <v>34</v>
      </c>
      <c r="K22" s="17" t="s">
        <v>15</v>
      </c>
      <c r="L22" s="39"/>
      <c r="M22" s="39">
        <v>1</v>
      </c>
      <c r="N22" s="39">
        <v>1</v>
      </c>
      <c r="O22" s="39">
        <v>1</v>
      </c>
      <c r="P22" s="39">
        <v>1</v>
      </c>
      <c r="Q22" s="4"/>
      <c r="R22" s="6">
        <f t="shared" si="0"/>
        <v>7.88</v>
      </c>
      <c r="S22" s="6">
        <f t="shared" si="6"/>
        <v>7.88</v>
      </c>
      <c r="T22" s="6"/>
      <c r="U22" s="6"/>
      <c r="V22" s="6"/>
      <c r="W22" s="20" t="s">
        <v>61</v>
      </c>
      <c r="X22" s="20" t="str">
        <f t="shared" si="2"/>
        <v>LVNG-B3-BTM-VENEER-EB</v>
      </c>
      <c r="Y22" s="7">
        <f t="shared" si="3"/>
        <v>7.88</v>
      </c>
      <c r="AA22" s="50" t="s">
        <v>100</v>
      </c>
      <c r="AB22" s="7">
        <v>2420</v>
      </c>
      <c r="AC22" s="7">
        <v>1210</v>
      </c>
      <c r="AD22" s="7">
        <v>150</v>
      </c>
      <c r="AE22" s="50" t="s">
        <v>100</v>
      </c>
    </row>
    <row r="23" spans="1:31" x14ac:dyDescent="0.3">
      <c r="A23" s="4">
        <f t="shared" si="4"/>
        <v>20</v>
      </c>
      <c r="B23" s="4"/>
      <c r="C23" s="39"/>
      <c r="D23" s="39"/>
      <c r="E23" s="39"/>
      <c r="F23" s="17" t="s">
        <v>32</v>
      </c>
      <c r="G23" s="39">
        <f>C19-36+16</f>
        <v>700</v>
      </c>
      <c r="H23" s="39">
        <f>D19-36+16</f>
        <v>748</v>
      </c>
      <c r="I23" s="39">
        <v>1</v>
      </c>
      <c r="J23" s="62" t="s">
        <v>35</v>
      </c>
      <c r="K23" s="17" t="s">
        <v>15</v>
      </c>
      <c r="L23" s="17"/>
      <c r="M23" s="17"/>
      <c r="N23" s="17"/>
      <c r="O23" s="17"/>
      <c r="P23" s="17"/>
      <c r="Q23" s="4"/>
      <c r="R23" s="6">
        <f t="shared" si="0"/>
        <v>9.6533333333333342</v>
      </c>
      <c r="S23" s="6"/>
      <c r="T23" s="6"/>
      <c r="U23" s="6"/>
      <c r="V23" s="6"/>
      <c r="W23" s="20" t="s">
        <v>61</v>
      </c>
      <c r="X23" s="20" t="str">
        <f t="shared" si="2"/>
        <v>LVNG-B3-BACK UP</v>
      </c>
      <c r="Y23" s="7">
        <f t="shared" si="3"/>
        <v>9.6533333333333342</v>
      </c>
      <c r="AA23" s="34" t="s">
        <v>110</v>
      </c>
      <c r="AB23" s="7">
        <v>2420</v>
      </c>
      <c r="AC23" s="7">
        <v>1210</v>
      </c>
      <c r="AD23" s="7">
        <v>150</v>
      </c>
      <c r="AE23" s="34" t="s">
        <v>110</v>
      </c>
    </row>
    <row r="24" spans="1:31" x14ac:dyDescent="0.3">
      <c r="A24" s="4">
        <f t="shared" si="4"/>
        <v>21</v>
      </c>
      <c r="B24" s="4"/>
      <c r="C24" s="17"/>
      <c r="D24" s="17"/>
      <c r="E24" s="17"/>
      <c r="F24" s="17" t="s">
        <v>33</v>
      </c>
      <c r="G24" s="39">
        <f>D19-36-1</f>
        <v>731</v>
      </c>
      <c r="H24" s="39">
        <f>E19-25</f>
        <v>425</v>
      </c>
      <c r="I24" s="39">
        <v>1</v>
      </c>
      <c r="J24" s="62" t="s">
        <v>34</v>
      </c>
      <c r="K24" s="17" t="s">
        <v>15</v>
      </c>
      <c r="L24" s="39"/>
      <c r="M24" s="39">
        <v>1</v>
      </c>
      <c r="N24" s="39">
        <v>1</v>
      </c>
      <c r="O24" s="39">
        <v>1</v>
      </c>
      <c r="P24" s="39">
        <v>1</v>
      </c>
      <c r="Q24" s="4"/>
      <c r="R24" s="6">
        <f t="shared" si="0"/>
        <v>7.706666666666667</v>
      </c>
      <c r="S24" s="6">
        <f t="shared" ref="S24:S29" si="7">R24</f>
        <v>7.706666666666667</v>
      </c>
      <c r="T24" s="6"/>
      <c r="U24" s="6"/>
      <c r="V24" s="6"/>
      <c r="W24" s="20" t="s">
        <v>61</v>
      </c>
      <c r="X24" s="20" t="str">
        <f t="shared" si="2"/>
        <v>LVNG-B3-Lshelf</v>
      </c>
      <c r="Y24" s="7">
        <f t="shared" si="3"/>
        <v>7.706666666666667</v>
      </c>
      <c r="AA24" s="51" t="s">
        <v>121</v>
      </c>
      <c r="AB24" s="7">
        <v>2420</v>
      </c>
      <c r="AC24" s="7">
        <v>1210</v>
      </c>
      <c r="AD24" s="7">
        <v>150</v>
      </c>
      <c r="AE24" s="51" t="s">
        <v>121</v>
      </c>
    </row>
    <row r="25" spans="1:31" x14ac:dyDescent="0.3">
      <c r="A25" s="4">
        <f t="shared" si="4"/>
        <v>22</v>
      </c>
      <c r="B25" s="4"/>
      <c r="C25" s="17"/>
      <c r="D25" s="17"/>
      <c r="E25" s="17"/>
      <c r="F25" s="40" t="s">
        <v>51</v>
      </c>
      <c r="G25" s="38">
        <f>18+532+200+375+375+18</f>
        <v>1518</v>
      </c>
      <c r="H25" s="38">
        <f>450</f>
        <v>450</v>
      </c>
      <c r="I25" s="39">
        <v>1</v>
      </c>
      <c r="J25" s="81" t="s">
        <v>58</v>
      </c>
      <c r="K25" s="39"/>
      <c r="L25" s="39"/>
      <c r="M25" s="39">
        <v>1</v>
      </c>
      <c r="N25" s="39">
        <v>1</v>
      </c>
      <c r="O25" s="39">
        <v>1</v>
      </c>
      <c r="P25" s="39">
        <v>1</v>
      </c>
      <c r="Q25" s="17" t="s">
        <v>64</v>
      </c>
      <c r="R25" s="6">
        <f t="shared" si="0"/>
        <v>13.12</v>
      </c>
      <c r="S25" s="6">
        <f t="shared" si="7"/>
        <v>13.12</v>
      </c>
      <c r="T25" s="6"/>
      <c r="U25" s="6"/>
      <c r="V25" s="6"/>
      <c r="W25" s="20" t="s">
        <v>61</v>
      </c>
      <c r="X25" s="20" t="str">
        <f t="shared" si="2"/>
        <v>LVNG-B3-FULL TOP</v>
      </c>
      <c r="Y25" s="7">
        <f t="shared" si="3"/>
        <v>13.12</v>
      </c>
      <c r="AA25" s="34" t="s">
        <v>122</v>
      </c>
      <c r="AB25" s="7">
        <v>2420</v>
      </c>
      <c r="AC25" s="7">
        <v>1210</v>
      </c>
      <c r="AD25" s="7">
        <v>150</v>
      </c>
      <c r="AE25" s="34" t="s">
        <v>122</v>
      </c>
    </row>
    <row r="26" spans="1:31" x14ac:dyDescent="0.3">
      <c r="A26" s="4">
        <f t="shared" si="4"/>
        <v>23</v>
      </c>
      <c r="B26" s="46" t="s">
        <v>65</v>
      </c>
      <c r="C26" s="23">
        <v>300</v>
      </c>
      <c r="D26" s="23">
        <f>657+657</f>
        <v>1314</v>
      </c>
      <c r="E26" s="23">
        <v>400</v>
      </c>
      <c r="F26" s="17" t="s">
        <v>28</v>
      </c>
      <c r="G26" s="39">
        <f>C26</f>
        <v>300</v>
      </c>
      <c r="H26" s="39">
        <f>E26</f>
        <v>400</v>
      </c>
      <c r="I26" s="39">
        <v>1</v>
      </c>
      <c r="J26" s="62" t="s">
        <v>34</v>
      </c>
      <c r="K26" s="17" t="s">
        <v>15</v>
      </c>
      <c r="L26" s="39"/>
      <c r="M26" s="39">
        <v>1</v>
      </c>
      <c r="N26" s="39">
        <v>1</v>
      </c>
      <c r="O26" s="39">
        <v>1</v>
      </c>
      <c r="P26" s="39">
        <v>1</v>
      </c>
      <c r="Q26" s="4"/>
      <c r="R26" s="6">
        <f t="shared" si="0"/>
        <v>4.666666666666667</v>
      </c>
      <c r="S26" s="6">
        <f t="shared" si="7"/>
        <v>4.666666666666667</v>
      </c>
      <c r="T26" s="6"/>
      <c r="U26" s="6"/>
      <c r="V26" s="6"/>
      <c r="W26" s="20" t="s">
        <v>65</v>
      </c>
      <c r="X26" s="20" t="str">
        <f t="shared" si="2"/>
        <v>HALL TV-B/U-B4-LHS</v>
      </c>
      <c r="Y26" s="7">
        <f t="shared" si="3"/>
        <v>4.666666666666667</v>
      </c>
      <c r="AA26" s="55" t="s">
        <v>116</v>
      </c>
      <c r="AB26" s="7">
        <v>2420</v>
      </c>
      <c r="AC26" s="7">
        <v>1210</v>
      </c>
      <c r="AD26" s="7">
        <v>150</v>
      </c>
      <c r="AE26" s="55" t="s">
        <v>116</v>
      </c>
    </row>
    <row r="27" spans="1:31" x14ac:dyDescent="0.3">
      <c r="A27" s="4">
        <f t="shared" si="4"/>
        <v>24</v>
      </c>
      <c r="B27" s="4"/>
      <c r="C27" s="39"/>
      <c r="D27" s="39"/>
      <c r="E27" s="39"/>
      <c r="F27" s="17" t="s">
        <v>29</v>
      </c>
      <c r="G27" s="39">
        <f>G26</f>
        <v>300</v>
      </c>
      <c r="H27" s="39">
        <f>H26</f>
        <v>400</v>
      </c>
      <c r="I27" s="39">
        <v>1</v>
      </c>
      <c r="J27" s="62" t="s">
        <v>34</v>
      </c>
      <c r="K27" s="17" t="s">
        <v>15</v>
      </c>
      <c r="L27" s="39"/>
      <c r="M27" s="39">
        <v>1</v>
      </c>
      <c r="N27" s="39">
        <v>1</v>
      </c>
      <c r="O27" s="39">
        <v>1</v>
      </c>
      <c r="P27" s="39">
        <v>1</v>
      </c>
      <c r="Q27" s="4"/>
      <c r="R27" s="6">
        <f t="shared" si="0"/>
        <v>4.666666666666667</v>
      </c>
      <c r="S27" s="6">
        <f t="shared" si="7"/>
        <v>4.666666666666667</v>
      </c>
      <c r="T27" s="6"/>
      <c r="U27" s="6"/>
      <c r="V27" s="6"/>
      <c r="W27" s="20" t="s">
        <v>65</v>
      </c>
      <c r="X27" s="20" t="str">
        <f t="shared" si="2"/>
        <v>HALL TV-B/U-B4-RHS</v>
      </c>
      <c r="Y27" s="7">
        <f t="shared" si="3"/>
        <v>4.666666666666667</v>
      </c>
      <c r="AA27" s="37" t="s">
        <v>127</v>
      </c>
      <c r="AB27" s="7">
        <v>2420</v>
      </c>
      <c r="AC27" s="7">
        <v>1210</v>
      </c>
      <c r="AD27" s="7">
        <v>150</v>
      </c>
      <c r="AE27" s="37" t="s">
        <v>127</v>
      </c>
    </row>
    <row r="28" spans="1:31" x14ac:dyDescent="0.3">
      <c r="A28" s="4">
        <f t="shared" si="4"/>
        <v>25</v>
      </c>
      <c r="B28" s="4"/>
      <c r="C28" s="103" t="s">
        <v>50</v>
      </c>
      <c r="D28" s="104"/>
      <c r="E28" s="105"/>
      <c r="F28" s="17" t="s">
        <v>30</v>
      </c>
      <c r="G28" s="39">
        <f>D26-36</f>
        <v>1278</v>
      </c>
      <c r="H28" s="38">
        <f>E26-26</f>
        <v>374</v>
      </c>
      <c r="I28" s="39">
        <v>1</v>
      </c>
      <c r="J28" s="62" t="s">
        <v>34</v>
      </c>
      <c r="K28" s="17" t="s">
        <v>15</v>
      </c>
      <c r="L28" s="39"/>
      <c r="M28" s="39">
        <v>1</v>
      </c>
      <c r="N28" s="39">
        <v>1</v>
      </c>
      <c r="O28" s="39">
        <v>1</v>
      </c>
      <c r="P28" s="39">
        <v>1</v>
      </c>
      <c r="Q28" s="4"/>
      <c r="R28" s="6">
        <f t="shared" si="0"/>
        <v>11.013333333333334</v>
      </c>
      <c r="S28" s="6">
        <f t="shared" si="7"/>
        <v>11.013333333333334</v>
      </c>
      <c r="T28" s="6"/>
      <c r="U28" s="6"/>
      <c r="V28" s="6"/>
      <c r="W28" s="20" t="s">
        <v>65</v>
      </c>
      <c r="X28" s="20" t="str">
        <f t="shared" si="2"/>
        <v>HALL TV-B/U-B4-TOP</v>
      </c>
      <c r="Y28" s="7">
        <f t="shared" si="3"/>
        <v>11.013333333333334</v>
      </c>
      <c r="AA28" s="33" t="s">
        <v>137</v>
      </c>
      <c r="AB28" s="7">
        <v>2420</v>
      </c>
      <c r="AC28" s="7">
        <v>1210</v>
      </c>
      <c r="AD28" s="7">
        <v>150</v>
      </c>
      <c r="AE28" s="33" t="s">
        <v>137</v>
      </c>
    </row>
    <row r="29" spans="1:31" x14ac:dyDescent="0.3">
      <c r="A29" s="4">
        <f t="shared" si="4"/>
        <v>26</v>
      </c>
      <c r="B29" s="4"/>
      <c r="C29" s="39" t="s">
        <v>25</v>
      </c>
      <c r="D29" s="39"/>
      <c r="E29" s="39"/>
      <c r="F29" s="17" t="s">
        <v>31</v>
      </c>
      <c r="G29" s="39">
        <f>G28</f>
        <v>1278</v>
      </c>
      <c r="H29" s="39">
        <f>E26</f>
        <v>400</v>
      </c>
      <c r="I29" s="39">
        <v>1</v>
      </c>
      <c r="J29" s="62" t="s">
        <v>34</v>
      </c>
      <c r="K29" s="17" t="s">
        <v>15</v>
      </c>
      <c r="L29" s="39"/>
      <c r="M29" s="39">
        <v>1</v>
      </c>
      <c r="N29" s="39">
        <v>1</v>
      </c>
      <c r="O29" s="39">
        <v>1</v>
      </c>
      <c r="P29" s="39">
        <v>1</v>
      </c>
      <c r="Q29" s="4"/>
      <c r="R29" s="6">
        <f t="shared" si="0"/>
        <v>11.186666666666667</v>
      </c>
      <c r="S29" s="6">
        <f t="shared" si="7"/>
        <v>11.186666666666667</v>
      </c>
      <c r="T29" s="6"/>
      <c r="U29" s="6"/>
      <c r="V29" s="6"/>
      <c r="W29" s="20" t="s">
        <v>65</v>
      </c>
      <c r="X29" s="20" t="str">
        <f t="shared" si="2"/>
        <v>HALL TV-B/U-B4-BTM</v>
      </c>
      <c r="Y29" s="7">
        <f t="shared" si="3"/>
        <v>11.186666666666667</v>
      </c>
      <c r="AA29" s="56" t="s">
        <v>139</v>
      </c>
      <c r="AB29" s="7">
        <v>2420</v>
      </c>
      <c r="AC29" s="7">
        <v>1210</v>
      </c>
      <c r="AD29" s="7">
        <v>150</v>
      </c>
      <c r="AE29" s="56" t="s">
        <v>139</v>
      </c>
    </row>
    <row r="30" spans="1:31" x14ac:dyDescent="0.3">
      <c r="A30" s="4">
        <f t="shared" si="4"/>
        <v>27</v>
      </c>
      <c r="B30" s="4"/>
      <c r="C30" s="39"/>
      <c r="D30" s="39"/>
      <c r="E30" s="39"/>
      <c r="F30" s="17" t="s">
        <v>32</v>
      </c>
      <c r="G30" s="39">
        <f>C26-36+16</f>
        <v>280</v>
      </c>
      <c r="H30" s="39">
        <f>D26-36+16</f>
        <v>1294</v>
      </c>
      <c r="I30" s="39">
        <v>1</v>
      </c>
      <c r="J30" s="62" t="s">
        <v>35</v>
      </c>
      <c r="K30" s="17" t="s">
        <v>15</v>
      </c>
      <c r="L30" s="17"/>
      <c r="M30" s="17"/>
      <c r="N30" s="17"/>
      <c r="O30" s="17"/>
      <c r="P30" s="17"/>
      <c r="Q30" s="4"/>
      <c r="R30" s="6">
        <f t="shared" si="0"/>
        <v>10.493333333333334</v>
      </c>
      <c r="S30" s="6"/>
      <c r="T30" s="6"/>
      <c r="U30" s="6"/>
      <c r="V30" s="6"/>
      <c r="W30" s="20" t="s">
        <v>65</v>
      </c>
      <c r="X30" s="20" t="str">
        <f t="shared" si="2"/>
        <v>HALL TV-B/U-B4-BACK UP</v>
      </c>
      <c r="Y30" s="7">
        <f t="shared" si="3"/>
        <v>10.493333333333334</v>
      </c>
      <c r="AA30" s="57" t="s">
        <v>140</v>
      </c>
      <c r="AB30" s="7">
        <v>2420</v>
      </c>
      <c r="AC30" s="7">
        <v>1210</v>
      </c>
      <c r="AD30" s="7">
        <v>150</v>
      </c>
      <c r="AE30" s="57" t="s">
        <v>140</v>
      </c>
    </row>
    <row r="31" spans="1:31" x14ac:dyDescent="0.3">
      <c r="A31" s="4">
        <f t="shared" si="4"/>
        <v>28</v>
      </c>
      <c r="B31" s="4"/>
      <c r="C31" s="39"/>
      <c r="D31" s="39"/>
      <c r="E31" s="39"/>
      <c r="F31" s="17" t="s">
        <v>43</v>
      </c>
      <c r="G31" s="39">
        <f>C26-36</f>
        <v>264</v>
      </c>
      <c r="H31" s="39">
        <f>E26-20</f>
        <v>380</v>
      </c>
      <c r="I31" s="39">
        <v>1</v>
      </c>
      <c r="J31" s="62" t="s">
        <v>34</v>
      </c>
      <c r="K31" s="17" t="s">
        <v>15</v>
      </c>
      <c r="L31" s="39"/>
      <c r="M31" s="39">
        <v>1</v>
      </c>
      <c r="N31" s="39">
        <v>1</v>
      </c>
      <c r="O31" s="39">
        <v>1</v>
      </c>
      <c r="P31" s="39">
        <v>1</v>
      </c>
      <c r="Q31" s="4"/>
      <c r="R31" s="6">
        <f t="shared" si="0"/>
        <v>4.293333333333333</v>
      </c>
      <c r="S31" s="6">
        <f t="shared" ref="S31:S33" si="8">R31</f>
        <v>4.293333333333333</v>
      </c>
      <c r="T31" s="6"/>
      <c r="U31" s="6"/>
      <c r="V31" s="6"/>
      <c r="W31" s="20" t="s">
        <v>65</v>
      </c>
      <c r="X31" s="20" t="str">
        <f t="shared" si="2"/>
        <v>HALL TV-B/U-B4-C/V</v>
      </c>
      <c r="Y31" s="7">
        <f t="shared" si="3"/>
        <v>4.293333333333333</v>
      </c>
      <c r="AA31" s="33" t="s">
        <v>141</v>
      </c>
      <c r="AB31" s="7">
        <v>2420</v>
      </c>
      <c r="AC31" s="7">
        <v>1210</v>
      </c>
      <c r="AD31" s="7">
        <v>150</v>
      </c>
      <c r="AE31" s="33" t="s">
        <v>141</v>
      </c>
    </row>
    <row r="32" spans="1:31" x14ac:dyDescent="0.3">
      <c r="A32" s="4">
        <f t="shared" si="4"/>
        <v>29</v>
      </c>
      <c r="B32" s="4"/>
      <c r="C32" s="39"/>
      <c r="D32" s="39"/>
      <c r="E32" s="39"/>
      <c r="F32" s="17" t="s">
        <v>39</v>
      </c>
      <c r="G32" s="39">
        <f>180</f>
        <v>180</v>
      </c>
      <c r="H32" s="39">
        <f>350</f>
        <v>350</v>
      </c>
      <c r="I32" s="39">
        <v>4</v>
      </c>
      <c r="J32" s="62" t="s">
        <v>34</v>
      </c>
      <c r="K32" s="17" t="s">
        <v>15</v>
      </c>
      <c r="L32" s="39"/>
      <c r="M32" s="39">
        <v>1</v>
      </c>
      <c r="N32" s="39">
        <v>1</v>
      </c>
      <c r="O32" s="39">
        <v>1</v>
      </c>
      <c r="P32" s="39">
        <v>1</v>
      </c>
      <c r="Q32" s="4"/>
      <c r="R32" s="6">
        <f t="shared" si="0"/>
        <v>14.133333333333333</v>
      </c>
      <c r="S32" s="6">
        <f t="shared" si="8"/>
        <v>14.133333333333333</v>
      </c>
      <c r="T32" s="6"/>
      <c r="U32" s="6"/>
      <c r="V32" s="6"/>
      <c r="W32" s="20" t="s">
        <v>65</v>
      </c>
      <c r="X32" s="20" t="str">
        <f t="shared" si="2"/>
        <v>HALL TV-B/U-B4-DR SIDES</v>
      </c>
      <c r="Y32" s="7">
        <f t="shared" si="3"/>
        <v>14.133333333333333</v>
      </c>
      <c r="AA32" s="32" t="s">
        <v>142</v>
      </c>
      <c r="AB32" s="7">
        <v>2420</v>
      </c>
      <c r="AC32" s="7">
        <v>1210</v>
      </c>
      <c r="AD32" s="7">
        <v>150</v>
      </c>
      <c r="AE32" s="32" t="s">
        <v>142</v>
      </c>
    </row>
    <row r="33" spans="1:31" x14ac:dyDescent="0.3">
      <c r="A33" s="4">
        <f t="shared" si="4"/>
        <v>30</v>
      </c>
      <c r="B33" s="4"/>
      <c r="C33" s="39"/>
      <c r="D33" s="39"/>
      <c r="E33" s="39"/>
      <c r="F33" s="17" t="s">
        <v>40</v>
      </c>
      <c r="G33" s="39">
        <f>G32</f>
        <v>180</v>
      </c>
      <c r="H33" s="38">
        <f>D26/2-18-9-28-36</f>
        <v>566</v>
      </c>
      <c r="I33" s="39">
        <v>4</v>
      </c>
      <c r="J33" s="62" t="s">
        <v>34</v>
      </c>
      <c r="K33" s="17" t="s">
        <v>15</v>
      </c>
      <c r="L33" s="39"/>
      <c r="M33" s="39">
        <v>1</v>
      </c>
      <c r="N33" s="39">
        <v>1</v>
      </c>
      <c r="O33" s="39">
        <v>1</v>
      </c>
      <c r="P33" s="39">
        <v>1</v>
      </c>
      <c r="Q33" s="4"/>
      <c r="R33" s="6">
        <f t="shared" si="0"/>
        <v>19.893333333333334</v>
      </c>
      <c r="S33" s="6">
        <f t="shared" si="8"/>
        <v>19.893333333333334</v>
      </c>
      <c r="T33" s="6"/>
      <c r="U33" s="6"/>
      <c r="V33" s="6"/>
      <c r="W33" s="20" t="s">
        <v>65</v>
      </c>
      <c r="X33" s="20" t="str">
        <f t="shared" si="2"/>
        <v>HALL TV-B/U-B4-DR F/B</v>
      </c>
      <c r="Y33" s="7">
        <f t="shared" si="3"/>
        <v>19.893333333333334</v>
      </c>
      <c r="AA33" s="34" t="s">
        <v>143</v>
      </c>
      <c r="AB33" s="7">
        <v>2420</v>
      </c>
      <c r="AC33" s="7">
        <v>1210</v>
      </c>
      <c r="AD33" s="7">
        <v>150</v>
      </c>
      <c r="AE33" s="34" t="s">
        <v>143</v>
      </c>
    </row>
    <row r="34" spans="1:31" x14ac:dyDescent="0.3">
      <c r="A34" s="4">
        <f t="shared" si="4"/>
        <v>31</v>
      </c>
      <c r="B34" s="4"/>
      <c r="C34" s="39"/>
      <c r="D34" s="39"/>
      <c r="E34" s="39"/>
      <c r="F34" s="17" t="s">
        <v>41</v>
      </c>
      <c r="G34" s="39">
        <f>H32-36+16</f>
        <v>330</v>
      </c>
      <c r="H34" s="38">
        <f>H33+16</f>
        <v>582</v>
      </c>
      <c r="I34" s="39">
        <v>2</v>
      </c>
      <c r="J34" s="62" t="s">
        <v>35</v>
      </c>
      <c r="K34" s="17" t="s">
        <v>15</v>
      </c>
      <c r="L34" s="17"/>
      <c r="M34" s="17"/>
      <c r="N34" s="17"/>
      <c r="O34" s="17"/>
      <c r="P34" s="17"/>
      <c r="Q34" s="4"/>
      <c r="R34" s="6">
        <f t="shared" si="0"/>
        <v>12.16</v>
      </c>
      <c r="S34" s="6"/>
      <c r="T34" s="6"/>
      <c r="U34" s="6"/>
      <c r="V34" s="6"/>
      <c r="W34" s="20" t="s">
        <v>65</v>
      </c>
      <c r="X34" s="20" t="str">
        <f t="shared" si="2"/>
        <v>HALL TV-B/U-B4-DR BACK UP</v>
      </c>
      <c r="Y34" s="7">
        <f t="shared" si="3"/>
        <v>12.16</v>
      </c>
      <c r="AA34" s="32" t="s">
        <v>148</v>
      </c>
      <c r="AB34" s="7">
        <v>2420</v>
      </c>
      <c r="AC34" s="7">
        <v>1210</v>
      </c>
      <c r="AD34" s="7">
        <v>150</v>
      </c>
      <c r="AE34" s="32" t="s">
        <v>148</v>
      </c>
    </row>
    <row r="35" spans="1:31" x14ac:dyDescent="0.3">
      <c r="A35" s="4">
        <f t="shared" si="4"/>
        <v>32</v>
      </c>
      <c r="B35" s="4"/>
      <c r="C35" s="17"/>
      <c r="D35" s="17"/>
      <c r="E35" s="17"/>
      <c r="F35" s="17" t="s">
        <v>42</v>
      </c>
      <c r="G35" s="38">
        <f>C26-30</f>
        <v>270</v>
      </c>
      <c r="H35" s="39">
        <f>D26/2-2</f>
        <v>655</v>
      </c>
      <c r="I35" s="39">
        <v>2</v>
      </c>
      <c r="J35" s="81" t="s">
        <v>235</v>
      </c>
      <c r="K35" s="17"/>
      <c r="L35" s="17"/>
      <c r="M35" s="17">
        <v>3</v>
      </c>
      <c r="N35" s="17">
        <v>3</v>
      </c>
      <c r="O35" s="17">
        <v>3</v>
      </c>
      <c r="P35" s="17">
        <v>3</v>
      </c>
      <c r="Q35" s="17" t="s">
        <v>64</v>
      </c>
      <c r="R35" s="6">
        <f t="shared" si="0"/>
        <v>12.333333333333334</v>
      </c>
      <c r="S35" s="6"/>
      <c r="T35" s="6">
        <f>R35</f>
        <v>12.333333333333334</v>
      </c>
      <c r="U35" s="6"/>
      <c r="V35" s="6"/>
      <c r="W35" s="20" t="s">
        <v>65</v>
      </c>
      <c r="X35" s="20" t="str">
        <f t="shared" si="2"/>
        <v>HALL TV-B/U-B4-DR FACIA</v>
      </c>
      <c r="Y35" s="7">
        <f t="shared" si="3"/>
        <v>12.333333333333334</v>
      </c>
      <c r="AA35" s="58" t="s">
        <v>144</v>
      </c>
      <c r="AB35" s="7">
        <v>2420</v>
      </c>
      <c r="AC35" s="7">
        <v>1210</v>
      </c>
      <c r="AD35" s="7">
        <v>150</v>
      </c>
      <c r="AE35" s="58" t="s">
        <v>144</v>
      </c>
    </row>
    <row r="36" spans="1:31" x14ac:dyDescent="0.3">
      <c r="A36" s="4">
        <f t="shared" si="4"/>
        <v>33</v>
      </c>
      <c r="B36" s="46" t="s">
        <v>66</v>
      </c>
      <c r="C36" s="23">
        <v>300</v>
      </c>
      <c r="D36" s="23">
        <v>892</v>
      </c>
      <c r="E36" s="23">
        <v>400</v>
      </c>
      <c r="F36" s="17" t="s">
        <v>28</v>
      </c>
      <c r="G36" s="39">
        <f>C36</f>
        <v>300</v>
      </c>
      <c r="H36" s="39">
        <f>E36</f>
        <v>400</v>
      </c>
      <c r="I36" s="39">
        <v>1</v>
      </c>
      <c r="J36" s="62" t="s">
        <v>34</v>
      </c>
      <c r="K36" s="17" t="s">
        <v>15</v>
      </c>
      <c r="L36" s="39"/>
      <c r="M36" s="39">
        <v>1</v>
      </c>
      <c r="N36" s="39">
        <v>1</v>
      </c>
      <c r="O36" s="39">
        <v>1</v>
      </c>
      <c r="P36" s="39">
        <v>1</v>
      </c>
      <c r="Q36" s="4"/>
      <c r="R36" s="6">
        <f t="shared" si="0"/>
        <v>4.666666666666667</v>
      </c>
      <c r="S36" s="6">
        <f t="shared" ref="S36:S39" si="9">R36</f>
        <v>4.666666666666667</v>
      </c>
      <c r="T36" s="6"/>
      <c r="U36" s="6"/>
      <c r="V36" s="6"/>
      <c r="W36" s="20" t="s">
        <v>66</v>
      </c>
      <c r="X36" s="20" t="str">
        <f t="shared" si="2"/>
        <v>HALL TV-B/U-B5-LHS</v>
      </c>
      <c r="Y36" s="7">
        <f t="shared" si="3"/>
        <v>4.666666666666667</v>
      </c>
      <c r="AA36" s="59" t="s">
        <v>145</v>
      </c>
      <c r="AB36" s="7">
        <v>2420</v>
      </c>
      <c r="AC36" s="7">
        <v>1210</v>
      </c>
      <c r="AD36" s="7">
        <v>150</v>
      </c>
      <c r="AE36" s="59" t="s">
        <v>145</v>
      </c>
    </row>
    <row r="37" spans="1:31" x14ac:dyDescent="0.3">
      <c r="A37" s="4">
        <f t="shared" si="4"/>
        <v>34</v>
      </c>
      <c r="B37" s="4"/>
      <c r="C37" s="39"/>
      <c r="D37" s="39"/>
      <c r="E37" s="39"/>
      <c r="F37" s="17" t="s">
        <v>29</v>
      </c>
      <c r="G37" s="39">
        <f>G36</f>
        <v>300</v>
      </c>
      <c r="H37" s="39">
        <f>H36</f>
        <v>400</v>
      </c>
      <c r="I37" s="39">
        <v>1</v>
      </c>
      <c r="J37" s="62" t="s">
        <v>34</v>
      </c>
      <c r="K37" s="17" t="s">
        <v>15</v>
      </c>
      <c r="L37" s="39"/>
      <c r="M37" s="39">
        <v>1</v>
      </c>
      <c r="N37" s="39">
        <v>1</v>
      </c>
      <c r="O37" s="39">
        <v>1</v>
      </c>
      <c r="P37" s="39">
        <v>1</v>
      </c>
      <c r="Q37" s="4"/>
      <c r="R37" s="6">
        <f t="shared" si="0"/>
        <v>4.666666666666667</v>
      </c>
      <c r="S37" s="6">
        <f t="shared" si="9"/>
        <v>4.666666666666667</v>
      </c>
      <c r="T37" s="6"/>
      <c r="U37" s="6"/>
      <c r="V37" s="6"/>
      <c r="W37" s="20" t="s">
        <v>66</v>
      </c>
      <c r="X37" s="20" t="str">
        <f t="shared" si="2"/>
        <v>HALL TV-B/U-B5-RHS</v>
      </c>
      <c r="Y37" s="7">
        <f t="shared" si="3"/>
        <v>4.666666666666667</v>
      </c>
      <c r="AA37" s="58" t="s">
        <v>146</v>
      </c>
      <c r="AB37" s="7">
        <v>2420</v>
      </c>
      <c r="AC37" s="7">
        <v>1210</v>
      </c>
      <c r="AD37" s="7">
        <v>150</v>
      </c>
      <c r="AE37" s="58" t="s">
        <v>146</v>
      </c>
    </row>
    <row r="38" spans="1:31" x14ac:dyDescent="0.3">
      <c r="A38" s="4">
        <f t="shared" si="4"/>
        <v>35</v>
      </c>
      <c r="B38" s="4"/>
      <c r="C38" s="103" t="s">
        <v>62</v>
      </c>
      <c r="D38" s="104"/>
      <c r="E38" s="105"/>
      <c r="F38" s="17" t="s">
        <v>30</v>
      </c>
      <c r="G38" s="39">
        <f>D36-36</f>
        <v>856</v>
      </c>
      <c r="H38" s="39">
        <f>H37</f>
        <v>400</v>
      </c>
      <c r="I38" s="39">
        <v>1</v>
      </c>
      <c r="J38" s="62" t="s">
        <v>34</v>
      </c>
      <c r="K38" s="17" t="s">
        <v>15</v>
      </c>
      <c r="L38" s="39"/>
      <c r="M38" s="39">
        <v>1</v>
      </c>
      <c r="N38" s="39">
        <v>1</v>
      </c>
      <c r="O38" s="39">
        <v>1</v>
      </c>
      <c r="P38" s="39">
        <v>1</v>
      </c>
      <c r="Q38" s="4"/>
      <c r="R38" s="6">
        <f t="shared" si="0"/>
        <v>8.3733333333333331</v>
      </c>
      <c r="S38" s="6">
        <f t="shared" si="9"/>
        <v>8.3733333333333331</v>
      </c>
      <c r="T38" s="6"/>
      <c r="U38" s="6"/>
      <c r="V38" s="6"/>
      <c r="W38" s="20" t="s">
        <v>66</v>
      </c>
      <c r="X38" s="20" t="str">
        <f t="shared" si="2"/>
        <v>HALL TV-B/U-B5-TOP</v>
      </c>
      <c r="Y38" s="7">
        <f t="shared" si="3"/>
        <v>8.3733333333333331</v>
      </c>
      <c r="AA38" s="37" t="s">
        <v>147</v>
      </c>
      <c r="AB38" s="7">
        <v>2420</v>
      </c>
      <c r="AC38" s="7">
        <v>1210</v>
      </c>
      <c r="AD38" s="7">
        <v>150</v>
      </c>
      <c r="AE38" s="37" t="s">
        <v>147</v>
      </c>
    </row>
    <row r="39" spans="1:31" x14ac:dyDescent="0.3">
      <c r="A39" s="4">
        <f t="shared" si="4"/>
        <v>36</v>
      </c>
      <c r="B39" s="4"/>
      <c r="C39" s="39" t="s">
        <v>25</v>
      </c>
      <c r="D39" s="39"/>
      <c r="E39" s="39"/>
      <c r="F39" s="17" t="s">
        <v>31</v>
      </c>
      <c r="G39" s="39">
        <f>G38</f>
        <v>856</v>
      </c>
      <c r="H39" s="39">
        <f>E36</f>
        <v>400</v>
      </c>
      <c r="I39" s="39">
        <v>1</v>
      </c>
      <c r="J39" s="62" t="s">
        <v>34</v>
      </c>
      <c r="K39" s="17" t="s">
        <v>15</v>
      </c>
      <c r="L39" s="39"/>
      <c r="M39" s="39">
        <v>1</v>
      </c>
      <c r="N39" s="39">
        <v>1</v>
      </c>
      <c r="O39" s="39">
        <v>1</v>
      </c>
      <c r="P39" s="39">
        <v>1</v>
      </c>
      <c r="Q39" s="4"/>
      <c r="R39" s="6">
        <f t="shared" si="0"/>
        <v>8.3733333333333331</v>
      </c>
      <c r="S39" s="6">
        <f t="shared" si="9"/>
        <v>8.3733333333333331</v>
      </c>
      <c r="T39" s="6"/>
      <c r="U39" s="6"/>
      <c r="V39" s="6"/>
      <c r="W39" s="20" t="s">
        <v>66</v>
      </c>
      <c r="X39" s="20" t="str">
        <f t="shared" si="2"/>
        <v>HALL TV-B/U-B5-BTM</v>
      </c>
      <c r="Y39" s="7">
        <f t="shared" si="3"/>
        <v>8.3733333333333331</v>
      </c>
      <c r="AA39" s="60" t="s">
        <v>149</v>
      </c>
      <c r="AB39" s="7">
        <v>2420</v>
      </c>
      <c r="AC39" s="7">
        <v>1210</v>
      </c>
      <c r="AD39" s="7">
        <v>150</v>
      </c>
      <c r="AE39" s="60" t="s">
        <v>149</v>
      </c>
    </row>
    <row r="40" spans="1:31" x14ac:dyDescent="0.3">
      <c r="A40" s="4">
        <f t="shared" si="4"/>
        <v>37</v>
      </c>
      <c r="B40" s="4"/>
      <c r="C40" s="39"/>
      <c r="D40" s="39"/>
      <c r="E40" s="39"/>
      <c r="F40" s="17" t="s">
        <v>32</v>
      </c>
      <c r="G40" s="39">
        <f>C36-36+16</f>
        <v>280</v>
      </c>
      <c r="H40" s="39">
        <f>D36-36+16</f>
        <v>872</v>
      </c>
      <c r="I40" s="39">
        <v>1</v>
      </c>
      <c r="J40" s="62" t="s">
        <v>35</v>
      </c>
      <c r="K40" s="17" t="s">
        <v>15</v>
      </c>
      <c r="L40" s="17"/>
      <c r="M40" s="17"/>
      <c r="N40" s="17"/>
      <c r="O40" s="17"/>
      <c r="P40" s="17"/>
      <c r="Q40" s="4"/>
      <c r="R40" s="6">
        <f t="shared" si="0"/>
        <v>7.68</v>
      </c>
      <c r="S40" s="6"/>
      <c r="T40" s="6"/>
      <c r="U40" s="6"/>
      <c r="V40" s="6"/>
      <c r="W40" s="20" t="s">
        <v>66</v>
      </c>
      <c r="X40" s="20" t="str">
        <f t="shared" si="2"/>
        <v>HALL TV-B/U-B5-BACK UP</v>
      </c>
      <c r="Y40" s="7">
        <f t="shared" si="3"/>
        <v>7.68</v>
      </c>
      <c r="AA40" s="37" t="s">
        <v>150</v>
      </c>
      <c r="AB40" s="7">
        <v>2420</v>
      </c>
      <c r="AC40" s="7">
        <v>1210</v>
      </c>
      <c r="AD40" s="7">
        <v>150</v>
      </c>
      <c r="AE40" s="37" t="s">
        <v>150</v>
      </c>
    </row>
    <row r="41" spans="1:31" x14ac:dyDescent="0.3">
      <c r="A41" s="4">
        <f t="shared" si="4"/>
        <v>38</v>
      </c>
      <c r="B41" s="46" t="s">
        <v>67</v>
      </c>
      <c r="C41" s="23">
        <v>300</v>
      </c>
      <c r="D41" s="23">
        <f>657+657</f>
        <v>1314</v>
      </c>
      <c r="E41" s="23">
        <v>400</v>
      </c>
      <c r="F41" s="17" t="s">
        <v>28</v>
      </c>
      <c r="G41" s="39">
        <f>C41</f>
        <v>300</v>
      </c>
      <c r="H41" s="39">
        <f>E41</f>
        <v>400</v>
      </c>
      <c r="I41" s="39">
        <v>1</v>
      </c>
      <c r="J41" s="62" t="s">
        <v>34</v>
      </c>
      <c r="K41" s="17" t="s">
        <v>15</v>
      </c>
      <c r="L41" s="39"/>
      <c r="M41" s="39">
        <v>1</v>
      </c>
      <c r="N41" s="39">
        <v>1</v>
      </c>
      <c r="O41" s="39">
        <v>1</v>
      </c>
      <c r="P41" s="39">
        <v>1</v>
      </c>
      <c r="Q41" s="4"/>
      <c r="R41" s="6">
        <f t="shared" si="0"/>
        <v>4.666666666666667</v>
      </c>
      <c r="S41" s="6">
        <f t="shared" ref="S41:S44" si="10">R41</f>
        <v>4.666666666666667</v>
      </c>
      <c r="T41" s="6"/>
      <c r="U41" s="6"/>
      <c r="V41" s="6"/>
      <c r="W41" s="20" t="s">
        <v>67</v>
      </c>
      <c r="X41" s="20" t="str">
        <f t="shared" si="2"/>
        <v>HALL TV-B/U-B6-LHS</v>
      </c>
      <c r="Y41" s="7">
        <f t="shared" si="3"/>
        <v>4.666666666666667</v>
      </c>
      <c r="AA41" s="57" t="s">
        <v>151</v>
      </c>
      <c r="AB41" s="7">
        <v>2420</v>
      </c>
      <c r="AC41" s="7">
        <v>1210</v>
      </c>
      <c r="AD41" s="7">
        <v>150</v>
      </c>
      <c r="AE41" s="57" t="s">
        <v>151</v>
      </c>
    </row>
    <row r="42" spans="1:31" x14ac:dyDescent="0.3">
      <c r="A42" s="4">
        <f t="shared" si="4"/>
        <v>39</v>
      </c>
      <c r="B42" s="4"/>
      <c r="C42" s="39"/>
      <c r="D42" s="39"/>
      <c r="E42" s="39"/>
      <c r="F42" s="17" t="s">
        <v>29</v>
      </c>
      <c r="G42" s="39">
        <f>G41</f>
        <v>300</v>
      </c>
      <c r="H42" s="39">
        <f>H41</f>
        <v>400</v>
      </c>
      <c r="I42" s="39">
        <v>1</v>
      </c>
      <c r="J42" s="62" t="s">
        <v>34</v>
      </c>
      <c r="K42" s="17" t="s">
        <v>15</v>
      </c>
      <c r="L42" s="39"/>
      <c r="M42" s="39">
        <v>1</v>
      </c>
      <c r="N42" s="39">
        <v>1</v>
      </c>
      <c r="O42" s="39">
        <v>1</v>
      </c>
      <c r="P42" s="39">
        <v>1</v>
      </c>
      <c r="Q42" s="4"/>
      <c r="R42" s="6">
        <f t="shared" si="0"/>
        <v>4.666666666666667</v>
      </c>
      <c r="S42" s="6">
        <f t="shared" si="10"/>
        <v>4.666666666666667</v>
      </c>
      <c r="T42" s="6"/>
      <c r="U42" s="6"/>
      <c r="V42" s="6"/>
      <c r="W42" s="20" t="s">
        <v>67</v>
      </c>
      <c r="X42" s="20" t="str">
        <f t="shared" si="2"/>
        <v>HALL TV-B/U-B6-RHS</v>
      </c>
      <c r="Y42" s="7">
        <f t="shared" si="3"/>
        <v>4.666666666666667</v>
      </c>
      <c r="AA42" s="33" t="s">
        <v>153</v>
      </c>
      <c r="AB42" s="7">
        <v>2420</v>
      </c>
      <c r="AC42" s="7">
        <v>1210</v>
      </c>
      <c r="AD42" s="7">
        <v>150</v>
      </c>
      <c r="AE42" s="33" t="s">
        <v>153</v>
      </c>
    </row>
    <row r="43" spans="1:31" x14ac:dyDescent="0.3">
      <c r="A43" s="4">
        <f t="shared" si="4"/>
        <v>40</v>
      </c>
      <c r="B43" s="4"/>
      <c r="C43" s="103" t="s">
        <v>50</v>
      </c>
      <c r="D43" s="104"/>
      <c r="E43" s="105"/>
      <c r="F43" s="17" t="s">
        <v>30</v>
      </c>
      <c r="G43" s="39">
        <f>D41-36</f>
        <v>1278</v>
      </c>
      <c r="H43" s="38">
        <f>E41-26</f>
        <v>374</v>
      </c>
      <c r="I43" s="39">
        <v>1</v>
      </c>
      <c r="J43" s="62" t="s">
        <v>34</v>
      </c>
      <c r="K43" s="17" t="s">
        <v>15</v>
      </c>
      <c r="L43" s="39"/>
      <c r="M43" s="39">
        <v>1</v>
      </c>
      <c r="N43" s="39">
        <v>1</v>
      </c>
      <c r="O43" s="39">
        <v>1</v>
      </c>
      <c r="P43" s="39">
        <v>1</v>
      </c>
      <c r="Q43" s="4"/>
      <c r="R43" s="6">
        <f t="shared" si="0"/>
        <v>11.013333333333334</v>
      </c>
      <c r="S43" s="6">
        <f t="shared" si="10"/>
        <v>11.013333333333334</v>
      </c>
      <c r="T43" s="6"/>
      <c r="U43" s="6"/>
      <c r="V43" s="6"/>
      <c r="W43" s="20" t="s">
        <v>67</v>
      </c>
      <c r="X43" s="20" t="str">
        <f t="shared" si="2"/>
        <v>HALL TV-B/U-B6-TOP</v>
      </c>
      <c r="Y43" s="7">
        <f t="shared" si="3"/>
        <v>11.013333333333334</v>
      </c>
      <c r="AA43" s="37" t="s">
        <v>154</v>
      </c>
      <c r="AB43" s="7">
        <v>2420</v>
      </c>
      <c r="AC43" s="7">
        <v>1210</v>
      </c>
      <c r="AD43" s="7">
        <v>150</v>
      </c>
      <c r="AE43" s="37" t="s">
        <v>154</v>
      </c>
    </row>
    <row r="44" spans="1:31" x14ac:dyDescent="0.3">
      <c r="A44" s="4">
        <f t="shared" si="4"/>
        <v>41</v>
      </c>
      <c r="B44" s="4"/>
      <c r="C44" s="39" t="s">
        <v>25</v>
      </c>
      <c r="D44" s="39"/>
      <c r="E44" s="39"/>
      <c r="F44" s="17" t="s">
        <v>31</v>
      </c>
      <c r="G44" s="39">
        <f>G43</f>
        <v>1278</v>
      </c>
      <c r="H44" s="39">
        <f>E41</f>
        <v>400</v>
      </c>
      <c r="I44" s="39">
        <v>1</v>
      </c>
      <c r="J44" s="62" t="s">
        <v>34</v>
      </c>
      <c r="K44" s="17" t="s">
        <v>15</v>
      </c>
      <c r="L44" s="39"/>
      <c r="M44" s="39">
        <v>1</v>
      </c>
      <c r="N44" s="39">
        <v>1</v>
      </c>
      <c r="O44" s="39">
        <v>1</v>
      </c>
      <c r="P44" s="39">
        <v>1</v>
      </c>
      <c r="Q44" s="4"/>
      <c r="R44" s="6">
        <f t="shared" si="0"/>
        <v>11.186666666666667</v>
      </c>
      <c r="S44" s="6">
        <f t="shared" si="10"/>
        <v>11.186666666666667</v>
      </c>
      <c r="T44" s="6"/>
      <c r="U44" s="6"/>
      <c r="V44" s="6"/>
      <c r="W44" s="20" t="s">
        <v>67</v>
      </c>
      <c r="X44" s="20" t="str">
        <f t="shared" si="2"/>
        <v>HALL TV-B/U-B6-BTM</v>
      </c>
      <c r="Y44" s="7">
        <f t="shared" si="3"/>
        <v>11.186666666666667</v>
      </c>
      <c r="AA44" s="66" t="s">
        <v>173</v>
      </c>
      <c r="AB44" s="7">
        <v>2420</v>
      </c>
      <c r="AC44" s="7">
        <v>1210</v>
      </c>
      <c r="AD44" s="7">
        <v>150</v>
      </c>
      <c r="AE44" s="66" t="s">
        <v>173</v>
      </c>
    </row>
    <row r="45" spans="1:31" x14ac:dyDescent="0.3">
      <c r="A45" s="4">
        <f t="shared" si="4"/>
        <v>42</v>
      </c>
      <c r="B45" s="4"/>
      <c r="C45" s="39"/>
      <c r="D45" s="39"/>
      <c r="E45" s="39"/>
      <c r="F45" s="17" t="s">
        <v>32</v>
      </c>
      <c r="G45" s="39">
        <f>C41-36+16</f>
        <v>280</v>
      </c>
      <c r="H45" s="39">
        <f>D41-36+16</f>
        <v>1294</v>
      </c>
      <c r="I45" s="39">
        <v>1</v>
      </c>
      <c r="J45" s="62" t="s">
        <v>35</v>
      </c>
      <c r="K45" s="17" t="s">
        <v>15</v>
      </c>
      <c r="L45" s="17"/>
      <c r="M45" s="17"/>
      <c r="N45" s="17"/>
      <c r="O45" s="17"/>
      <c r="P45" s="17"/>
      <c r="Q45" s="4"/>
      <c r="R45" s="6">
        <f t="shared" si="0"/>
        <v>10.493333333333334</v>
      </c>
      <c r="S45" s="6"/>
      <c r="T45" s="6"/>
      <c r="U45" s="6"/>
      <c r="V45" s="6"/>
      <c r="W45" s="20" t="s">
        <v>67</v>
      </c>
      <c r="X45" s="20" t="str">
        <f t="shared" si="2"/>
        <v>HALL TV-B/U-B6-BACK UP</v>
      </c>
      <c r="Y45" s="7">
        <f t="shared" si="3"/>
        <v>10.493333333333334</v>
      </c>
      <c r="AA45" s="34" t="s">
        <v>174</v>
      </c>
      <c r="AB45" s="7">
        <v>2420</v>
      </c>
      <c r="AC45" s="7">
        <v>1210</v>
      </c>
      <c r="AD45" s="7">
        <v>150</v>
      </c>
      <c r="AE45" s="34" t="s">
        <v>174</v>
      </c>
    </row>
    <row r="46" spans="1:31" x14ac:dyDescent="0.3">
      <c r="A46" s="4">
        <f t="shared" si="4"/>
        <v>43</v>
      </c>
      <c r="B46" s="4"/>
      <c r="C46" s="39"/>
      <c r="D46" s="39"/>
      <c r="E46" s="39"/>
      <c r="F46" s="17" t="s">
        <v>43</v>
      </c>
      <c r="G46" s="39">
        <f>C41-36</f>
        <v>264</v>
      </c>
      <c r="H46" s="39">
        <f>E41-20</f>
        <v>380</v>
      </c>
      <c r="I46" s="39">
        <v>1</v>
      </c>
      <c r="J46" s="62" t="s">
        <v>34</v>
      </c>
      <c r="K46" s="17" t="s">
        <v>15</v>
      </c>
      <c r="L46" s="39"/>
      <c r="M46" s="39">
        <v>1</v>
      </c>
      <c r="N46" s="39">
        <v>1</v>
      </c>
      <c r="O46" s="39">
        <v>1</v>
      </c>
      <c r="P46" s="39">
        <v>1</v>
      </c>
      <c r="Q46" s="4"/>
      <c r="R46" s="6">
        <f t="shared" si="0"/>
        <v>4.293333333333333</v>
      </c>
      <c r="S46" s="6">
        <f t="shared" ref="S46:S48" si="11">R46</f>
        <v>4.293333333333333</v>
      </c>
      <c r="T46" s="6"/>
      <c r="U46" s="6"/>
      <c r="V46" s="6"/>
      <c r="W46" s="20" t="s">
        <v>67</v>
      </c>
      <c r="X46" s="20" t="str">
        <f t="shared" si="2"/>
        <v>HALL TV-B/U-B6-C/V</v>
      </c>
      <c r="Y46" s="7">
        <f t="shared" si="3"/>
        <v>4.293333333333333</v>
      </c>
      <c r="AA46" s="33" t="s">
        <v>177</v>
      </c>
      <c r="AB46" s="7">
        <v>2420</v>
      </c>
      <c r="AC46" s="7">
        <v>1210</v>
      </c>
      <c r="AD46" s="7">
        <v>150</v>
      </c>
      <c r="AE46" s="33" t="s">
        <v>177</v>
      </c>
    </row>
    <row r="47" spans="1:31" x14ac:dyDescent="0.3">
      <c r="A47" s="4">
        <f t="shared" si="4"/>
        <v>44</v>
      </c>
      <c r="B47" s="4"/>
      <c r="C47" s="39"/>
      <c r="D47" s="39"/>
      <c r="E47" s="39"/>
      <c r="F47" s="17" t="s">
        <v>39</v>
      </c>
      <c r="G47" s="39">
        <f>180</f>
        <v>180</v>
      </c>
      <c r="H47" s="39">
        <f>350</f>
        <v>350</v>
      </c>
      <c r="I47" s="39">
        <v>4</v>
      </c>
      <c r="J47" s="62" t="s">
        <v>34</v>
      </c>
      <c r="K47" s="17" t="s">
        <v>15</v>
      </c>
      <c r="L47" s="39"/>
      <c r="M47" s="39">
        <v>1</v>
      </c>
      <c r="N47" s="39">
        <v>1</v>
      </c>
      <c r="O47" s="39">
        <v>1</v>
      </c>
      <c r="P47" s="39">
        <v>1</v>
      </c>
      <c r="Q47" s="4"/>
      <c r="R47" s="6">
        <f t="shared" si="0"/>
        <v>14.133333333333333</v>
      </c>
      <c r="S47" s="6">
        <f t="shared" si="11"/>
        <v>14.133333333333333</v>
      </c>
      <c r="T47" s="6"/>
      <c r="U47" s="6"/>
      <c r="V47" s="6"/>
      <c r="W47" s="20" t="s">
        <v>67</v>
      </c>
      <c r="X47" s="20" t="str">
        <f t="shared" si="2"/>
        <v>HALL TV-B/U-B6-DR SIDES</v>
      </c>
      <c r="Y47" s="7">
        <f t="shared" si="3"/>
        <v>14.133333333333333</v>
      </c>
      <c r="AA47" s="32" t="s">
        <v>176</v>
      </c>
      <c r="AB47" s="7">
        <v>2420</v>
      </c>
      <c r="AC47" s="7">
        <v>1210</v>
      </c>
      <c r="AD47" s="7">
        <v>150</v>
      </c>
      <c r="AE47" s="32" t="s">
        <v>176</v>
      </c>
    </row>
    <row r="48" spans="1:31" x14ac:dyDescent="0.3">
      <c r="A48" s="4">
        <f t="shared" si="4"/>
        <v>45</v>
      </c>
      <c r="B48" s="4"/>
      <c r="C48" s="39"/>
      <c r="D48" s="39"/>
      <c r="E48" s="39"/>
      <c r="F48" s="17" t="s">
        <v>40</v>
      </c>
      <c r="G48" s="39">
        <f>G47</f>
        <v>180</v>
      </c>
      <c r="H48" s="38">
        <f>D41/2-18-9-28-36</f>
        <v>566</v>
      </c>
      <c r="I48" s="39">
        <v>4</v>
      </c>
      <c r="J48" s="62" t="s">
        <v>34</v>
      </c>
      <c r="K48" s="17" t="s">
        <v>15</v>
      </c>
      <c r="L48" s="39"/>
      <c r="M48" s="39">
        <v>1</v>
      </c>
      <c r="N48" s="39">
        <v>1</v>
      </c>
      <c r="O48" s="39">
        <v>1</v>
      </c>
      <c r="P48" s="39">
        <v>1</v>
      </c>
      <c r="Q48" s="4"/>
      <c r="R48" s="6">
        <f t="shared" si="0"/>
        <v>19.893333333333334</v>
      </c>
      <c r="S48" s="6">
        <f t="shared" si="11"/>
        <v>19.893333333333334</v>
      </c>
      <c r="T48" s="6"/>
      <c r="U48" s="6"/>
      <c r="V48" s="6"/>
      <c r="W48" s="20" t="s">
        <v>67</v>
      </c>
      <c r="X48" s="20" t="str">
        <f t="shared" si="2"/>
        <v>HALL TV-B/U-B6-DR F/B</v>
      </c>
      <c r="Y48" s="7">
        <f t="shared" si="3"/>
        <v>19.893333333333334</v>
      </c>
      <c r="AA48" s="32" t="s">
        <v>175</v>
      </c>
      <c r="AB48" s="7">
        <v>2420</v>
      </c>
      <c r="AC48" s="7">
        <v>1210</v>
      </c>
      <c r="AD48" s="7">
        <v>150</v>
      </c>
      <c r="AE48" s="32" t="s">
        <v>175</v>
      </c>
    </row>
    <row r="49" spans="1:31" x14ac:dyDescent="0.3">
      <c r="A49" s="4">
        <f t="shared" si="4"/>
        <v>46</v>
      </c>
      <c r="B49" s="4"/>
      <c r="C49" s="39"/>
      <c r="D49" s="39"/>
      <c r="E49" s="39"/>
      <c r="F49" s="17" t="s">
        <v>41</v>
      </c>
      <c r="G49" s="39">
        <f>H47-36+16</f>
        <v>330</v>
      </c>
      <c r="H49" s="38">
        <f>H48+16</f>
        <v>582</v>
      </c>
      <c r="I49" s="39">
        <v>2</v>
      </c>
      <c r="J49" s="62" t="s">
        <v>35</v>
      </c>
      <c r="K49" s="17" t="s">
        <v>15</v>
      </c>
      <c r="L49" s="17"/>
      <c r="M49" s="17"/>
      <c r="N49" s="17"/>
      <c r="O49" s="17"/>
      <c r="P49" s="17"/>
      <c r="Q49" s="4"/>
      <c r="R49" s="6">
        <f t="shared" si="0"/>
        <v>12.16</v>
      </c>
      <c r="S49" s="6"/>
      <c r="T49" s="6"/>
      <c r="U49" s="6"/>
      <c r="V49" s="6"/>
      <c r="W49" s="20" t="s">
        <v>67</v>
      </c>
      <c r="X49" s="20" t="str">
        <f t="shared" si="2"/>
        <v>HALL TV-B/U-B6-DR BACK UP</v>
      </c>
      <c r="Y49" s="7">
        <f t="shared" si="3"/>
        <v>12.16</v>
      </c>
      <c r="AA49"/>
      <c r="AE49"/>
    </row>
    <row r="50" spans="1:31" x14ac:dyDescent="0.3">
      <c r="A50" s="4">
        <f t="shared" si="4"/>
        <v>47</v>
      </c>
      <c r="B50" s="4"/>
      <c r="C50" s="17"/>
      <c r="D50" s="17"/>
      <c r="E50" s="17"/>
      <c r="F50" s="17" t="s">
        <v>42</v>
      </c>
      <c r="G50" s="38">
        <f>C41-30</f>
        <v>270</v>
      </c>
      <c r="H50" s="39">
        <f>D41/2-2</f>
        <v>655</v>
      </c>
      <c r="I50" s="39">
        <v>2</v>
      </c>
      <c r="J50" s="81" t="s">
        <v>235</v>
      </c>
      <c r="K50" s="17"/>
      <c r="L50" s="17"/>
      <c r="M50" s="17">
        <v>3</v>
      </c>
      <c r="N50" s="17">
        <v>3</v>
      </c>
      <c r="O50" s="17">
        <v>3</v>
      </c>
      <c r="P50" s="17">
        <v>3</v>
      </c>
      <c r="Q50" s="17" t="s">
        <v>64</v>
      </c>
      <c r="R50" s="6">
        <f t="shared" si="0"/>
        <v>12.333333333333334</v>
      </c>
      <c r="S50" s="6"/>
      <c r="T50" s="6">
        <f>R50</f>
        <v>12.333333333333334</v>
      </c>
      <c r="U50" s="6"/>
      <c r="V50" s="6"/>
      <c r="W50" s="20" t="s">
        <v>67</v>
      </c>
      <c r="X50" s="20" t="str">
        <f t="shared" si="2"/>
        <v>HALL TV-B/U-B6-DR FACIA</v>
      </c>
      <c r="Y50" s="7">
        <f t="shared" si="3"/>
        <v>12.333333333333334</v>
      </c>
      <c r="AA50"/>
      <c r="AE50"/>
    </row>
    <row r="51" spans="1:31" x14ac:dyDescent="0.3">
      <c r="A51" s="4">
        <f t="shared" si="4"/>
        <v>48</v>
      </c>
      <c r="B51" s="4"/>
      <c r="C51" s="17"/>
      <c r="D51" s="17"/>
      <c r="E51" s="17"/>
      <c r="F51" s="17" t="s">
        <v>68</v>
      </c>
      <c r="G51" s="39">
        <f>300</f>
        <v>300</v>
      </c>
      <c r="H51" s="38">
        <f>420</f>
        <v>420</v>
      </c>
      <c r="I51" s="39">
        <v>2</v>
      </c>
      <c r="J51" s="81" t="s">
        <v>69</v>
      </c>
      <c r="K51" s="17"/>
      <c r="L51" s="17"/>
      <c r="M51" s="17">
        <v>4</v>
      </c>
      <c r="N51" s="17">
        <v>4</v>
      </c>
      <c r="O51" s="17">
        <v>4</v>
      </c>
      <c r="P51" s="17">
        <v>4</v>
      </c>
      <c r="Q51" s="17" t="s">
        <v>64</v>
      </c>
      <c r="R51" s="6">
        <f t="shared" si="0"/>
        <v>9.6</v>
      </c>
      <c r="S51" s="6"/>
      <c r="T51" s="6"/>
      <c r="U51" s="6"/>
      <c r="V51" s="6">
        <f>R51</f>
        <v>9.6</v>
      </c>
      <c r="W51" s="20" t="s">
        <v>67</v>
      </c>
      <c r="X51" s="20" t="str">
        <f t="shared" si="2"/>
        <v>HALL TV-B/U-B6-EXPO SIDES</v>
      </c>
      <c r="Y51" s="7">
        <f t="shared" si="3"/>
        <v>9.6</v>
      </c>
      <c r="AA51"/>
      <c r="AE51"/>
    </row>
    <row r="52" spans="1:31" x14ac:dyDescent="0.3">
      <c r="A52" s="4">
        <f t="shared" si="4"/>
        <v>49</v>
      </c>
      <c r="B52" s="4"/>
      <c r="C52" s="17"/>
      <c r="D52" s="17"/>
      <c r="E52" s="17"/>
      <c r="F52" s="40" t="s">
        <v>51</v>
      </c>
      <c r="G52" s="36">
        <f>657+657+892+25</f>
        <v>2231</v>
      </c>
      <c r="H52" s="38">
        <f>420</f>
        <v>420</v>
      </c>
      <c r="I52" s="39">
        <v>1</v>
      </c>
      <c r="J52" s="81" t="s">
        <v>58</v>
      </c>
      <c r="K52" s="39"/>
      <c r="L52" s="39"/>
      <c r="M52" s="39">
        <v>1</v>
      </c>
      <c r="N52" s="39">
        <v>1</v>
      </c>
      <c r="O52" s="39">
        <v>1</v>
      </c>
      <c r="P52" s="39">
        <v>1</v>
      </c>
      <c r="Q52" s="17" t="s">
        <v>64</v>
      </c>
      <c r="R52" s="6">
        <f t="shared" si="0"/>
        <v>17.673333333333332</v>
      </c>
      <c r="S52" s="6">
        <f t="shared" ref="S52:S57" si="12">R52</f>
        <v>17.673333333333332</v>
      </c>
      <c r="T52" s="6"/>
      <c r="U52" s="6"/>
      <c r="V52" s="6"/>
      <c r="W52" s="20" t="s">
        <v>67</v>
      </c>
      <c r="X52" s="20" t="str">
        <f t="shared" si="2"/>
        <v>HALL TV-B/U-B6-FULL TOP</v>
      </c>
      <c r="Y52" s="7">
        <f t="shared" si="3"/>
        <v>17.673333333333332</v>
      </c>
      <c r="AA52"/>
      <c r="AE52"/>
    </row>
    <row r="53" spans="1:31" x14ac:dyDescent="0.3">
      <c r="A53" s="4">
        <f t="shared" si="4"/>
        <v>50</v>
      </c>
      <c r="B53" s="4"/>
      <c r="C53" s="17"/>
      <c r="D53" s="17"/>
      <c r="E53" s="17"/>
      <c r="F53" s="40" t="s">
        <v>51</v>
      </c>
      <c r="G53" s="36">
        <f>657+657+25</f>
        <v>1339</v>
      </c>
      <c r="H53" s="38">
        <f>H52</f>
        <v>420</v>
      </c>
      <c r="I53" s="39">
        <v>1</v>
      </c>
      <c r="J53" s="81" t="s">
        <v>58</v>
      </c>
      <c r="K53" s="39"/>
      <c r="L53" s="39"/>
      <c r="M53" s="39">
        <v>1</v>
      </c>
      <c r="N53" s="39">
        <v>1</v>
      </c>
      <c r="O53" s="39">
        <v>1</v>
      </c>
      <c r="P53" s="39">
        <v>1</v>
      </c>
      <c r="Q53" s="17" t="s">
        <v>64</v>
      </c>
      <c r="R53" s="6">
        <f t="shared" si="0"/>
        <v>11.726666666666667</v>
      </c>
      <c r="S53" s="6">
        <f t="shared" si="12"/>
        <v>11.726666666666667</v>
      </c>
      <c r="T53" s="6"/>
      <c r="U53" s="6"/>
      <c r="V53" s="6"/>
      <c r="W53" s="20" t="s">
        <v>67</v>
      </c>
      <c r="X53" s="20" t="str">
        <f t="shared" si="2"/>
        <v>HALL TV-B/U-B6-FULL TOP</v>
      </c>
      <c r="Y53" s="7">
        <f t="shared" si="3"/>
        <v>11.726666666666667</v>
      </c>
      <c r="AA53"/>
      <c r="AE53"/>
    </row>
    <row r="54" spans="1:31" x14ac:dyDescent="0.3">
      <c r="A54" s="4">
        <f t="shared" si="4"/>
        <v>51</v>
      </c>
      <c r="B54" s="46" t="s">
        <v>70</v>
      </c>
      <c r="C54" s="23">
        <v>1752</v>
      </c>
      <c r="D54" s="23">
        <v>400</v>
      </c>
      <c r="E54" s="23">
        <v>300</v>
      </c>
      <c r="F54" s="17" t="s">
        <v>28</v>
      </c>
      <c r="G54" s="39">
        <f>C54</f>
        <v>1752</v>
      </c>
      <c r="H54" s="39">
        <f>E54</f>
        <v>300</v>
      </c>
      <c r="I54" s="39">
        <v>1</v>
      </c>
      <c r="J54" s="81" t="s">
        <v>58</v>
      </c>
      <c r="K54" s="39"/>
      <c r="L54" s="39"/>
      <c r="M54" s="39">
        <v>1</v>
      </c>
      <c r="N54" s="39">
        <v>1</v>
      </c>
      <c r="O54" s="39">
        <v>1</v>
      </c>
      <c r="P54" s="39">
        <v>1</v>
      </c>
      <c r="Q54" s="17" t="s">
        <v>64</v>
      </c>
      <c r="R54" s="6">
        <f t="shared" si="0"/>
        <v>13.68</v>
      </c>
      <c r="S54" s="6">
        <f t="shared" si="12"/>
        <v>13.68</v>
      </c>
      <c r="T54" s="6"/>
      <c r="U54" s="6"/>
      <c r="V54" s="6"/>
      <c r="W54" s="20" t="s">
        <v>70</v>
      </c>
      <c r="X54" s="20" t="str">
        <f t="shared" si="2"/>
        <v>HALL TV-T/U-B7-LHS</v>
      </c>
      <c r="Y54" s="7">
        <f t="shared" si="3"/>
        <v>13.68</v>
      </c>
      <c r="AA54"/>
      <c r="AE54"/>
    </row>
    <row r="55" spans="1:31" x14ac:dyDescent="0.3">
      <c r="A55" s="4">
        <f t="shared" si="4"/>
        <v>52</v>
      </c>
      <c r="B55" s="4"/>
      <c r="C55" s="39"/>
      <c r="D55" s="39"/>
      <c r="E55" s="39"/>
      <c r="F55" s="17" t="s">
        <v>29</v>
      </c>
      <c r="G55" s="39">
        <f>G54</f>
        <v>1752</v>
      </c>
      <c r="H55" s="39">
        <f>H54</f>
        <v>300</v>
      </c>
      <c r="I55" s="39">
        <v>1</v>
      </c>
      <c r="J55" s="62" t="s">
        <v>34</v>
      </c>
      <c r="K55" s="17" t="s">
        <v>15</v>
      </c>
      <c r="L55" s="39"/>
      <c r="M55" s="39">
        <v>1</v>
      </c>
      <c r="N55" s="39">
        <v>1</v>
      </c>
      <c r="O55" s="39">
        <v>1</v>
      </c>
      <c r="P55" s="39">
        <v>1</v>
      </c>
      <c r="Q55" s="4"/>
      <c r="R55" s="6">
        <f t="shared" si="0"/>
        <v>13.68</v>
      </c>
      <c r="S55" s="6">
        <f t="shared" si="12"/>
        <v>13.68</v>
      </c>
      <c r="T55" s="6"/>
      <c r="U55" s="6"/>
      <c r="V55" s="6"/>
      <c r="W55" s="20" t="s">
        <v>70</v>
      </c>
      <c r="X55" s="20" t="str">
        <f t="shared" si="2"/>
        <v>HALL TV-T/U-B7-RHS</v>
      </c>
      <c r="Y55" s="7">
        <f t="shared" si="3"/>
        <v>13.68</v>
      </c>
      <c r="AA55"/>
      <c r="AE55"/>
    </row>
    <row r="56" spans="1:31" x14ac:dyDescent="0.3">
      <c r="A56" s="4">
        <f t="shared" si="4"/>
        <v>53</v>
      </c>
      <c r="B56" s="4"/>
      <c r="C56" s="39"/>
      <c r="D56" s="39"/>
      <c r="E56" s="39"/>
      <c r="F56" s="17" t="s">
        <v>30</v>
      </c>
      <c r="G56" s="39">
        <f>D54-36</f>
        <v>364</v>
      </c>
      <c r="H56" s="39">
        <f>H55</f>
        <v>300</v>
      </c>
      <c r="I56" s="39">
        <v>1</v>
      </c>
      <c r="J56" s="62" t="s">
        <v>34</v>
      </c>
      <c r="K56" s="17" t="s">
        <v>15</v>
      </c>
      <c r="L56" s="39"/>
      <c r="M56" s="39">
        <v>1</v>
      </c>
      <c r="N56" s="39">
        <v>1</v>
      </c>
      <c r="O56" s="39">
        <v>1</v>
      </c>
      <c r="P56" s="39">
        <v>1</v>
      </c>
      <c r="Q56" s="4"/>
      <c r="R56" s="6">
        <f t="shared" si="0"/>
        <v>4.4266666666666667</v>
      </c>
      <c r="S56" s="6">
        <f t="shared" si="12"/>
        <v>4.4266666666666667</v>
      </c>
      <c r="T56" s="6"/>
      <c r="U56" s="6"/>
      <c r="V56" s="6"/>
      <c r="W56" s="20" t="s">
        <v>70</v>
      </c>
      <c r="X56" s="20" t="str">
        <f t="shared" si="2"/>
        <v>HALL TV-T/U-B7-TOP</v>
      </c>
      <c r="Y56" s="7">
        <f t="shared" si="3"/>
        <v>4.4266666666666667</v>
      </c>
      <c r="AA56"/>
      <c r="AE56"/>
    </row>
    <row r="57" spans="1:31" x14ac:dyDescent="0.3">
      <c r="A57" s="4">
        <f t="shared" si="4"/>
        <v>54</v>
      </c>
      <c r="B57" s="4"/>
      <c r="C57" s="39"/>
      <c r="D57" s="39"/>
      <c r="E57" s="39"/>
      <c r="F57" s="17" t="s">
        <v>31</v>
      </c>
      <c r="G57" s="39">
        <f>G56</f>
        <v>364</v>
      </c>
      <c r="H57" s="39">
        <f>H56</f>
        <v>300</v>
      </c>
      <c r="I57" s="39">
        <v>1</v>
      </c>
      <c r="J57" s="62" t="s">
        <v>34</v>
      </c>
      <c r="K57" s="17" t="s">
        <v>15</v>
      </c>
      <c r="L57" s="39"/>
      <c r="M57" s="39">
        <v>1</v>
      </c>
      <c r="N57" s="39">
        <v>1</v>
      </c>
      <c r="O57" s="39">
        <v>1</v>
      </c>
      <c r="P57" s="39">
        <v>1</v>
      </c>
      <c r="Q57" s="4"/>
      <c r="R57" s="6">
        <f t="shared" si="0"/>
        <v>4.4266666666666667</v>
      </c>
      <c r="S57" s="6">
        <f t="shared" si="12"/>
        <v>4.4266666666666667</v>
      </c>
      <c r="T57" s="6"/>
      <c r="U57" s="6"/>
      <c r="V57" s="6"/>
      <c r="W57" s="20" t="s">
        <v>70</v>
      </c>
      <c r="X57" s="20" t="str">
        <f t="shared" si="2"/>
        <v>HALL TV-T/U-B7-BTM</v>
      </c>
      <c r="Y57" s="7">
        <f t="shared" si="3"/>
        <v>4.4266666666666667</v>
      </c>
      <c r="AA57"/>
      <c r="AE57"/>
    </row>
    <row r="58" spans="1:31" x14ac:dyDescent="0.3">
      <c r="A58" s="4">
        <f t="shared" si="4"/>
        <v>55</v>
      </c>
      <c r="B58" s="4"/>
      <c r="C58" s="39"/>
      <c r="D58" s="39"/>
      <c r="E58" s="39"/>
      <c r="F58" s="17" t="s">
        <v>32</v>
      </c>
      <c r="G58" s="39">
        <f>C54-36+16</f>
        <v>1732</v>
      </c>
      <c r="H58" s="39">
        <f>D54-36+16</f>
        <v>380</v>
      </c>
      <c r="I58" s="39">
        <v>1</v>
      </c>
      <c r="J58" s="62" t="s">
        <v>35</v>
      </c>
      <c r="K58" s="17" t="s">
        <v>15</v>
      </c>
      <c r="L58" s="17"/>
      <c r="M58" s="17"/>
      <c r="N58" s="17"/>
      <c r="O58" s="17"/>
      <c r="P58" s="17"/>
      <c r="Q58" s="4"/>
      <c r="R58" s="6">
        <f t="shared" si="0"/>
        <v>14.08</v>
      </c>
      <c r="S58" s="6"/>
      <c r="T58" s="6"/>
      <c r="U58" s="6"/>
      <c r="V58" s="6"/>
      <c r="W58" s="20" t="s">
        <v>70</v>
      </c>
      <c r="X58" s="20" t="str">
        <f t="shared" si="2"/>
        <v>HALL TV-T/U-B7-BACK UP</v>
      </c>
      <c r="Y58" s="7">
        <f t="shared" si="3"/>
        <v>14.08</v>
      </c>
      <c r="AA58"/>
      <c r="AE58"/>
    </row>
    <row r="59" spans="1:31" x14ac:dyDescent="0.3">
      <c r="A59" s="4">
        <f t="shared" si="4"/>
        <v>56</v>
      </c>
      <c r="B59" s="4"/>
      <c r="C59" s="17"/>
      <c r="D59" s="17"/>
      <c r="E59" s="17"/>
      <c r="F59" s="40" t="s">
        <v>38</v>
      </c>
      <c r="G59" s="39">
        <f>D54-36</f>
        <v>364</v>
      </c>
      <c r="H59" s="38">
        <f>E54-20</f>
        <v>280</v>
      </c>
      <c r="I59" s="39">
        <v>1</v>
      </c>
      <c r="J59" s="62" t="s">
        <v>34</v>
      </c>
      <c r="K59" s="17" t="s">
        <v>15</v>
      </c>
      <c r="L59" s="39"/>
      <c r="M59" s="39">
        <v>1</v>
      </c>
      <c r="N59" s="39">
        <v>1</v>
      </c>
      <c r="O59" s="39">
        <v>1</v>
      </c>
      <c r="P59" s="39">
        <v>1</v>
      </c>
      <c r="Q59" s="4"/>
      <c r="R59" s="6">
        <f t="shared" si="0"/>
        <v>4.293333333333333</v>
      </c>
      <c r="S59" s="6">
        <f t="shared" ref="S59:S61" si="13">R59</f>
        <v>4.293333333333333</v>
      </c>
      <c r="T59" s="6"/>
      <c r="U59" s="6"/>
      <c r="V59" s="6"/>
      <c r="W59" s="20" t="s">
        <v>70</v>
      </c>
      <c r="X59" s="20" t="str">
        <f t="shared" si="2"/>
        <v>HALL TV-T/U-B7-Fshelf</v>
      </c>
      <c r="Y59" s="7">
        <f t="shared" si="3"/>
        <v>4.293333333333333</v>
      </c>
      <c r="AA59"/>
      <c r="AE59"/>
    </row>
    <row r="60" spans="1:31" x14ac:dyDescent="0.3">
      <c r="A60" s="4">
        <f t="shared" si="4"/>
        <v>57</v>
      </c>
      <c r="B60" s="4"/>
      <c r="C60" s="17"/>
      <c r="D60" s="17"/>
      <c r="E60" s="17"/>
      <c r="F60" s="17" t="s">
        <v>33</v>
      </c>
      <c r="G60" s="39">
        <f>G59-1</f>
        <v>363</v>
      </c>
      <c r="H60" s="39">
        <f>E54-25</f>
        <v>275</v>
      </c>
      <c r="I60" s="39">
        <v>2</v>
      </c>
      <c r="J60" s="62" t="s">
        <v>34</v>
      </c>
      <c r="K60" s="17" t="s">
        <v>15</v>
      </c>
      <c r="L60" s="39"/>
      <c r="M60" s="39">
        <v>1</v>
      </c>
      <c r="N60" s="39">
        <v>1</v>
      </c>
      <c r="O60" s="39">
        <v>1</v>
      </c>
      <c r="P60" s="39">
        <v>1</v>
      </c>
      <c r="Q60" s="4"/>
      <c r="R60" s="6">
        <f t="shared" si="0"/>
        <v>8.5066666666666659</v>
      </c>
      <c r="S60" s="6">
        <f t="shared" si="13"/>
        <v>8.5066666666666659</v>
      </c>
      <c r="T60" s="6"/>
      <c r="U60" s="6"/>
      <c r="V60" s="6"/>
      <c r="W60" s="20" t="s">
        <v>70</v>
      </c>
      <c r="X60" s="20" t="str">
        <f t="shared" si="2"/>
        <v>HALL TV-T/U-B7-Lshelf</v>
      </c>
      <c r="Y60" s="7">
        <f t="shared" si="3"/>
        <v>8.5066666666666659</v>
      </c>
      <c r="AA60"/>
      <c r="AE60"/>
    </row>
    <row r="61" spans="1:31" x14ac:dyDescent="0.3">
      <c r="A61" s="4">
        <f t="shared" si="4"/>
        <v>58</v>
      </c>
      <c r="B61" s="4"/>
      <c r="C61" s="17"/>
      <c r="D61" s="17"/>
      <c r="E61" s="17"/>
      <c r="F61" s="17" t="s">
        <v>36</v>
      </c>
      <c r="G61" s="39">
        <f>C54/2-2</f>
        <v>874</v>
      </c>
      <c r="H61" s="39">
        <f>D54-2</f>
        <v>398</v>
      </c>
      <c r="I61" s="39">
        <v>2</v>
      </c>
      <c r="J61" s="81" t="s">
        <v>58</v>
      </c>
      <c r="K61" s="39"/>
      <c r="L61" s="39"/>
      <c r="M61" s="39">
        <v>1</v>
      </c>
      <c r="N61" s="39">
        <v>1</v>
      </c>
      <c r="O61" s="39">
        <v>1</v>
      </c>
      <c r="P61" s="39">
        <v>1</v>
      </c>
      <c r="Q61" s="17" t="s">
        <v>64</v>
      </c>
      <c r="R61" s="6">
        <f t="shared" si="0"/>
        <v>16.96</v>
      </c>
      <c r="S61" s="6">
        <f t="shared" si="13"/>
        <v>16.96</v>
      </c>
      <c r="T61" s="6"/>
      <c r="U61" s="6"/>
      <c r="V61" s="6"/>
      <c r="W61" s="20" t="s">
        <v>70</v>
      </c>
      <c r="X61" s="20" t="str">
        <f t="shared" si="2"/>
        <v>HALL TV-T/U-B7-SHUTTER</v>
      </c>
      <c r="Y61" s="7">
        <f t="shared" si="3"/>
        <v>16.96</v>
      </c>
      <c r="AA61"/>
      <c r="AE61"/>
    </row>
    <row r="62" spans="1:31" x14ac:dyDescent="0.3">
      <c r="A62" s="4">
        <f t="shared" si="4"/>
        <v>59</v>
      </c>
      <c r="B62" s="46" t="s">
        <v>71</v>
      </c>
      <c r="C62" s="23">
        <v>1752</v>
      </c>
      <c r="D62" s="23">
        <v>400</v>
      </c>
      <c r="E62" s="23">
        <v>300</v>
      </c>
      <c r="F62" s="17" t="s">
        <v>28</v>
      </c>
      <c r="G62" s="39">
        <f>C62</f>
        <v>1752</v>
      </c>
      <c r="H62" s="39">
        <f>E62</f>
        <v>300</v>
      </c>
      <c r="I62" s="39">
        <v>1</v>
      </c>
      <c r="J62" s="81" t="s">
        <v>72</v>
      </c>
      <c r="K62" s="39"/>
      <c r="L62" s="39"/>
      <c r="M62" s="39">
        <v>2</v>
      </c>
      <c r="N62" s="39">
        <v>2</v>
      </c>
      <c r="O62" s="39">
        <v>2</v>
      </c>
      <c r="P62" s="39">
        <v>2</v>
      </c>
      <c r="Q62" s="17" t="s">
        <v>64</v>
      </c>
      <c r="R62" s="6">
        <f t="shared" si="0"/>
        <v>13.68</v>
      </c>
      <c r="S62" s="6"/>
      <c r="T62" s="6"/>
      <c r="U62" s="6">
        <f>R62</f>
        <v>13.68</v>
      </c>
      <c r="V62" s="6"/>
      <c r="W62" s="20" t="s">
        <v>71</v>
      </c>
      <c r="X62" s="20" t="str">
        <f t="shared" si="2"/>
        <v>HALL TV-T/U-B8-LHS</v>
      </c>
      <c r="Y62" s="7">
        <f t="shared" si="3"/>
        <v>13.68</v>
      </c>
      <c r="AA62"/>
      <c r="AE62"/>
    </row>
    <row r="63" spans="1:31" x14ac:dyDescent="0.3">
      <c r="A63" s="4">
        <f t="shared" si="4"/>
        <v>60</v>
      </c>
      <c r="B63" s="4"/>
      <c r="C63" s="39"/>
      <c r="D63" s="39"/>
      <c r="E63" s="39"/>
      <c r="F63" s="17" t="s">
        <v>29</v>
      </c>
      <c r="G63" s="39">
        <f>G62</f>
        <v>1752</v>
      </c>
      <c r="H63" s="39">
        <f>H62</f>
        <v>300</v>
      </c>
      <c r="I63" s="39">
        <v>1</v>
      </c>
      <c r="J63" s="81" t="s">
        <v>72</v>
      </c>
      <c r="K63" s="39"/>
      <c r="L63" s="39"/>
      <c r="M63" s="39">
        <v>2</v>
      </c>
      <c r="N63" s="39">
        <v>2</v>
      </c>
      <c r="O63" s="39">
        <v>2</v>
      </c>
      <c r="P63" s="39">
        <v>2</v>
      </c>
      <c r="Q63" s="17" t="s">
        <v>64</v>
      </c>
      <c r="R63" s="6">
        <f t="shared" si="0"/>
        <v>13.68</v>
      </c>
      <c r="S63" s="6"/>
      <c r="T63" s="6"/>
      <c r="U63" s="6">
        <f t="shared" ref="U63:U65" si="14">R63</f>
        <v>13.68</v>
      </c>
      <c r="V63" s="6"/>
      <c r="W63" s="20" t="s">
        <v>71</v>
      </c>
      <c r="X63" s="20" t="str">
        <f t="shared" si="2"/>
        <v>HALL TV-T/U-B8-RHS</v>
      </c>
      <c r="Y63" s="7">
        <f t="shared" si="3"/>
        <v>13.68</v>
      </c>
      <c r="AA63"/>
      <c r="AE63"/>
    </row>
    <row r="64" spans="1:31" x14ac:dyDescent="0.3">
      <c r="A64" s="4">
        <f t="shared" si="4"/>
        <v>61</v>
      </c>
      <c r="B64" s="4"/>
      <c r="C64" s="39"/>
      <c r="D64" s="39"/>
      <c r="E64" s="39"/>
      <c r="F64" s="17" t="s">
        <v>30</v>
      </c>
      <c r="G64" s="39">
        <f>D62-36</f>
        <v>364</v>
      </c>
      <c r="H64" s="39">
        <f>H63</f>
        <v>300</v>
      </c>
      <c r="I64" s="39">
        <v>1</v>
      </c>
      <c r="J64" s="81" t="s">
        <v>72</v>
      </c>
      <c r="K64" s="39"/>
      <c r="L64" s="39"/>
      <c r="M64" s="39">
        <v>2</v>
      </c>
      <c r="N64" s="39">
        <v>2</v>
      </c>
      <c r="O64" s="39">
        <v>2</v>
      </c>
      <c r="P64" s="39">
        <v>2</v>
      </c>
      <c r="Q64" s="17" t="s">
        <v>64</v>
      </c>
      <c r="R64" s="6">
        <f t="shared" si="0"/>
        <v>4.4266666666666667</v>
      </c>
      <c r="S64" s="6"/>
      <c r="T64" s="6"/>
      <c r="U64" s="6">
        <f t="shared" si="14"/>
        <v>4.4266666666666667</v>
      </c>
      <c r="V64" s="6"/>
      <c r="W64" s="20" t="s">
        <v>71</v>
      </c>
      <c r="X64" s="20" t="str">
        <f t="shared" si="2"/>
        <v>HALL TV-T/U-B8-TOP</v>
      </c>
      <c r="Y64" s="7">
        <f t="shared" si="3"/>
        <v>4.4266666666666667</v>
      </c>
      <c r="AA64"/>
      <c r="AE64"/>
    </row>
    <row r="65" spans="1:31" x14ac:dyDescent="0.3">
      <c r="A65" s="4">
        <f t="shared" si="4"/>
        <v>62</v>
      </c>
      <c r="B65" s="4"/>
      <c r="C65" s="103" t="s">
        <v>62</v>
      </c>
      <c r="D65" s="104"/>
      <c r="E65" s="105"/>
      <c r="F65" s="17" t="s">
        <v>31</v>
      </c>
      <c r="G65" s="39">
        <f>G64</f>
        <v>364</v>
      </c>
      <c r="H65" s="39">
        <f>H64</f>
        <v>300</v>
      </c>
      <c r="I65" s="39">
        <v>1</v>
      </c>
      <c r="J65" s="81" t="s">
        <v>72</v>
      </c>
      <c r="K65" s="39"/>
      <c r="L65" s="39"/>
      <c r="M65" s="39">
        <v>2</v>
      </c>
      <c r="N65" s="39">
        <v>2</v>
      </c>
      <c r="O65" s="39">
        <v>2</v>
      </c>
      <c r="P65" s="39">
        <v>2</v>
      </c>
      <c r="Q65" s="17" t="s">
        <v>64</v>
      </c>
      <c r="R65" s="6">
        <f t="shared" si="0"/>
        <v>4.4266666666666667</v>
      </c>
      <c r="S65" s="6"/>
      <c r="T65" s="6"/>
      <c r="U65" s="6">
        <f t="shared" si="14"/>
        <v>4.4266666666666667</v>
      </c>
      <c r="V65" s="6"/>
      <c r="W65" s="20" t="s">
        <v>71</v>
      </c>
      <c r="X65" s="20" t="str">
        <f t="shared" si="2"/>
        <v>HALL TV-T/U-B8-BTM</v>
      </c>
      <c r="Y65" s="7">
        <f t="shared" si="3"/>
        <v>4.4266666666666667</v>
      </c>
      <c r="AA65"/>
      <c r="AE65"/>
    </row>
    <row r="66" spans="1:31" x14ac:dyDescent="0.3">
      <c r="A66" s="4">
        <f t="shared" si="4"/>
        <v>63</v>
      </c>
      <c r="B66" s="4"/>
      <c r="C66" s="39"/>
      <c r="D66" s="39"/>
      <c r="E66" s="39"/>
      <c r="F66" s="17" t="s">
        <v>32</v>
      </c>
      <c r="G66" s="39">
        <f>C62-36+16</f>
        <v>1732</v>
      </c>
      <c r="H66" s="39">
        <f>D62-36+16</f>
        <v>380</v>
      </c>
      <c r="I66" s="39">
        <v>1</v>
      </c>
      <c r="J66" s="81" t="s">
        <v>74</v>
      </c>
      <c r="K66" s="17"/>
      <c r="L66" s="17"/>
      <c r="M66" s="17"/>
      <c r="N66" s="17"/>
      <c r="O66" s="17"/>
      <c r="P66" s="17"/>
      <c r="Q66" s="17" t="s">
        <v>64</v>
      </c>
      <c r="R66" s="6">
        <f t="shared" si="0"/>
        <v>14.08</v>
      </c>
      <c r="S66" s="6"/>
      <c r="T66" s="6"/>
      <c r="U66" s="6"/>
      <c r="V66" s="6"/>
      <c r="W66" s="20" t="s">
        <v>71</v>
      </c>
      <c r="X66" s="20" t="str">
        <f t="shared" si="2"/>
        <v>HALL TV-T/U-B8-BACK UP</v>
      </c>
      <c r="Y66" s="7">
        <f t="shared" si="3"/>
        <v>14.08</v>
      </c>
      <c r="AA66"/>
      <c r="AE66"/>
    </row>
    <row r="67" spans="1:31" x14ac:dyDescent="0.3">
      <c r="A67" s="4">
        <f t="shared" si="4"/>
        <v>64</v>
      </c>
      <c r="B67" s="4"/>
      <c r="C67" s="17"/>
      <c r="D67" s="17"/>
      <c r="E67" s="17"/>
      <c r="F67" s="17" t="s">
        <v>38</v>
      </c>
      <c r="G67" s="39">
        <f>D62-36</f>
        <v>364</v>
      </c>
      <c r="H67" s="39">
        <f>E62-25</f>
        <v>275</v>
      </c>
      <c r="I67" s="39">
        <v>1</v>
      </c>
      <c r="J67" s="81" t="s">
        <v>73</v>
      </c>
      <c r="K67" s="39"/>
      <c r="L67" s="39"/>
      <c r="M67" s="39">
        <v>2</v>
      </c>
      <c r="N67" s="39">
        <v>2</v>
      </c>
      <c r="O67" s="39">
        <v>2</v>
      </c>
      <c r="P67" s="39">
        <v>2</v>
      </c>
      <c r="Q67" s="17" t="s">
        <v>64</v>
      </c>
      <c r="R67" s="6">
        <f t="shared" si="0"/>
        <v>4.26</v>
      </c>
      <c r="S67" s="6"/>
      <c r="T67" s="6"/>
      <c r="U67" s="6">
        <f t="shared" ref="U67:U68" si="15">R67</f>
        <v>4.26</v>
      </c>
      <c r="V67" s="6"/>
      <c r="W67" s="20" t="s">
        <v>71</v>
      </c>
      <c r="X67" s="20" t="str">
        <f t="shared" si="2"/>
        <v>HALL TV-T/U-B8-Fshelf</v>
      </c>
      <c r="Y67" s="7">
        <f t="shared" si="3"/>
        <v>4.26</v>
      </c>
      <c r="AA67"/>
      <c r="AE67"/>
    </row>
    <row r="68" spans="1:31" x14ac:dyDescent="0.3">
      <c r="A68" s="4">
        <f t="shared" si="4"/>
        <v>65</v>
      </c>
      <c r="B68" s="4"/>
      <c r="C68" s="17"/>
      <c r="D68" s="17"/>
      <c r="E68" s="17"/>
      <c r="F68" s="17" t="s">
        <v>33</v>
      </c>
      <c r="G68" s="39">
        <f>G67-1</f>
        <v>363</v>
      </c>
      <c r="H68" s="39">
        <f>H67</f>
        <v>275</v>
      </c>
      <c r="I68" s="39">
        <v>3</v>
      </c>
      <c r="J68" s="81" t="s">
        <v>73</v>
      </c>
      <c r="K68" s="39"/>
      <c r="L68" s="39"/>
      <c r="M68" s="39">
        <v>2</v>
      </c>
      <c r="N68" s="39">
        <v>2</v>
      </c>
      <c r="O68" s="39">
        <v>2</v>
      </c>
      <c r="P68" s="39">
        <v>2</v>
      </c>
      <c r="Q68" s="17" t="s">
        <v>64</v>
      </c>
      <c r="R68" s="6">
        <f t="shared" si="0"/>
        <v>12.76</v>
      </c>
      <c r="S68" s="6"/>
      <c r="T68" s="6"/>
      <c r="U68" s="6">
        <f t="shared" si="15"/>
        <v>12.76</v>
      </c>
      <c r="V68" s="6"/>
      <c r="W68" s="20" t="s">
        <v>71</v>
      </c>
      <c r="X68" s="20" t="str">
        <f t="shared" si="2"/>
        <v>HALL TV-T/U-B8-Lshelf</v>
      </c>
      <c r="Y68" s="7">
        <f t="shared" si="3"/>
        <v>12.76</v>
      </c>
      <c r="AA68"/>
      <c r="AE68"/>
    </row>
    <row r="69" spans="1:31" x14ac:dyDescent="0.3">
      <c r="A69" s="4">
        <f t="shared" si="4"/>
        <v>66</v>
      </c>
      <c r="B69" s="46" t="s">
        <v>75</v>
      </c>
      <c r="C69" s="23">
        <v>1752</v>
      </c>
      <c r="D69" s="23">
        <v>400</v>
      </c>
      <c r="E69" s="23">
        <v>320</v>
      </c>
      <c r="F69" s="17" t="s">
        <v>28</v>
      </c>
      <c r="G69" s="39">
        <f>C69</f>
        <v>1752</v>
      </c>
      <c r="H69" s="39">
        <f>E69</f>
        <v>320</v>
      </c>
      <c r="I69" s="39">
        <v>1</v>
      </c>
      <c r="J69" s="81" t="s">
        <v>58</v>
      </c>
      <c r="K69" s="39"/>
      <c r="L69" s="39"/>
      <c r="M69" s="39">
        <v>1</v>
      </c>
      <c r="N69" s="39">
        <v>1</v>
      </c>
      <c r="O69" s="39">
        <v>1</v>
      </c>
      <c r="P69" s="39">
        <v>1</v>
      </c>
      <c r="Q69" s="17" t="s">
        <v>64</v>
      </c>
      <c r="R69" s="6">
        <f t="shared" ref="R69:R132" si="16">(G69+H69)*2*I69/300</f>
        <v>13.813333333333333</v>
      </c>
      <c r="S69" s="6">
        <f t="shared" ref="S69:S81" si="17">R69</f>
        <v>13.813333333333333</v>
      </c>
      <c r="T69" s="6"/>
      <c r="U69" s="6"/>
      <c r="V69" s="6"/>
      <c r="W69" s="20" t="s">
        <v>75</v>
      </c>
      <c r="X69" s="20" t="str">
        <f t="shared" ref="X69:X132" si="18">W69&amp;"-"&amp;F69</f>
        <v>HALL TV-T/U-B9-Open-LHS</v>
      </c>
      <c r="Y69" s="7">
        <f t="shared" ref="Y69:Y132" si="19">(G69+H69)*2*I69/300</f>
        <v>13.813333333333333</v>
      </c>
      <c r="AA69"/>
      <c r="AE69"/>
    </row>
    <row r="70" spans="1:31" x14ac:dyDescent="0.3">
      <c r="A70" s="4">
        <f t="shared" ref="A70:A133" si="20">A69+1</f>
        <v>67</v>
      </c>
      <c r="B70" s="4"/>
      <c r="C70" s="39"/>
      <c r="D70" s="39"/>
      <c r="E70" s="39"/>
      <c r="F70" s="40" t="s">
        <v>29</v>
      </c>
      <c r="G70" s="39">
        <f>G69</f>
        <v>1752</v>
      </c>
      <c r="H70" s="39">
        <f>H69</f>
        <v>320</v>
      </c>
      <c r="I70" s="39">
        <v>1</v>
      </c>
      <c r="J70" s="81" t="s">
        <v>60</v>
      </c>
      <c r="K70" s="39"/>
      <c r="L70" s="39"/>
      <c r="M70" s="39">
        <v>1</v>
      </c>
      <c r="N70" s="39">
        <v>1</v>
      </c>
      <c r="O70" s="39">
        <v>1</v>
      </c>
      <c r="P70" s="39">
        <v>1</v>
      </c>
      <c r="Q70" s="17" t="s">
        <v>64</v>
      </c>
      <c r="R70" s="6">
        <f t="shared" si="16"/>
        <v>13.813333333333333</v>
      </c>
      <c r="S70" s="6">
        <f t="shared" si="17"/>
        <v>13.813333333333333</v>
      </c>
      <c r="T70" s="6"/>
      <c r="U70" s="6"/>
      <c r="V70" s="6"/>
      <c r="W70" s="20" t="s">
        <v>75</v>
      </c>
      <c r="X70" s="20" t="str">
        <f t="shared" si="18"/>
        <v>HALL TV-T/U-B9-Open-RHS</v>
      </c>
      <c r="Y70" s="7">
        <f t="shared" si="19"/>
        <v>13.813333333333333</v>
      </c>
      <c r="AA70"/>
      <c r="AE70"/>
    </row>
    <row r="71" spans="1:31" x14ac:dyDescent="0.3">
      <c r="A71" s="4">
        <f t="shared" si="20"/>
        <v>68</v>
      </c>
      <c r="B71" s="4"/>
      <c r="C71" s="39"/>
      <c r="D71" s="39"/>
      <c r="E71" s="39"/>
      <c r="F71" s="17" t="s">
        <v>30</v>
      </c>
      <c r="G71" s="39">
        <f>D69-19-20</f>
        <v>361</v>
      </c>
      <c r="H71" s="39">
        <f>H70</f>
        <v>320</v>
      </c>
      <c r="I71" s="39">
        <v>1</v>
      </c>
      <c r="J71" s="81" t="s">
        <v>58</v>
      </c>
      <c r="K71" s="39"/>
      <c r="L71" s="39"/>
      <c r="M71" s="39">
        <v>1</v>
      </c>
      <c r="N71" s="39">
        <v>1</v>
      </c>
      <c r="O71" s="39">
        <v>1</v>
      </c>
      <c r="P71" s="39">
        <v>1</v>
      </c>
      <c r="Q71" s="17" t="s">
        <v>64</v>
      </c>
      <c r="R71" s="6">
        <f t="shared" si="16"/>
        <v>4.54</v>
      </c>
      <c r="S71" s="6">
        <f t="shared" si="17"/>
        <v>4.54</v>
      </c>
      <c r="T71" s="6"/>
      <c r="U71" s="6"/>
      <c r="V71" s="6"/>
      <c r="W71" s="20" t="s">
        <v>75</v>
      </c>
      <c r="X71" s="20" t="str">
        <f t="shared" si="18"/>
        <v>HALL TV-T/U-B9-Open-TOP</v>
      </c>
      <c r="Y71" s="7">
        <f t="shared" si="19"/>
        <v>4.54</v>
      </c>
      <c r="AA71"/>
      <c r="AE71"/>
    </row>
    <row r="72" spans="1:31" x14ac:dyDescent="0.3">
      <c r="A72" s="4">
        <f t="shared" si="20"/>
        <v>69</v>
      </c>
      <c r="B72" s="4"/>
      <c r="C72" s="39"/>
      <c r="D72" s="39"/>
      <c r="E72" s="39"/>
      <c r="F72" s="17" t="s">
        <v>31</v>
      </c>
      <c r="G72" s="39">
        <f>G71</f>
        <v>361</v>
      </c>
      <c r="H72" s="39">
        <f>H71</f>
        <v>320</v>
      </c>
      <c r="I72" s="39">
        <v>1</v>
      </c>
      <c r="J72" s="81" t="s">
        <v>58</v>
      </c>
      <c r="K72" s="39"/>
      <c r="L72" s="39"/>
      <c r="M72" s="39">
        <v>1</v>
      </c>
      <c r="N72" s="39">
        <v>1</v>
      </c>
      <c r="O72" s="39">
        <v>1</v>
      </c>
      <c r="P72" s="39">
        <v>1</v>
      </c>
      <c r="Q72" s="17" t="s">
        <v>64</v>
      </c>
      <c r="R72" s="6">
        <f t="shared" si="16"/>
        <v>4.54</v>
      </c>
      <c r="S72" s="6">
        <f t="shared" si="17"/>
        <v>4.54</v>
      </c>
      <c r="T72" s="6"/>
      <c r="U72" s="6"/>
      <c r="V72" s="6"/>
      <c r="W72" s="20" t="s">
        <v>75</v>
      </c>
      <c r="X72" s="20" t="str">
        <f t="shared" si="18"/>
        <v>HALL TV-T/U-B9-Open-BTM</v>
      </c>
      <c r="Y72" s="7">
        <f t="shared" si="19"/>
        <v>4.54</v>
      </c>
      <c r="AA72"/>
      <c r="AE72"/>
    </row>
    <row r="73" spans="1:31" x14ac:dyDescent="0.3">
      <c r="A73" s="4">
        <f t="shared" si="20"/>
        <v>70</v>
      </c>
      <c r="B73" s="4"/>
      <c r="C73" s="39"/>
      <c r="D73" s="39"/>
      <c r="E73" s="39"/>
      <c r="F73" s="17" t="s">
        <v>32</v>
      </c>
      <c r="G73" s="39">
        <f>C69-36</f>
        <v>1716</v>
      </c>
      <c r="H73" s="39">
        <f>D69-20-19</f>
        <v>361</v>
      </c>
      <c r="I73" s="39">
        <v>1</v>
      </c>
      <c r="J73" s="81" t="s">
        <v>58</v>
      </c>
      <c r="K73" s="39"/>
      <c r="L73" s="39"/>
      <c r="M73" s="39">
        <v>1</v>
      </c>
      <c r="N73" s="39">
        <v>1</v>
      </c>
      <c r="O73" s="39">
        <v>1</v>
      </c>
      <c r="P73" s="39">
        <v>1</v>
      </c>
      <c r="Q73" s="17" t="s">
        <v>64</v>
      </c>
      <c r="R73" s="6">
        <f t="shared" si="16"/>
        <v>13.846666666666666</v>
      </c>
      <c r="S73" s="6">
        <f t="shared" si="17"/>
        <v>13.846666666666666</v>
      </c>
      <c r="T73" s="6"/>
      <c r="U73" s="6"/>
      <c r="V73" s="6"/>
      <c r="W73" s="20" t="s">
        <v>75</v>
      </c>
      <c r="X73" s="20" t="str">
        <f t="shared" si="18"/>
        <v>HALL TV-T/U-B9-Open-BACK UP</v>
      </c>
      <c r="Y73" s="7">
        <f t="shared" si="19"/>
        <v>13.846666666666666</v>
      </c>
      <c r="AA73"/>
      <c r="AE73"/>
    </row>
    <row r="74" spans="1:31" x14ac:dyDescent="0.3">
      <c r="A74" s="4">
        <f t="shared" si="20"/>
        <v>71</v>
      </c>
      <c r="B74" s="4"/>
      <c r="C74" s="17"/>
      <c r="D74" s="17"/>
      <c r="E74" s="17"/>
      <c r="F74" s="17" t="s">
        <v>38</v>
      </c>
      <c r="G74" s="39">
        <f>D69-19-20</f>
        <v>361</v>
      </c>
      <c r="H74" s="39">
        <f>E69-20</f>
        <v>300</v>
      </c>
      <c r="I74" s="39">
        <v>1</v>
      </c>
      <c r="J74" s="81" t="s">
        <v>60</v>
      </c>
      <c r="K74" s="39"/>
      <c r="L74" s="39"/>
      <c r="M74" s="39">
        <v>1</v>
      </c>
      <c r="N74" s="39">
        <v>1</v>
      </c>
      <c r="O74" s="39">
        <v>1</v>
      </c>
      <c r="P74" s="39">
        <v>1</v>
      </c>
      <c r="Q74" s="17" t="s">
        <v>64</v>
      </c>
      <c r="R74" s="6">
        <f t="shared" si="16"/>
        <v>4.4066666666666663</v>
      </c>
      <c r="S74" s="6">
        <f t="shared" si="17"/>
        <v>4.4066666666666663</v>
      </c>
      <c r="T74" s="6"/>
      <c r="U74" s="6"/>
      <c r="V74" s="6"/>
      <c r="W74" s="20" t="s">
        <v>75</v>
      </c>
      <c r="X74" s="20" t="str">
        <f t="shared" si="18"/>
        <v>HALL TV-T/U-B9-Open-Fshelf</v>
      </c>
      <c r="Y74" s="7">
        <f t="shared" si="19"/>
        <v>4.4066666666666663</v>
      </c>
      <c r="AA74"/>
      <c r="AE74"/>
    </row>
    <row r="75" spans="1:31" x14ac:dyDescent="0.3">
      <c r="A75" s="4">
        <f t="shared" si="20"/>
        <v>72</v>
      </c>
      <c r="B75" s="4"/>
      <c r="C75" s="17"/>
      <c r="D75" s="17"/>
      <c r="E75" s="17"/>
      <c r="F75" s="17" t="s">
        <v>33</v>
      </c>
      <c r="G75" s="39">
        <f>G74-1</f>
        <v>360</v>
      </c>
      <c r="H75" s="39">
        <f>H74</f>
        <v>300</v>
      </c>
      <c r="I75" s="39">
        <v>2</v>
      </c>
      <c r="J75" s="81" t="s">
        <v>60</v>
      </c>
      <c r="K75" s="39"/>
      <c r="L75" s="39"/>
      <c r="M75" s="39">
        <v>1</v>
      </c>
      <c r="N75" s="39">
        <v>1</v>
      </c>
      <c r="O75" s="39">
        <v>1</v>
      </c>
      <c r="P75" s="39">
        <v>1</v>
      </c>
      <c r="Q75" s="17" t="s">
        <v>64</v>
      </c>
      <c r="R75" s="6">
        <f t="shared" si="16"/>
        <v>8.8000000000000007</v>
      </c>
      <c r="S75" s="6">
        <f t="shared" si="17"/>
        <v>8.8000000000000007</v>
      </c>
      <c r="T75" s="6"/>
      <c r="U75" s="6"/>
      <c r="V75" s="6"/>
      <c r="W75" s="20" t="s">
        <v>75</v>
      </c>
      <c r="X75" s="20" t="str">
        <f t="shared" si="18"/>
        <v>HALL TV-T/U-B9-Open-Lshelf</v>
      </c>
      <c r="Y75" s="7">
        <f t="shared" si="19"/>
        <v>8.8000000000000007</v>
      </c>
      <c r="AA75"/>
      <c r="AE75"/>
    </row>
    <row r="76" spans="1:31" x14ac:dyDescent="0.3">
      <c r="A76" s="4">
        <f t="shared" si="20"/>
        <v>73</v>
      </c>
      <c r="B76" s="46" t="s">
        <v>76</v>
      </c>
      <c r="C76" s="23">
        <v>200</v>
      </c>
      <c r="D76" s="23">
        <v>1770</v>
      </c>
      <c r="E76" s="23">
        <v>320</v>
      </c>
      <c r="F76" s="17" t="s">
        <v>28</v>
      </c>
      <c r="G76" s="39">
        <f>C76-18</f>
        <v>182</v>
      </c>
      <c r="H76" s="39">
        <f>E76</f>
        <v>320</v>
      </c>
      <c r="I76" s="39">
        <v>1</v>
      </c>
      <c r="J76" s="81" t="s">
        <v>58</v>
      </c>
      <c r="K76" s="39"/>
      <c r="L76" s="39"/>
      <c r="M76" s="39">
        <v>1</v>
      </c>
      <c r="N76" s="39">
        <v>1</v>
      </c>
      <c r="O76" s="39">
        <v>1</v>
      </c>
      <c r="P76" s="39">
        <v>1</v>
      </c>
      <c r="Q76" s="17" t="s">
        <v>64</v>
      </c>
      <c r="R76" s="6">
        <f t="shared" si="16"/>
        <v>3.3466666666666667</v>
      </c>
      <c r="S76" s="6">
        <f t="shared" si="17"/>
        <v>3.3466666666666667</v>
      </c>
      <c r="T76" s="6"/>
      <c r="U76" s="6"/>
      <c r="V76" s="6"/>
      <c r="W76" s="20" t="s">
        <v>76</v>
      </c>
      <c r="X76" s="20" t="str">
        <f t="shared" si="18"/>
        <v>HALL TV-B/U-B10-Open-LHS</v>
      </c>
      <c r="Y76" s="7">
        <f t="shared" si="19"/>
        <v>3.3466666666666667</v>
      </c>
      <c r="AA76"/>
      <c r="AE76"/>
    </row>
    <row r="77" spans="1:31" x14ac:dyDescent="0.3">
      <c r="A77" s="4">
        <f t="shared" si="20"/>
        <v>74</v>
      </c>
      <c r="B77" s="4"/>
      <c r="C77" s="39"/>
      <c r="D77" s="39"/>
      <c r="E77" s="39"/>
      <c r="F77" s="40" t="s">
        <v>29</v>
      </c>
      <c r="G77" s="39">
        <f>G76</f>
        <v>182</v>
      </c>
      <c r="H77" s="39">
        <f>H76</f>
        <v>320</v>
      </c>
      <c r="I77" s="39">
        <v>1</v>
      </c>
      <c r="J77" s="81" t="s">
        <v>60</v>
      </c>
      <c r="K77" s="39"/>
      <c r="L77" s="39"/>
      <c r="M77" s="39">
        <v>1</v>
      </c>
      <c r="N77" s="39">
        <v>1</v>
      </c>
      <c r="O77" s="39">
        <v>1</v>
      </c>
      <c r="P77" s="39">
        <v>1</v>
      </c>
      <c r="Q77" s="17" t="s">
        <v>64</v>
      </c>
      <c r="R77" s="6">
        <f t="shared" si="16"/>
        <v>3.3466666666666667</v>
      </c>
      <c r="S77" s="6">
        <f t="shared" si="17"/>
        <v>3.3466666666666667</v>
      </c>
      <c r="T77" s="6"/>
      <c r="U77" s="6"/>
      <c r="V77" s="6"/>
      <c r="W77" s="20" t="s">
        <v>76</v>
      </c>
      <c r="X77" s="20" t="str">
        <f t="shared" si="18"/>
        <v>HALL TV-B/U-B10-Open-RHS</v>
      </c>
      <c r="Y77" s="7">
        <f t="shared" si="19"/>
        <v>3.3466666666666667</v>
      </c>
      <c r="AA77"/>
      <c r="AE77"/>
    </row>
    <row r="78" spans="1:31" x14ac:dyDescent="0.3">
      <c r="A78" s="4">
        <f t="shared" si="20"/>
        <v>75</v>
      </c>
      <c r="B78" s="4"/>
      <c r="C78" s="39"/>
      <c r="D78" s="39"/>
      <c r="E78" s="39"/>
      <c r="F78" s="40" t="s">
        <v>30</v>
      </c>
      <c r="G78" s="38">
        <f>D76</f>
        <v>1770</v>
      </c>
      <c r="H78" s="38">
        <f>H77</f>
        <v>320</v>
      </c>
      <c r="I78" s="39">
        <v>1</v>
      </c>
      <c r="J78" s="81" t="s">
        <v>60</v>
      </c>
      <c r="K78" s="39"/>
      <c r="L78" s="39"/>
      <c r="M78" s="39">
        <v>1</v>
      </c>
      <c r="N78" s="39">
        <v>1</v>
      </c>
      <c r="O78" s="39">
        <v>1</v>
      </c>
      <c r="P78" s="39">
        <v>1</v>
      </c>
      <c r="Q78" s="17" t="s">
        <v>64</v>
      </c>
      <c r="R78" s="6">
        <f t="shared" si="16"/>
        <v>13.933333333333334</v>
      </c>
      <c r="S78" s="6">
        <f t="shared" si="17"/>
        <v>13.933333333333334</v>
      </c>
      <c r="T78" s="6"/>
      <c r="U78" s="6"/>
      <c r="V78" s="6"/>
      <c r="W78" s="20" t="s">
        <v>76</v>
      </c>
      <c r="X78" s="20" t="str">
        <f t="shared" si="18"/>
        <v>HALL TV-B/U-B10-Open-TOP</v>
      </c>
      <c r="Y78" s="7">
        <f t="shared" si="19"/>
        <v>13.933333333333334</v>
      </c>
      <c r="AA78"/>
      <c r="AE78"/>
    </row>
    <row r="79" spans="1:31" x14ac:dyDescent="0.3">
      <c r="A79" s="4">
        <f t="shared" si="20"/>
        <v>76</v>
      </c>
      <c r="B79" s="4"/>
      <c r="C79" s="39"/>
      <c r="D79" s="39"/>
      <c r="E79" s="39"/>
      <c r="F79" s="17" t="s">
        <v>31</v>
      </c>
      <c r="G79" s="39">
        <f>D76-36</f>
        <v>1734</v>
      </c>
      <c r="H79" s="39">
        <f>H78</f>
        <v>320</v>
      </c>
      <c r="I79" s="39">
        <v>1</v>
      </c>
      <c r="J79" s="81" t="s">
        <v>58</v>
      </c>
      <c r="K79" s="39"/>
      <c r="L79" s="39"/>
      <c r="M79" s="39">
        <v>1</v>
      </c>
      <c r="N79" s="39">
        <v>1</v>
      </c>
      <c r="O79" s="39">
        <v>1</v>
      </c>
      <c r="P79" s="39">
        <v>1</v>
      </c>
      <c r="Q79" s="17" t="s">
        <v>64</v>
      </c>
      <c r="R79" s="6">
        <f t="shared" si="16"/>
        <v>13.693333333333333</v>
      </c>
      <c r="S79" s="6">
        <f t="shared" si="17"/>
        <v>13.693333333333333</v>
      </c>
      <c r="T79" s="6"/>
      <c r="U79" s="6"/>
      <c r="V79" s="6"/>
      <c r="W79" s="20" t="s">
        <v>76</v>
      </c>
      <c r="X79" s="20" t="str">
        <f t="shared" si="18"/>
        <v>HALL TV-B/U-B10-Open-BTM</v>
      </c>
      <c r="Y79" s="7">
        <f t="shared" si="19"/>
        <v>13.693333333333333</v>
      </c>
      <c r="AA79"/>
      <c r="AE79"/>
    </row>
    <row r="80" spans="1:31" x14ac:dyDescent="0.3">
      <c r="A80" s="4">
        <f t="shared" si="20"/>
        <v>77</v>
      </c>
      <c r="B80" s="4"/>
      <c r="C80" s="39"/>
      <c r="D80" s="39"/>
      <c r="E80" s="39"/>
      <c r="F80" s="17" t="s">
        <v>32</v>
      </c>
      <c r="G80" s="39">
        <f>C76-19-20</f>
        <v>161</v>
      </c>
      <c r="H80" s="39">
        <f>D76-19-20</f>
        <v>1731</v>
      </c>
      <c r="I80" s="39">
        <v>1</v>
      </c>
      <c r="J80" s="81" t="s">
        <v>58</v>
      </c>
      <c r="K80" s="39" t="s">
        <v>15</v>
      </c>
      <c r="L80" s="39"/>
      <c r="M80" s="39">
        <v>1</v>
      </c>
      <c r="N80" s="39">
        <v>1</v>
      </c>
      <c r="O80" s="39">
        <v>1</v>
      </c>
      <c r="P80" s="39">
        <v>1</v>
      </c>
      <c r="Q80" s="17" t="s">
        <v>64</v>
      </c>
      <c r="R80" s="6">
        <f t="shared" si="16"/>
        <v>12.613333333333333</v>
      </c>
      <c r="S80" s="6">
        <f t="shared" si="17"/>
        <v>12.613333333333333</v>
      </c>
      <c r="T80" s="6"/>
      <c r="U80" s="6"/>
      <c r="V80" s="6"/>
      <c r="W80" s="20" t="s">
        <v>76</v>
      </c>
      <c r="X80" s="20" t="str">
        <f t="shared" si="18"/>
        <v>HALL TV-B/U-B10-Open-BACK UP</v>
      </c>
      <c r="Y80" s="7">
        <f t="shared" si="19"/>
        <v>12.613333333333333</v>
      </c>
      <c r="AA80"/>
      <c r="AE80"/>
    </row>
    <row r="81" spans="1:31" x14ac:dyDescent="0.3">
      <c r="A81" s="4">
        <f t="shared" si="20"/>
        <v>78</v>
      </c>
      <c r="B81" s="4"/>
      <c r="C81" s="17"/>
      <c r="D81" s="17"/>
      <c r="E81" s="17"/>
      <c r="F81" s="17" t="s">
        <v>43</v>
      </c>
      <c r="G81" s="39">
        <f>C76-20-19</f>
        <v>161</v>
      </c>
      <c r="H81" s="39">
        <f>E76-20</f>
        <v>300</v>
      </c>
      <c r="I81" s="39">
        <v>1</v>
      </c>
      <c r="J81" s="81" t="s">
        <v>60</v>
      </c>
      <c r="K81" s="39"/>
      <c r="L81" s="39"/>
      <c r="M81" s="39">
        <v>1</v>
      </c>
      <c r="N81" s="39">
        <v>1</v>
      </c>
      <c r="O81" s="39">
        <v>1</v>
      </c>
      <c r="P81" s="39">
        <v>1</v>
      </c>
      <c r="Q81" s="17" t="s">
        <v>64</v>
      </c>
      <c r="R81" s="6">
        <f t="shared" si="16"/>
        <v>3.0733333333333333</v>
      </c>
      <c r="S81" s="6">
        <f t="shared" si="17"/>
        <v>3.0733333333333333</v>
      </c>
      <c r="T81" s="6"/>
      <c r="U81" s="6"/>
      <c r="V81" s="6"/>
      <c r="W81" s="20" t="s">
        <v>76</v>
      </c>
      <c r="X81" s="20" t="str">
        <f t="shared" si="18"/>
        <v>HALL TV-B/U-B10-Open-C/V</v>
      </c>
      <c r="Y81" s="7">
        <f t="shared" si="19"/>
        <v>3.0733333333333333</v>
      </c>
      <c r="AA81"/>
      <c r="AE81"/>
    </row>
    <row r="82" spans="1:31" x14ac:dyDescent="0.3">
      <c r="A82" s="4">
        <f t="shared" si="20"/>
        <v>79</v>
      </c>
      <c r="B82" s="4"/>
      <c r="C82" s="17"/>
      <c r="D82" s="17"/>
      <c r="E82" s="17"/>
      <c r="F82" s="17" t="s">
        <v>77</v>
      </c>
      <c r="G82" s="39">
        <f>1770</f>
        <v>1770</v>
      </c>
      <c r="H82" s="39">
        <v>50</v>
      </c>
      <c r="I82" s="39">
        <v>6</v>
      </c>
      <c r="J82" s="62" t="s">
        <v>34</v>
      </c>
      <c r="K82" s="17" t="s">
        <v>15</v>
      </c>
      <c r="L82" s="17"/>
      <c r="M82" s="17">
        <v>0</v>
      </c>
      <c r="N82" s="17">
        <v>0</v>
      </c>
      <c r="O82" s="17">
        <v>0</v>
      </c>
      <c r="P82" s="17">
        <v>0</v>
      </c>
      <c r="Q82" s="4"/>
      <c r="R82" s="6">
        <f t="shared" si="16"/>
        <v>72.8</v>
      </c>
      <c r="S82" s="6"/>
      <c r="T82" s="6"/>
      <c r="U82" s="6"/>
      <c r="V82" s="6"/>
      <c r="W82" s="20" t="s">
        <v>76</v>
      </c>
      <c r="X82" s="20" t="str">
        <f t="shared" si="18"/>
        <v>HALL TV-B/U-B10-Open-TV FRAMES-No-EB</v>
      </c>
      <c r="Y82" s="7">
        <f t="shared" si="19"/>
        <v>72.8</v>
      </c>
      <c r="AA82"/>
      <c r="AE82"/>
    </row>
    <row r="83" spans="1:31" x14ac:dyDescent="0.3">
      <c r="A83" s="4">
        <f t="shared" si="20"/>
        <v>80</v>
      </c>
      <c r="B83" s="4"/>
      <c r="C83" s="17"/>
      <c r="D83" s="17"/>
      <c r="E83" s="17"/>
      <c r="F83" s="17" t="s">
        <v>53</v>
      </c>
      <c r="G83" s="39">
        <f>1770</f>
        <v>1770</v>
      </c>
      <c r="H83" s="39">
        <v>100</v>
      </c>
      <c r="I83" s="39">
        <v>2</v>
      </c>
      <c r="J83" s="81" t="s">
        <v>78</v>
      </c>
      <c r="K83" s="17" t="s">
        <v>15</v>
      </c>
      <c r="L83" s="17"/>
      <c r="M83" s="17">
        <v>3</v>
      </c>
      <c r="N83" s="17">
        <v>3</v>
      </c>
      <c r="O83" s="17">
        <v>3</v>
      </c>
      <c r="P83" s="17">
        <v>3</v>
      </c>
      <c r="Q83" s="17"/>
      <c r="R83" s="6">
        <f t="shared" si="16"/>
        <v>24.933333333333334</v>
      </c>
      <c r="S83" s="6"/>
      <c r="T83" s="6">
        <f t="shared" ref="T83:T84" si="21">R83</f>
        <v>24.933333333333334</v>
      </c>
      <c r="U83" s="6"/>
      <c r="V83" s="6"/>
      <c r="W83" s="20" t="s">
        <v>76</v>
      </c>
      <c r="X83" s="20" t="str">
        <f t="shared" si="18"/>
        <v>HALL TV-B/U-B10-Open-TV FILLERS</v>
      </c>
      <c r="Y83" s="7">
        <f t="shared" si="19"/>
        <v>24.933333333333334</v>
      </c>
      <c r="AA83"/>
      <c r="AE83"/>
    </row>
    <row r="84" spans="1:31" x14ac:dyDescent="0.3">
      <c r="A84" s="4">
        <f t="shared" si="20"/>
        <v>81</v>
      </c>
      <c r="B84" s="4"/>
      <c r="C84" s="17"/>
      <c r="D84" s="17"/>
      <c r="E84" s="17"/>
      <c r="F84" s="40" t="s">
        <v>54</v>
      </c>
      <c r="G84" s="38">
        <v>1552</v>
      </c>
      <c r="H84" s="38">
        <f>1770/2</f>
        <v>885</v>
      </c>
      <c r="I84" s="38">
        <v>2</v>
      </c>
      <c r="J84" s="82" t="s">
        <v>79</v>
      </c>
      <c r="K84" s="17" t="s">
        <v>15</v>
      </c>
      <c r="L84" s="17"/>
      <c r="M84" s="17">
        <v>3</v>
      </c>
      <c r="N84" s="17">
        <v>3</v>
      </c>
      <c r="O84" s="17">
        <v>3</v>
      </c>
      <c r="P84" s="17">
        <v>3</v>
      </c>
      <c r="Q84" s="17" t="s">
        <v>64</v>
      </c>
      <c r="R84" s="6">
        <f t="shared" si="16"/>
        <v>32.493333333333332</v>
      </c>
      <c r="S84" s="6"/>
      <c r="T84" s="6">
        <f t="shared" si="21"/>
        <v>32.493333333333332</v>
      </c>
      <c r="U84" s="6"/>
      <c r="V84" s="6"/>
      <c r="W84" s="20" t="s">
        <v>76</v>
      </c>
      <c r="X84" s="20" t="str">
        <f t="shared" si="18"/>
        <v>HALL TV-B/U-B10-Open-TV PANEL</v>
      </c>
      <c r="Y84" s="7">
        <f t="shared" si="19"/>
        <v>32.493333333333332</v>
      </c>
      <c r="AA84"/>
      <c r="AE84"/>
    </row>
    <row r="85" spans="1:31" x14ac:dyDescent="0.3">
      <c r="A85" s="4">
        <f t="shared" si="20"/>
        <v>82</v>
      </c>
      <c r="B85" s="4"/>
      <c r="C85" s="17"/>
      <c r="D85" s="17"/>
      <c r="E85" s="17"/>
      <c r="F85" s="17" t="s">
        <v>77</v>
      </c>
      <c r="G85" s="39">
        <v>2400</v>
      </c>
      <c r="H85" s="39">
        <v>50</v>
      </c>
      <c r="I85" s="39">
        <v>7</v>
      </c>
      <c r="J85" s="62" t="s">
        <v>34</v>
      </c>
      <c r="K85" s="17" t="s">
        <v>15</v>
      </c>
      <c r="L85" s="17"/>
      <c r="M85" s="17">
        <v>0</v>
      </c>
      <c r="N85" s="17">
        <v>0</v>
      </c>
      <c r="O85" s="17">
        <v>0</v>
      </c>
      <c r="P85" s="17">
        <v>0</v>
      </c>
      <c r="Q85" s="4"/>
      <c r="R85" s="6">
        <f t="shared" si="16"/>
        <v>114.33333333333333</v>
      </c>
      <c r="S85" s="6"/>
      <c r="T85" s="6"/>
      <c r="U85" s="6"/>
      <c r="V85" s="6"/>
      <c r="W85" s="20" t="s">
        <v>76</v>
      </c>
      <c r="X85" s="20" t="str">
        <f t="shared" si="18"/>
        <v>HALL TV-B/U-B10-Open-TV FRAMES-No-EB</v>
      </c>
      <c r="Y85" s="7">
        <f t="shared" si="19"/>
        <v>114.33333333333333</v>
      </c>
      <c r="AA85"/>
      <c r="AE85"/>
    </row>
    <row r="86" spans="1:31" x14ac:dyDescent="0.3">
      <c r="A86" s="4">
        <f t="shared" si="20"/>
        <v>83</v>
      </c>
      <c r="B86" s="4"/>
      <c r="C86" s="17"/>
      <c r="D86" s="17"/>
      <c r="E86" s="17"/>
      <c r="F86" s="17" t="s">
        <v>53</v>
      </c>
      <c r="G86" s="39">
        <v>2262</v>
      </c>
      <c r="H86" s="39">
        <v>100</v>
      </c>
      <c r="I86" s="39">
        <v>2</v>
      </c>
      <c r="J86" s="83" t="s">
        <v>80</v>
      </c>
      <c r="K86" s="17" t="s">
        <v>15</v>
      </c>
      <c r="L86" s="17"/>
      <c r="M86" s="17">
        <v>3</v>
      </c>
      <c r="N86" s="17">
        <v>3</v>
      </c>
      <c r="O86" s="17">
        <v>3</v>
      </c>
      <c r="P86" s="17">
        <v>3</v>
      </c>
      <c r="Q86" s="17"/>
      <c r="R86" s="6">
        <f t="shared" si="16"/>
        <v>31.493333333333332</v>
      </c>
      <c r="S86" s="6"/>
      <c r="T86" s="6">
        <f t="shared" ref="T86:T89" si="22">R86</f>
        <v>31.493333333333332</v>
      </c>
      <c r="U86" s="6"/>
      <c r="V86" s="6"/>
      <c r="W86" s="20" t="s">
        <v>76</v>
      </c>
      <c r="X86" s="20" t="str">
        <f t="shared" si="18"/>
        <v>HALL TV-B/U-B10-Open-TV FILLERS</v>
      </c>
      <c r="Y86" s="7">
        <f t="shared" si="19"/>
        <v>31.493333333333332</v>
      </c>
      <c r="AA86"/>
      <c r="AE86"/>
    </row>
    <row r="87" spans="1:31" x14ac:dyDescent="0.3">
      <c r="A87" s="4">
        <f t="shared" si="20"/>
        <v>84</v>
      </c>
      <c r="B87" s="4"/>
      <c r="C87" s="17"/>
      <c r="D87" s="17"/>
      <c r="E87" s="17"/>
      <c r="F87" s="40" t="s">
        <v>54</v>
      </c>
      <c r="G87" s="38">
        <f>2262</f>
        <v>2262</v>
      </c>
      <c r="H87" s="38">
        <v>600</v>
      </c>
      <c r="I87" s="38">
        <v>1</v>
      </c>
      <c r="J87" s="83" t="s">
        <v>80</v>
      </c>
      <c r="K87" s="17" t="s">
        <v>15</v>
      </c>
      <c r="L87" s="17"/>
      <c r="M87" s="17">
        <v>3</v>
      </c>
      <c r="N87" s="17">
        <v>3</v>
      </c>
      <c r="O87" s="17">
        <v>3</v>
      </c>
      <c r="P87" s="17">
        <v>3</v>
      </c>
      <c r="Q87" s="17"/>
      <c r="R87" s="6">
        <f t="shared" si="16"/>
        <v>19.079999999999998</v>
      </c>
      <c r="S87" s="6"/>
      <c r="T87" s="6">
        <f t="shared" si="22"/>
        <v>19.079999999999998</v>
      </c>
      <c r="U87" s="6"/>
      <c r="V87" s="6"/>
      <c r="W87" s="20" t="s">
        <v>76</v>
      </c>
      <c r="X87" s="20" t="str">
        <f t="shared" si="18"/>
        <v>HALL TV-B/U-B10-Open-TV PANEL</v>
      </c>
      <c r="Y87" s="7">
        <f t="shared" si="19"/>
        <v>19.079999999999998</v>
      </c>
      <c r="AA87"/>
      <c r="AE87"/>
    </row>
    <row r="88" spans="1:31" x14ac:dyDescent="0.3">
      <c r="A88" s="4">
        <f t="shared" si="20"/>
        <v>85</v>
      </c>
      <c r="B88" s="4"/>
      <c r="C88" s="17"/>
      <c r="D88" s="17"/>
      <c r="E88" s="17"/>
      <c r="F88" s="40" t="s">
        <v>54</v>
      </c>
      <c r="G88" s="38">
        <v>510</v>
      </c>
      <c r="H88" s="38">
        <v>2128</v>
      </c>
      <c r="I88" s="38">
        <v>1</v>
      </c>
      <c r="J88" s="83" t="s">
        <v>80</v>
      </c>
      <c r="K88" s="17" t="s">
        <v>15</v>
      </c>
      <c r="L88" s="17"/>
      <c r="M88" s="17">
        <v>3</v>
      </c>
      <c r="N88" s="17">
        <v>3</v>
      </c>
      <c r="O88" s="17">
        <v>3</v>
      </c>
      <c r="P88" s="17">
        <v>3</v>
      </c>
      <c r="Q88" s="17"/>
      <c r="R88" s="6">
        <f t="shared" si="16"/>
        <v>17.586666666666666</v>
      </c>
      <c r="S88" s="6"/>
      <c r="T88" s="6">
        <f t="shared" si="22"/>
        <v>17.586666666666666</v>
      </c>
      <c r="U88" s="6"/>
      <c r="V88" s="6"/>
      <c r="W88" s="20" t="s">
        <v>76</v>
      </c>
      <c r="X88" s="20" t="str">
        <f t="shared" si="18"/>
        <v>HALL TV-B/U-B10-Open-TV PANEL</v>
      </c>
      <c r="Y88" s="7">
        <f t="shared" si="19"/>
        <v>17.586666666666666</v>
      </c>
      <c r="AA88"/>
      <c r="AE88"/>
    </row>
    <row r="89" spans="1:31" x14ac:dyDescent="0.3">
      <c r="A89" s="4">
        <f t="shared" si="20"/>
        <v>86</v>
      </c>
      <c r="B89" s="46" t="s">
        <v>81</v>
      </c>
      <c r="C89" s="23">
        <f>720+110</f>
        <v>830</v>
      </c>
      <c r="D89" s="23">
        <f>558+558+558+558</f>
        <v>2232</v>
      </c>
      <c r="E89" s="23">
        <v>480</v>
      </c>
      <c r="F89" s="17" t="s">
        <v>28</v>
      </c>
      <c r="G89" s="39">
        <f>C89</f>
        <v>830</v>
      </c>
      <c r="H89" s="39">
        <f>E89</f>
        <v>480</v>
      </c>
      <c r="I89" s="39">
        <v>1</v>
      </c>
      <c r="J89" s="81" t="s">
        <v>181</v>
      </c>
      <c r="K89" s="17" t="s">
        <v>15</v>
      </c>
      <c r="L89" s="17"/>
      <c r="M89" s="17">
        <v>3</v>
      </c>
      <c r="N89" s="17">
        <v>3</v>
      </c>
      <c r="O89" s="17">
        <v>3</v>
      </c>
      <c r="P89" s="17">
        <v>3</v>
      </c>
      <c r="Q89" s="17"/>
      <c r="R89" s="6">
        <f t="shared" si="16"/>
        <v>8.7333333333333325</v>
      </c>
      <c r="S89" s="6"/>
      <c r="T89" s="6">
        <f t="shared" si="22"/>
        <v>8.7333333333333325</v>
      </c>
      <c r="U89" s="6"/>
      <c r="V89" s="6"/>
      <c r="W89" s="20" t="s">
        <v>81</v>
      </c>
      <c r="X89" s="20" t="str">
        <f t="shared" si="18"/>
        <v>HALL-VNTY-B11-LHS</v>
      </c>
      <c r="Y89" s="7">
        <f t="shared" si="19"/>
        <v>8.7333333333333325</v>
      </c>
      <c r="AA89"/>
      <c r="AE89"/>
    </row>
    <row r="90" spans="1:31" x14ac:dyDescent="0.3">
      <c r="A90" s="4">
        <f t="shared" si="20"/>
        <v>87</v>
      </c>
      <c r="B90" s="4"/>
      <c r="C90" s="39"/>
      <c r="D90" s="39"/>
      <c r="E90" s="39"/>
      <c r="F90" s="17" t="s">
        <v>29</v>
      </c>
      <c r="G90" s="39">
        <f>G89</f>
        <v>830</v>
      </c>
      <c r="H90" s="39">
        <f>H89</f>
        <v>480</v>
      </c>
      <c r="I90" s="39">
        <v>1</v>
      </c>
      <c r="J90" s="84" t="s">
        <v>85</v>
      </c>
      <c r="K90" s="17" t="s">
        <v>15</v>
      </c>
      <c r="L90" s="39"/>
      <c r="M90" s="39">
        <v>1</v>
      </c>
      <c r="N90" s="39">
        <v>1</v>
      </c>
      <c r="O90" s="39">
        <v>1</v>
      </c>
      <c r="P90" s="39">
        <v>1</v>
      </c>
      <c r="Q90" s="4"/>
      <c r="R90" s="6">
        <f t="shared" si="16"/>
        <v>8.7333333333333325</v>
      </c>
      <c r="S90" s="6">
        <f t="shared" ref="S90:S92" si="23">R90</f>
        <v>8.7333333333333325</v>
      </c>
      <c r="T90" s="6"/>
      <c r="U90" s="6"/>
      <c r="V90" s="6"/>
      <c r="W90" s="20" t="s">
        <v>81</v>
      </c>
      <c r="X90" s="20" t="str">
        <f t="shared" si="18"/>
        <v>HALL-VNTY-B11-RHS</v>
      </c>
      <c r="Y90" s="7">
        <f t="shared" si="19"/>
        <v>8.7333333333333325</v>
      </c>
      <c r="AA90"/>
      <c r="AE90"/>
    </row>
    <row r="91" spans="1:31" x14ac:dyDescent="0.3">
      <c r="A91" s="4">
        <f t="shared" si="20"/>
        <v>88</v>
      </c>
      <c r="B91" s="4"/>
      <c r="C91" s="103" t="s">
        <v>50</v>
      </c>
      <c r="D91" s="104"/>
      <c r="E91" s="105"/>
      <c r="F91" s="17" t="s">
        <v>30</v>
      </c>
      <c r="G91" s="39">
        <f>D89-36</f>
        <v>2196</v>
      </c>
      <c r="H91" s="38">
        <f>E89-26</f>
        <v>454</v>
      </c>
      <c r="I91" s="39">
        <v>1</v>
      </c>
      <c r="J91" s="84" t="s">
        <v>85</v>
      </c>
      <c r="K91" s="17" t="s">
        <v>15</v>
      </c>
      <c r="L91" s="39"/>
      <c r="M91" s="39">
        <v>1</v>
      </c>
      <c r="N91" s="39">
        <v>1</v>
      </c>
      <c r="O91" s="39">
        <v>1</v>
      </c>
      <c r="P91" s="39">
        <v>1</v>
      </c>
      <c r="Q91" s="4"/>
      <c r="R91" s="6">
        <f t="shared" si="16"/>
        <v>17.666666666666668</v>
      </c>
      <c r="S91" s="6">
        <f t="shared" si="23"/>
        <v>17.666666666666668</v>
      </c>
      <c r="T91" s="6"/>
      <c r="U91" s="6"/>
      <c r="V91" s="6"/>
      <c r="W91" s="20" t="s">
        <v>81</v>
      </c>
      <c r="X91" s="20" t="str">
        <f t="shared" si="18"/>
        <v>HALL-VNTY-B11-TOP</v>
      </c>
      <c r="Y91" s="7">
        <f t="shared" si="19"/>
        <v>17.666666666666668</v>
      </c>
      <c r="AA91"/>
      <c r="AE91"/>
    </row>
    <row r="92" spans="1:31" x14ac:dyDescent="0.3">
      <c r="A92" s="4">
        <f t="shared" si="20"/>
        <v>89</v>
      </c>
      <c r="B92" s="4"/>
      <c r="C92" s="39" t="s">
        <v>25</v>
      </c>
      <c r="D92" s="39"/>
      <c r="E92" s="39"/>
      <c r="F92" s="17" t="s">
        <v>31</v>
      </c>
      <c r="G92" s="39">
        <f>D89-36</f>
        <v>2196</v>
      </c>
      <c r="H92" s="39">
        <f>H90</f>
        <v>480</v>
      </c>
      <c r="I92" s="39">
        <v>1</v>
      </c>
      <c r="J92" s="84" t="s">
        <v>85</v>
      </c>
      <c r="K92" s="17" t="s">
        <v>15</v>
      </c>
      <c r="L92" s="39"/>
      <c r="M92" s="39">
        <v>1</v>
      </c>
      <c r="N92" s="39">
        <v>1</v>
      </c>
      <c r="O92" s="39">
        <v>1</v>
      </c>
      <c r="P92" s="39">
        <v>1</v>
      </c>
      <c r="Q92" s="4"/>
      <c r="R92" s="6">
        <f t="shared" si="16"/>
        <v>17.84</v>
      </c>
      <c r="S92" s="6">
        <f t="shared" si="23"/>
        <v>17.84</v>
      </c>
      <c r="T92" s="6"/>
      <c r="U92" s="6"/>
      <c r="V92" s="6"/>
      <c r="W92" s="20" t="s">
        <v>81</v>
      </c>
      <c r="X92" s="20" t="str">
        <f t="shared" si="18"/>
        <v>HALL-VNTY-B11-BTM</v>
      </c>
      <c r="Y92" s="7">
        <f t="shared" si="19"/>
        <v>17.84</v>
      </c>
      <c r="AA92"/>
      <c r="AE92"/>
    </row>
    <row r="93" spans="1:31" x14ac:dyDescent="0.3">
      <c r="A93" s="4">
        <f t="shared" si="20"/>
        <v>90</v>
      </c>
      <c r="B93" s="4"/>
      <c r="C93" s="39"/>
      <c r="D93" s="39"/>
      <c r="E93" s="39"/>
      <c r="F93" s="17" t="s">
        <v>32</v>
      </c>
      <c r="G93" s="39">
        <f>C89-110-36+16</f>
        <v>700</v>
      </c>
      <c r="H93" s="39">
        <f>D89-36+16</f>
        <v>2212</v>
      </c>
      <c r="I93" s="39">
        <v>1</v>
      </c>
      <c r="J93" s="84" t="s">
        <v>86</v>
      </c>
      <c r="K93" s="17" t="s">
        <v>15</v>
      </c>
      <c r="L93" s="17"/>
      <c r="M93" s="17"/>
      <c r="N93" s="17"/>
      <c r="O93" s="17"/>
      <c r="P93" s="17"/>
      <c r="Q93" s="4"/>
      <c r="R93" s="6">
        <f t="shared" si="16"/>
        <v>19.413333333333334</v>
      </c>
      <c r="S93" s="6"/>
      <c r="T93" s="6"/>
      <c r="U93" s="6"/>
      <c r="V93" s="6"/>
      <c r="W93" s="20" t="s">
        <v>81</v>
      </c>
      <c r="X93" s="20" t="str">
        <f t="shared" si="18"/>
        <v>HALL-VNTY-B11-BACK UP</v>
      </c>
      <c r="Y93" s="7">
        <f t="shared" si="19"/>
        <v>19.413333333333334</v>
      </c>
      <c r="AA93"/>
      <c r="AE93"/>
    </row>
    <row r="94" spans="1:31" x14ac:dyDescent="0.3">
      <c r="A94" s="4">
        <f t="shared" si="20"/>
        <v>91</v>
      </c>
      <c r="B94" s="4"/>
      <c r="C94" s="39"/>
      <c r="D94" s="39"/>
      <c r="E94" s="39"/>
      <c r="F94" s="17" t="s">
        <v>43</v>
      </c>
      <c r="G94" s="39">
        <f>C89-110-36</f>
        <v>684</v>
      </c>
      <c r="H94" s="39">
        <f>E89-20</f>
        <v>460</v>
      </c>
      <c r="I94" s="39">
        <v>1</v>
      </c>
      <c r="J94" s="84" t="s">
        <v>85</v>
      </c>
      <c r="K94" s="17" t="s">
        <v>15</v>
      </c>
      <c r="L94" s="39"/>
      <c r="M94" s="39">
        <v>1</v>
      </c>
      <c r="N94" s="39">
        <v>1</v>
      </c>
      <c r="O94" s="39">
        <v>1</v>
      </c>
      <c r="P94" s="39">
        <v>1</v>
      </c>
      <c r="Q94" s="4"/>
      <c r="R94" s="6">
        <f t="shared" si="16"/>
        <v>7.6266666666666669</v>
      </c>
      <c r="S94" s="6">
        <f t="shared" ref="S94:S95" si="24">R94</f>
        <v>7.6266666666666669</v>
      </c>
      <c r="T94" s="6"/>
      <c r="U94" s="6"/>
      <c r="V94" s="6"/>
      <c r="W94" s="20" t="s">
        <v>81</v>
      </c>
      <c r="X94" s="20" t="str">
        <f t="shared" si="18"/>
        <v>HALL-VNTY-B11-C/V</v>
      </c>
      <c r="Y94" s="7">
        <f t="shared" si="19"/>
        <v>7.6266666666666669</v>
      </c>
      <c r="AA94"/>
      <c r="AE94"/>
    </row>
    <row r="95" spans="1:31" x14ac:dyDescent="0.3">
      <c r="A95" s="4">
        <f t="shared" si="20"/>
        <v>92</v>
      </c>
      <c r="B95" s="4"/>
      <c r="C95" s="39"/>
      <c r="D95" s="39"/>
      <c r="E95" s="39"/>
      <c r="F95" s="17" t="s">
        <v>33</v>
      </c>
      <c r="G95" s="39">
        <f>D89/2-18-9-1</f>
        <v>1088</v>
      </c>
      <c r="H95" s="39">
        <f>E89-25</f>
        <v>455</v>
      </c>
      <c r="I95" s="39">
        <v>2</v>
      </c>
      <c r="J95" s="84" t="s">
        <v>85</v>
      </c>
      <c r="K95" s="17" t="s">
        <v>15</v>
      </c>
      <c r="L95" s="39"/>
      <c r="M95" s="39">
        <v>1</v>
      </c>
      <c r="N95" s="39">
        <v>1</v>
      </c>
      <c r="O95" s="39">
        <v>1</v>
      </c>
      <c r="P95" s="39">
        <v>1</v>
      </c>
      <c r="Q95" s="4"/>
      <c r="R95" s="6">
        <f t="shared" si="16"/>
        <v>20.573333333333334</v>
      </c>
      <c r="S95" s="6">
        <f t="shared" si="24"/>
        <v>20.573333333333334</v>
      </c>
      <c r="T95" s="6"/>
      <c r="U95" s="6"/>
      <c r="V95" s="6"/>
      <c r="W95" s="20" t="s">
        <v>81</v>
      </c>
      <c r="X95" s="20" t="str">
        <f t="shared" si="18"/>
        <v>HALL-VNTY-B11-Lshelf</v>
      </c>
      <c r="Y95" s="7">
        <f t="shared" si="19"/>
        <v>20.573333333333334</v>
      </c>
      <c r="AA95"/>
      <c r="AE95"/>
    </row>
    <row r="96" spans="1:31" ht="14.4" customHeight="1" x14ac:dyDescent="0.3">
      <c r="A96" s="4">
        <f t="shared" si="20"/>
        <v>93</v>
      </c>
      <c r="B96" s="4"/>
      <c r="C96" s="39"/>
      <c r="D96" s="39"/>
      <c r="E96" s="39"/>
      <c r="F96" s="17" t="s">
        <v>36</v>
      </c>
      <c r="G96" s="38">
        <f>C89-110-30</f>
        <v>690</v>
      </c>
      <c r="H96" s="39">
        <f>D89/4-2</f>
        <v>556</v>
      </c>
      <c r="I96" s="39">
        <v>4</v>
      </c>
      <c r="J96" s="61" t="s">
        <v>63</v>
      </c>
      <c r="K96" s="17" t="s">
        <v>15</v>
      </c>
      <c r="L96" s="17"/>
      <c r="M96" s="17">
        <v>3</v>
      </c>
      <c r="N96" s="17">
        <v>3</v>
      </c>
      <c r="O96" s="17">
        <v>3</v>
      </c>
      <c r="P96" s="17">
        <v>3</v>
      </c>
      <c r="Q96" s="17"/>
      <c r="R96" s="6">
        <f t="shared" si="16"/>
        <v>33.226666666666667</v>
      </c>
      <c r="S96" s="6"/>
      <c r="T96" s="6">
        <f t="shared" ref="T96:T98" si="25">R96</f>
        <v>33.226666666666667</v>
      </c>
      <c r="U96" s="6"/>
      <c r="V96" s="6"/>
      <c r="W96" s="20" t="s">
        <v>81</v>
      </c>
      <c r="X96" s="20" t="str">
        <f t="shared" si="18"/>
        <v>HALL-VNTY-B11-SHUTTER</v>
      </c>
      <c r="Y96" s="7">
        <f t="shared" si="19"/>
        <v>33.226666666666667</v>
      </c>
      <c r="AA96"/>
      <c r="AE96"/>
    </row>
    <row r="97" spans="1:31" ht="14.4" customHeight="1" x14ac:dyDescent="0.3">
      <c r="A97" s="4">
        <f t="shared" si="20"/>
        <v>94</v>
      </c>
      <c r="B97" s="4"/>
      <c r="C97" s="39"/>
      <c r="D97" s="39"/>
      <c r="E97" s="39"/>
      <c r="F97" s="17" t="s">
        <v>49</v>
      </c>
      <c r="G97" s="39">
        <v>2300</v>
      </c>
      <c r="H97" s="39">
        <f>110</f>
        <v>110</v>
      </c>
      <c r="I97" s="39">
        <v>1</v>
      </c>
      <c r="J97" s="61" t="s">
        <v>181</v>
      </c>
      <c r="K97" s="17" t="s">
        <v>15</v>
      </c>
      <c r="L97" s="17"/>
      <c r="M97" s="17">
        <v>3</v>
      </c>
      <c r="N97" s="17">
        <v>3</v>
      </c>
      <c r="O97" s="17">
        <v>3</v>
      </c>
      <c r="P97" s="17">
        <v>3</v>
      </c>
      <c r="Q97" s="17"/>
      <c r="R97" s="6">
        <f t="shared" si="16"/>
        <v>16.066666666666666</v>
      </c>
      <c r="S97" s="6"/>
      <c r="T97" s="6">
        <f t="shared" si="25"/>
        <v>16.066666666666666</v>
      </c>
      <c r="U97" s="6"/>
      <c r="V97" s="6"/>
      <c r="W97" s="20" t="s">
        <v>81</v>
      </c>
      <c r="X97" s="20" t="str">
        <f t="shared" si="18"/>
        <v>HALL-VNTY-B11-SKIRTING</v>
      </c>
      <c r="Y97" s="7">
        <f t="shared" si="19"/>
        <v>16.066666666666666</v>
      </c>
      <c r="AA97"/>
      <c r="AE97"/>
    </row>
    <row r="98" spans="1:31" ht="14.4" customHeight="1" x14ac:dyDescent="0.3">
      <c r="A98" s="4">
        <f t="shared" si="20"/>
        <v>95</v>
      </c>
      <c r="B98" s="4"/>
      <c r="C98" s="39"/>
      <c r="D98" s="39"/>
      <c r="E98" s="39"/>
      <c r="F98" s="17" t="s">
        <v>37</v>
      </c>
      <c r="G98" s="39">
        <f>830</f>
        <v>830</v>
      </c>
      <c r="H98" s="39">
        <v>100</v>
      </c>
      <c r="I98" s="39">
        <v>1</v>
      </c>
      <c r="J98" s="61" t="s">
        <v>181</v>
      </c>
      <c r="K98" s="17" t="s">
        <v>15</v>
      </c>
      <c r="L98" s="17"/>
      <c r="M98" s="17">
        <v>3</v>
      </c>
      <c r="N98" s="17">
        <v>3</v>
      </c>
      <c r="O98" s="17">
        <v>3</v>
      </c>
      <c r="P98" s="17">
        <v>3</v>
      </c>
      <c r="Q98" s="17"/>
      <c r="R98" s="6">
        <f t="shared" si="16"/>
        <v>6.2</v>
      </c>
      <c r="S98" s="6"/>
      <c r="T98" s="6">
        <f t="shared" si="25"/>
        <v>6.2</v>
      </c>
      <c r="U98" s="6"/>
      <c r="V98" s="6"/>
      <c r="W98" s="20" t="s">
        <v>81</v>
      </c>
      <c r="X98" s="20" t="str">
        <f t="shared" si="18"/>
        <v>HALL-VNTY-B11-FILLER</v>
      </c>
      <c r="Y98" s="7">
        <f t="shared" si="19"/>
        <v>6.2</v>
      </c>
      <c r="AA98"/>
      <c r="AE98"/>
    </row>
    <row r="99" spans="1:31" x14ac:dyDescent="0.3">
      <c r="A99" s="4">
        <f t="shared" si="20"/>
        <v>96</v>
      </c>
      <c r="B99" s="46" t="s">
        <v>82</v>
      </c>
      <c r="C99" s="23">
        <v>720</v>
      </c>
      <c r="D99" s="23">
        <v>760</v>
      </c>
      <c r="E99" s="23">
        <v>560</v>
      </c>
      <c r="F99" s="17" t="s">
        <v>28</v>
      </c>
      <c r="G99" s="39">
        <f>C99</f>
        <v>720</v>
      </c>
      <c r="H99" s="39">
        <f>E99</f>
        <v>560</v>
      </c>
      <c r="I99" s="39">
        <v>1</v>
      </c>
      <c r="J99" s="84" t="s">
        <v>85</v>
      </c>
      <c r="K99" s="17" t="s">
        <v>15</v>
      </c>
      <c r="L99" s="39"/>
      <c r="M99" s="39">
        <v>1</v>
      </c>
      <c r="N99" s="39">
        <v>1</v>
      </c>
      <c r="O99" s="39">
        <v>1</v>
      </c>
      <c r="P99" s="39">
        <v>1</v>
      </c>
      <c r="Q99" s="4"/>
      <c r="R99" s="6">
        <f t="shared" si="16"/>
        <v>8.5333333333333332</v>
      </c>
      <c r="S99" s="6">
        <f t="shared" ref="S99:S102" si="26">R99</f>
        <v>8.5333333333333332</v>
      </c>
      <c r="T99" s="6"/>
      <c r="U99" s="6"/>
      <c r="V99" s="6"/>
      <c r="W99" s="20" t="s">
        <v>82</v>
      </c>
      <c r="X99" s="20" t="str">
        <f t="shared" si="18"/>
        <v>KIT-B/U-B12-LHS</v>
      </c>
      <c r="Y99" s="7">
        <f t="shared" si="19"/>
        <v>8.5333333333333332</v>
      </c>
      <c r="AA99"/>
      <c r="AE99"/>
    </row>
    <row r="100" spans="1:31" x14ac:dyDescent="0.3">
      <c r="A100" s="4">
        <f t="shared" si="20"/>
        <v>97</v>
      </c>
      <c r="B100" s="49" t="s">
        <v>95</v>
      </c>
      <c r="C100" s="39"/>
      <c r="D100" s="39"/>
      <c r="E100" s="39"/>
      <c r="F100" s="17" t="s">
        <v>29</v>
      </c>
      <c r="G100" s="39">
        <f>G99</f>
        <v>720</v>
      </c>
      <c r="H100" s="39">
        <f>H99</f>
        <v>560</v>
      </c>
      <c r="I100" s="39">
        <v>1</v>
      </c>
      <c r="J100" s="84" t="s">
        <v>85</v>
      </c>
      <c r="K100" s="17" t="s">
        <v>15</v>
      </c>
      <c r="L100" s="39"/>
      <c r="M100" s="39">
        <v>1</v>
      </c>
      <c r="N100" s="39">
        <v>1</v>
      </c>
      <c r="O100" s="39">
        <v>1</v>
      </c>
      <c r="P100" s="39">
        <v>1</v>
      </c>
      <c r="Q100" s="4"/>
      <c r="R100" s="6">
        <f t="shared" si="16"/>
        <v>8.5333333333333332</v>
      </c>
      <c r="S100" s="6">
        <f t="shared" si="26"/>
        <v>8.5333333333333332</v>
      </c>
      <c r="T100" s="6"/>
      <c r="U100" s="6"/>
      <c r="V100" s="6"/>
      <c r="W100" s="20" t="s">
        <v>82</v>
      </c>
      <c r="X100" s="20" t="str">
        <f t="shared" si="18"/>
        <v>KIT-B/U-B12-RHS</v>
      </c>
      <c r="Y100" s="7">
        <f t="shared" si="19"/>
        <v>8.5333333333333332</v>
      </c>
      <c r="AA100"/>
      <c r="AE100"/>
    </row>
    <row r="101" spans="1:31" x14ac:dyDescent="0.3">
      <c r="A101" s="4">
        <f t="shared" si="20"/>
        <v>98</v>
      </c>
      <c r="B101" s="4"/>
      <c r="C101" s="103" t="s">
        <v>50</v>
      </c>
      <c r="D101" s="104"/>
      <c r="E101" s="105"/>
      <c r="F101" s="17" t="s">
        <v>30</v>
      </c>
      <c r="G101" s="39">
        <f>D99-36</f>
        <v>724</v>
      </c>
      <c r="H101" s="36">
        <f>E99-26</f>
        <v>534</v>
      </c>
      <c r="I101" s="39">
        <v>1</v>
      </c>
      <c r="J101" s="84" t="s">
        <v>85</v>
      </c>
      <c r="K101" s="17" t="s">
        <v>15</v>
      </c>
      <c r="L101" s="39"/>
      <c r="M101" s="39">
        <v>1</v>
      </c>
      <c r="N101" s="39">
        <v>1</v>
      </c>
      <c r="O101" s="39">
        <v>1</v>
      </c>
      <c r="P101" s="39">
        <v>1</v>
      </c>
      <c r="Q101" s="4"/>
      <c r="R101" s="6">
        <f t="shared" si="16"/>
        <v>8.3866666666666667</v>
      </c>
      <c r="S101" s="6">
        <f t="shared" si="26"/>
        <v>8.3866666666666667</v>
      </c>
      <c r="T101" s="6"/>
      <c r="U101" s="6"/>
      <c r="V101" s="6"/>
      <c r="W101" s="20" t="s">
        <v>82</v>
      </c>
      <c r="X101" s="20" t="str">
        <f t="shared" si="18"/>
        <v>KIT-B/U-B12-TOP</v>
      </c>
      <c r="Y101" s="7">
        <f t="shared" si="19"/>
        <v>8.3866666666666667</v>
      </c>
      <c r="AA101"/>
      <c r="AE101"/>
    </row>
    <row r="102" spans="1:31" x14ac:dyDescent="0.3">
      <c r="A102" s="4">
        <f t="shared" si="20"/>
        <v>99</v>
      </c>
      <c r="B102" s="4"/>
      <c r="C102" s="39" t="s">
        <v>25</v>
      </c>
      <c r="D102" s="39"/>
      <c r="E102" s="39"/>
      <c r="F102" s="17" t="s">
        <v>31</v>
      </c>
      <c r="G102" s="39">
        <f>G101</f>
        <v>724</v>
      </c>
      <c r="H102" s="39">
        <f>H100</f>
        <v>560</v>
      </c>
      <c r="I102" s="39">
        <v>1</v>
      </c>
      <c r="J102" s="84" t="s">
        <v>85</v>
      </c>
      <c r="K102" s="17" t="s">
        <v>15</v>
      </c>
      <c r="L102" s="39"/>
      <c r="M102" s="39">
        <v>1</v>
      </c>
      <c r="N102" s="39">
        <v>1</v>
      </c>
      <c r="O102" s="39">
        <v>1</v>
      </c>
      <c r="P102" s="39">
        <v>1</v>
      </c>
      <c r="Q102" s="4"/>
      <c r="R102" s="6">
        <f t="shared" si="16"/>
        <v>8.56</v>
      </c>
      <c r="S102" s="6">
        <f t="shared" si="26"/>
        <v>8.56</v>
      </c>
      <c r="T102" s="6"/>
      <c r="U102" s="6"/>
      <c r="V102" s="6"/>
      <c r="W102" s="20" t="s">
        <v>82</v>
      </c>
      <c r="X102" s="20" t="str">
        <f t="shared" si="18"/>
        <v>KIT-B/U-B12-BTM</v>
      </c>
      <c r="Y102" s="7">
        <f t="shared" si="19"/>
        <v>8.56</v>
      </c>
      <c r="AA102"/>
      <c r="AE102"/>
    </row>
    <row r="103" spans="1:31" x14ac:dyDescent="0.3">
      <c r="A103" s="4">
        <f t="shared" si="20"/>
        <v>100</v>
      </c>
      <c r="B103" s="4"/>
      <c r="C103" s="39"/>
      <c r="D103" s="39"/>
      <c r="E103" s="39"/>
      <c r="F103" s="17" t="s">
        <v>32</v>
      </c>
      <c r="G103" s="39">
        <f>C99-36+16</f>
        <v>700</v>
      </c>
      <c r="H103" s="39">
        <f>D99-36+16</f>
        <v>740</v>
      </c>
      <c r="I103" s="39">
        <v>1</v>
      </c>
      <c r="J103" s="84" t="s">
        <v>86</v>
      </c>
      <c r="K103" s="17" t="s">
        <v>15</v>
      </c>
      <c r="L103" s="17"/>
      <c r="M103" s="17"/>
      <c r="N103" s="17"/>
      <c r="O103" s="17"/>
      <c r="P103" s="17"/>
      <c r="Q103" s="4"/>
      <c r="R103" s="6">
        <f t="shared" si="16"/>
        <v>9.6</v>
      </c>
      <c r="S103" s="6"/>
      <c r="T103" s="6"/>
      <c r="U103" s="6"/>
      <c r="V103" s="6"/>
      <c r="W103" s="20" t="s">
        <v>82</v>
      </c>
      <c r="X103" s="20" t="str">
        <f t="shared" si="18"/>
        <v>KIT-B/U-B12-BACK UP</v>
      </c>
      <c r="Y103" s="7">
        <f t="shared" si="19"/>
        <v>9.6</v>
      </c>
      <c r="AA103"/>
      <c r="AE103"/>
    </row>
    <row r="104" spans="1:31" x14ac:dyDescent="0.3">
      <c r="A104" s="4">
        <f t="shared" si="20"/>
        <v>101</v>
      </c>
      <c r="B104" s="4"/>
      <c r="C104" s="17"/>
      <c r="D104" s="17"/>
      <c r="E104" s="17"/>
      <c r="F104" s="17" t="s">
        <v>83</v>
      </c>
      <c r="G104" s="39">
        <f>D99-36</f>
        <v>724</v>
      </c>
      <c r="H104" s="39">
        <f>520</f>
        <v>520</v>
      </c>
      <c r="I104" s="39">
        <v>2</v>
      </c>
      <c r="J104" s="84" t="s">
        <v>85</v>
      </c>
      <c r="K104" s="17" t="s">
        <v>15</v>
      </c>
      <c r="L104" s="39"/>
      <c r="M104" s="39">
        <v>1</v>
      </c>
      <c r="N104" s="39">
        <v>1</v>
      </c>
      <c r="O104" s="39">
        <v>1</v>
      </c>
      <c r="P104" s="39">
        <v>1</v>
      </c>
      <c r="Q104" s="4"/>
      <c r="R104" s="6">
        <f t="shared" si="16"/>
        <v>16.586666666666666</v>
      </c>
      <c r="S104" s="6">
        <f t="shared" ref="S104:S105" si="27">R104</f>
        <v>16.586666666666666</v>
      </c>
      <c r="T104" s="6"/>
      <c r="U104" s="6"/>
      <c r="V104" s="6"/>
      <c r="W104" s="20" t="s">
        <v>82</v>
      </c>
      <c r="X104" s="20" t="str">
        <f t="shared" si="18"/>
        <v>KIT-B/U-B12-TDM BTM</v>
      </c>
      <c r="Y104" s="7">
        <f t="shared" si="19"/>
        <v>16.586666666666666</v>
      </c>
      <c r="AA104"/>
      <c r="AE104"/>
    </row>
    <row r="105" spans="1:31" x14ac:dyDescent="0.3">
      <c r="A105" s="4">
        <f t="shared" si="20"/>
        <v>102</v>
      </c>
      <c r="B105" s="4"/>
      <c r="C105" s="17"/>
      <c r="D105" s="17"/>
      <c r="E105" s="17"/>
      <c r="F105" s="17" t="s">
        <v>84</v>
      </c>
      <c r="G105" s="39">
        <f>G104</f>
        <v>724</v>
      </c>
      <c r="H105" s="39">
        <v>200</v>
      </c>
      <c r="I105" s="39">
        <v>2</v>
      </c>
      <c r="J105" s="84" t="s">
        <v>85</v>
      </c>
      <c r="K105" s="17" t="s">
        <v>15</v>
      </c>
      <c r="L105" s="39"/>
      <c r="M105" s="39">
        <v>1</v>
      </c>
      <c r="N105" s="39">
        <v>1</v>
      </c>
      <c r="O105" s="39">
        <v>1</v>
      </c>
      <c r="P105" s="39">
        <v>1</v>
      </c>
      <c r="Q105" s="4"/>
      <c r="R105" s="6">
        <f t="shared" si="16"/>
        <v>12.32</v>
      </c>
      <c r="S105" s="6">
        <f t="shared" si="27"/>
        <v>12.32</v>
      </c>
      <c r="T105" s="6"/>
      <c r="U105" s="6"/>
      <c r="V105" s="6"/>
      <c r="W105" s="20" t="s">
        <v>82</v>
      </c>
      <c r="X105" s="20" t="str">
        <f t="shared" si="18"/>
        <v>KIT-B/U-B12-TDM BACK</v>
      </c>
      <c r="Y105" s="7">
        <f t="shared" si="19"/>
        <v>12.32</v>
      </c>
      <c r="AA105"/>
      <c r="AE105"/>
    </row>
    <row r="106" spans="1:31" x14ac:dyDescent="0.3">
      <c r="A106" s="4">
        <f t="shared" si="20"/>
        <v>103</v>
      </c>
      <c r="B106" s="4"/>
      <c r="C106" s="17"/>
      <c r="D106" s="17"/>
      <c r="E106" s="17"/>
      <c r="F106" s="17" t="s">
        <v>87</v>
      </c>
      <c r="G106" s="39">
        <f>C99/2-30-15</f>
        <v>315</v>
      </c>
      <c r="H106" s="39">
        <f>D99-2</f>
        <v>758</v>
      </c>
      <c r="I106" s="39">
        <v>1</v>
      </c>
      <c r="J106" s="82" t="s">
        <v>88</v>
      </c>
      <c r="K106" s="5" t="s">
        <v>15</v>
      </c>
      <c r="L106" s="4"/>
      <c r="M106" s="4">
        <v>3</v>
      </c>
      <c r="N106" s="4">
        <v>3</v>
      </c>
      <c r="O106" s="4">
        <v>3</v>
      </c>
      <c r="P106" s="4">
        <v>3</v>
      </c>
      <c r="Q106" s="17"/>
      <c r="R106" s="6">
        <f t="shared" si="16"/>
        <v>7.1533333333333333</v>
      </c>
      <c r="S106" s="6"/>
      <c r="T106" s="6">
        <f t="shared" ref="T106:T108" si="28">R106</f>
        <v>7.1533333333333333</v>
      </c>
      <c r="U106" s="6"/>
      <c r="V106" s="6"/>
      <c r="W106" s="20" t="s">
        <v>82</v>
      </c>
      <c r="X106" s="20" t="str">
        <f t="shared" si="18"/>
        <v>KIT-B/U-B12-FACIA</v>
      </c>
      <c r="Y106" s="7">
        <f t="shared" si="19"/>
        <v>7.1533333333333333</v>
      </c>
      <c r="AA106"/>
      <c r="AE106"/>
    </row>
    <row r="107" spans="1:31" x14ac:dyDescent="0.3">
      <c r="A107" s="4">
        <f t="shared" si="20"/>
        <v>104</v>
      </c>
      <c r="B107" s="4"/>
      <c r="C107" s="4"/>
      <c r="D107" s="4"/>
      <c r="E107" s="4"/>
      <c r="F107" s="17" t="s">
        <v>87</v>
      </c>
      <c r="G107" s="4">
        <f>C99/2-15</f>
        <v>345</v>
      </c>
      <c r="H107" s="39">
        <f>H106</f>
        <v>758</v>
      </c>
      <c r="I107" s="4">
        <v>1</v>
      </c>
      <c r="J107" s="82" t="s">
        <v>88</v>
      </c>
      <c r="K107" s="5" t="s">
        <v>15</v>
      </c>
      <c r="L107" s="4"/>
      <c r="M107" s="4">
        <v>3</v>
      </c>
      <c r="N107" s="4">
        <v>3</v>
      </c>
      <c r="O107" s="4">
        <v>3</v>
      </c>
      <c r="P107" s="4">
        <v>3</v>
      </c>
      <c r="Q107" s="4"/>
      <c r="R107" s="6">
        <f t="shared" si="16"/>
        <v>7.3533333333333335</v>
      </c>
      <c r="S107" s="6"/>
      <c r="T107" s="6">
        <f t="shared" si="28"/>
        <v>7.3533333333333335</v>
      </c>
      <c r="U107" s="6"/>
      <c r="V107" s="6"/>
      <c r="W107" s="20" t="s">
        <v>82</v>
      </c>
      <c r="X107" s="20" t="str">
        <f t="shared" si="18"/>
        <v>KIT-B/U-B12-FACIA</v>
      </c>
      <c r="Y107" s="7">
        <f t="shared" si="19"/>
        <v>7.3533333333333335</v>
      </c>
      <c r="AA107"/>
      <c r="AE107"/>
    </row>
    <row r="108" spans="1:31" x14ac:dyDescent="0.3">
      <c r="A108" s="4">
        <f t="shared" si="20"/>
        <v>105</v>
      </c>
      <c r="B108" s="4"/>
      <c r="C108" s="4"/>
      <c r="D108" s="4"/>
      <c r="E108" s="4"/>
      <c r="F108" s="17" t="s">
        <v>55</v>
      </c>
      <c r="G108" s="4">
        <f>C99+110</f>
        <v>830</v>
      </c>
      <c r="H108" s="39">
        <v>100</v>
      </c>
      <c r="I108" s="4">
        <v>1</v>
      </c>
      <c r="J108" s="82" t="s">
        <v>88</v>
      </c>
      <c r="K108" s="5" t="s">
        <v>15</v>
      </c>
      <c r="L108" s="4"/>
      <c r="M108" s="4">
        <v>3</v>
      </c>
      <c r="N108" s="4">
        <v>3</v>
      </c>
      <c r="O108" s="4">
        <v>3</v>
      </c>
      <c r="P108" s="4">
        <v>3</v>
      </c>
      <c r="Q108" s="4"/>
      <c r="R108" s="6">
        <f t="shared" si="16"/>
        <v>6.2</v>
      </c>
      <c r="S108" s="6"/>
      <c r="T108" s="6">
        <f t="shared" si="28"/>
        <v>6.2</v>
      </c>
      <c r="U108" s="6"/>
      <c r="V108" s="6"/>
      <c r="W108" s="20" t="s">
        <v>82</v>
      </c>
      <c r="X108" s="20" t="str">
        <f t="shared" si="18"/>
        <v>KIT-B/U-B12-FILLERS</v>
      </c>
      <c r="Y108" s="7">
        <f t="shared" si="19"/>
        <v>6.2</v>
      </c>
      <c r="AA108"/>
      <c r="AE108"/>
    </row>
    <row r="109" spans="1:31" x14ac:dyDescent="0.3">
      <c r="A109" s="4">
        <f t="shared" si="20"/>
        <v>106</v>
      </c>
      <c r="B109" s="46" t="s">
        <v>90</v>
      </c>
      <c r="C109" s="23">
        <v>720</v>
      </c>
      <c r="D109" s="23">
        <v>900</v>
      </c>
      <c r="E109" s="23">
        <v>560</v>
      </c>
      <c r="F109" s="17" t="s">
        <v>28</v>
      </c>
      <c r="G109" s="39">
        <f>C109</f>
        <v>720</v>
      </c>
      <c r="H109" s="39">
        <f>E109</f>
        <v>560</v>
      </c>
      <c r="I109" s="39">
        <v>1</v>
      </c>
      <c r="J109" s="84" t="s">
        <v>85</v>
      </c>
      <c r="K109" s="17" t="s">
        <v>15</v>
      </c>
      <c r="L109" s="39"/>
      <c r="M109" s="39">
        <v>1</v>
      </c>
      <c r="N109" s="39">
        <v>1</v>
      </c>
      <c r="O109" s="39">
        <v>1</v>
      </c>
      <c r="P109" s="39">
        <v>1</v>
      </c>
      <c r="Q109" s="4"/>
      <c r="R109" s="6">
        <f t="shared" si="16"/>
        <v>8.5333333333333332</v>
      </c>
      <c r="S109" s="6">
        <f t="shared" ref="S109:S112" si="29">R109</f>
        <v>8.5333333333333332</v>
      </c>
      <c r="T109" s="6"/>
      <c r="U109" s="6"/>
      <c r="V109" s="6"/>
      <c r="W109" s="20" t="s">
        <v>90</v>
      </c>
      <c r="X109" s="20" t="str">
        <f t="shared" si="18"/>
        <v>KIT-B/U-B13-LHS</v>
      </c>
      <c r="Y109" s="7">
        <f t="shared" si="19"/>
        <v>8.5333333333333332</v>
      </c>
      <c r="AA109"/>
      <c r="AE109"/>
    </row>
    <row r="110" spans="1:31" x14ac:dyDescent="0.3">
      <c r="A110" s="4">
        <f t="shared" si="20"/>
        <v>107</v>
      </c>
      <c r="B110" s="49" t="s">
        <v>94</v>
      </c>
      <c r="C110" s="39"/>
      <c r="D110" s="39"/>
      <c r="E110" s="39"/>
      <c r="F110" s="17" t="s">
        <v>29</v>
      </c>
      <c r="G110" s="39">
        <f>G109</f>
        <v>720</v>
      </c>
      <c r="H110" s="39">
        <f>H109</f>
        <v>560</v>
      </c>
      <c r="I110" s="39">
        <v>1</v>
      </c>
      <c r="J110" s="84" t="s">
        <v>85</v>
      </c>
      <c r="K110" s="17" t="s">
        <v>15</v>
      </c>
      <c r="L110" s="39"/>
      <c r="M110" s="39">
        <v>1</v>
      </c>
      <c r="N110" s="39">
        <v>1</v>
      </c>
      <c r="O110" s="39">
        <v>1</v>
      </c>
      <c r="P110" s="39">
        <v>1</v>
      </c>
      <c r="Q110" s="4"/>
      <c r="R110" s="6">
        <f t="shared" si="16"/>
        <v>8.5333333333333332</v>
      </c>
      <c r="S110" s="6">
        <f t="shared" si="29"/>
        <v>8.5333333333333332</v>
      </c>
      <c r="T110" s="6"/>
      <c r="U110" s="6"/>
      <c r="V110" s="6"/>
      <c r="W110" s="20" t="s">
        <v>90</v>
      </c>
      <c r="X110" s="20" t="str">
        <f t="shared" si="18"/>
        <v>KIT-B/U-B13-RHS</v>
      </c>
      <c r="Y110" s="7">
        <f t="shared" si="19"/>
        <v>8.5333333333333332</v>
      </c>
      <c r="AA110"/>
      <c r="AE110"/>
    </row>
    <row r="111" spans="1:31" x14ac:dyDescent="0.3">
      <c r="A111" s="4">
        <f t="shared" si="20"/>
        <v>108</v>
      </c>
      <c r="B111" s="4"/>
      <c r="C111" s="103" t="s">
        <v>50</v>
      </c>
      <c r="D111" s="104"/>
      <c r="E111" s="105"/>
      <c r="F111" s="17" t="s">
        <v>30</v>
      </c>
      <c r="G111" s="39">
        <f>D109-36</f>
        <v>864</v>
      </c>
      <c r="H111" s="36">
        <f>E109-26</f>
        <v>534</v>
      </c>
      <c r="I111" s="39">
        <v>1</v>
      </c>
      <c r="J111" s="84" t="s">
        <v>85</v>
      </c>
      <c r="K111" s="17" t="s">
        <v>15</v>
      </c>
      <c r="L111" s="39"/>
      <c r="M111" s="39">
        <v>1</v>
      </c>
      <c r="N111" s="39">
        <v>1</v>
      </c>
      <c r="O111" s="39">
        <v>1</v>
      </c>
      <c r="P111" s="39">
        <v>1</v>
      </c>
      <c r="Q111" s="4"/>
      <c r="R111" s="6">
        <f t="shared" si="16"/>
        <v>9.32</v>
      </c>
      <c r="S111" s="6">
        <f t="shared" si="29"/>
        <v>9.32</v>
      </c>
      <c r="T111" s="6"/>
      <c r="U111" s="6"/>
      <c r="V111" s="6"/>
      <c r="W111" s="20" t="s">
        <v>90</v>
      </c>
      <c r="X111" s="20" t="str">
        <f t="shared" si="18"/>
        <v>KIT-B/U-B13-TOP</v>
      </c>
      <c r="Y111" s="7">
        <f t="shared" si="19"/>
        <v>9.32</v>
      </c>
      <c r="AA111"/>
      <c r="AE111"/>
    </row>
    <row r="112" spans="1:31" x14ac:dyDescent="0.3">
      <c r="A112" s="4">
        <f t="shared" si="20"/>
        <v>109</v>
      </c>
      <c r="B112" s="4"/>
      <c r="C112" s="39" t="s">
        <v>25</v>
      </c>
      <c r="D112" s="39"/>
      <c r="E112" s="39"/>
      <c r="F112" s="17" t="s">
        <v>31</v>
      </c>
      <c r="G112" s="39">
        <f>G111</f>
        <v>864</v>
      </c>
      <c r="H112" s="39">
        <f>H110</f>
        <v>560</v>
      </c>
      <c r="I112" s="39">
        <v>1</v>
      </c>
      <c r="J112" s="84" t="s">
        <v>85</v>
      </c>
      <c r="K112" s="17" t="s">
        <v>15</v>
      </c>
      <c r="L112" s="39"/>
      <c r="M112" s="39">
        <v>1</v>
      </c>
      <c r="N112" s="39">
        <v>1</v>
      </c>
      <c r="O112" s="39">
        <v>1</v>
      </c>
      <c r="P112" s="39">
        <v>1</v>
      </c>
      <c r="Q112" s="4"/>
      <c r="R112" s="6">
        <f t="shared" si="16"/>
        <v>9.4933333333333341</v>
      </c>
      <c r="S112" s="6">
        <f t="shared" si="29"/>
        <v>9.4933333333333341</v>
      </c>
      <c r="T112" s="6"/>
      <c r="U112" s="6"/>
      <c r="V112" s="6"/>
      <c r="W112" s="20" t="s">
        <v>90</v>
      </c>
      <c r="X112" s="20" t="str">
        <f t="shared" si="18"/>
        <v>KIT-B/U-B13-BTM</v>
      </c>
      <c r="Y112" s="7">
        <f t="shared" si="19"/>
        <v>9.4933333333333341</v>
      </c>
      <c r="AA112"/>
      <c r="AE112"/>
    </row>
    <row r="113" spans="1:31" x14ac:dyDescent="0.3">
      <c r="A113" s="4">
        <f t="shared" si="20"/>
        <v>110</v>
      </c>
      <c r="B113" s="4"/>
      <c r="C113" s="39"/>
      <c r="D113" s="39"/>
      <c r="E113" s="39"/>
      <c r="F113" s="17" t="s">
        <v>32</v>
      </c>
      <c r="G113" s="39">
        <f>C109-36+16</f>
        <v>700</v>
      </c>
      <c r="H113" s="39">
        <f>D109-36+16</f>
        <v>880</v>
      </c>
      <c r="I113" s="39">
        <v>1</v>
      </c>
      <c r="J113" s="84" t="s">
        <v>86</v>
      </c>
      <c r="K113" s="17" t="s">
        <v>15</v>
      </c>
      <c r="L113" s="17"/>
      <c r="M113" s="17"/>
      <c r="N113" s="17"/>
      <c r="O113" s="17"/>
      <c r="P113" s="17"/>
      <c r="Q113" s="4"/>
      <c r="R113" s="6">
        <f t="shared" si="16"/>
        <v>10.533333333333333</v>
      </c>
      <c r="S113" s="6"/>
      <c r="T113" s="6"/>
      <c r="U113" s="6"/>
      <c r="V113" s="6"/>
      <c r="W113" s="20" t="s">
        <v>90</v>
      </c>
      <c r="X113" s="20" t="str">
        <f t="shared" si="18"/>
        <v>KIT-B/U-B13-BACK UP</v>
      </c>
      <c r="Y113" s="7">
        <f t="shared" si="19"/>
        <v>10.533333333333333</v>
      </c>
      <c r="AA113"/>
      <c r="AE113"/>
    </row>
    <row r="114" spans="1:31" x14ac:dyDescent="0.3">
      <c r="A114" s="4">
        <f t="shared" si="20"/>
        <v>111</v>
      </c>
      <c r="B114" s="4"/>
      <c r="C114" s="17"/>
      <c r="D114" s="17"/>
      <c r="E114" s="17"/>
      <c r="F114" s="17" t="s">
        <v>83</v>
      </c>
      <c r="G114" s="39">
        <f>D109-36</f>
        <v>864</v>
      </c>
      <c r="H114" s="39">
        <f>520</f>
        <v>520</v>
      </c>
      <c r="I114" s="39">
        <v>3</v>
      </c>
      <c r="J114" s="84" t="s">
        <v>85</v>
      </c>
      <c r="K114" s="17" t="s">
        <v>15</v>
      </c>
      <c r="L114" s="39"/>
      <c r="M114" s="39">
        <v>1</v>
      </c>
      <c r="N114" s="39">
        <v>1</v>
      </c>
      <c r="O114" s="39">
        <v>1</v>
      </c>
      <c r="P114" s="39">
        <v>1</v>
      </c>
      <c r="Q114" s="4"/>
      <c r="R114" s="6">
        <f t="shared" si="16"/>
        <v>27.68</v>
      </c>
      <c r="S114" s="6">
        <f t="shared" ref="S114:S115" si="30">R114</f>
        <v>27.68</v>
      </c>
      <c r="T114" s="6"/>
      <c r="U114" s="6"/>
      <c r="V114" s="6"/>
      <c r="W114" s="20" t="s">
        <v>90</v>
      </c>
      <c r="X114" s="20" t="str">
        <f t="shared" si="18"/>
        <v>KIT-B/U-B13-TDM BTM</v>
      </c>
      <c r="Y114" s="7">
        <f t="shared" si="19"/>
        <v>27.68</v>
      </c>
      <c r="AA114"/>
      <c r="AE114"/>
    </row>
    <row r="115" spans="1:31" x14ac:dyDescent="0.3">
      <c r="A115" s="4">
        <f t="shared" si="20"/>
        <v>112</v>
      </c>
      <c r="B115" s="4"/>
      <c r="C115" s="17"/>
      <c r="D115" s="17"/>
      <c r="E115" s="17"/>
      <c r="F115" s="17" t="s">
        <v>84</v>
      </c>
      <c r="G115" s="39">
        <f>G114</f>
        <v>864</v>
      </c>
      <c r="H115" s="39">
        <v>200</v>
      </c>
      <c r="I115" s="39">
        <v>3</v>
      </c>
      <c r="J115" s="84" t="s">
        <v>85</v>
      </c>
      <c r="K115" s="17" t="s">
        <v>15</v>
      </c>
      <c r="L115" s="39"/>
      <c r="M115" s="39">
        <v>1</v>
      </c>
      <c r="N115" s="39">
        <v>1</v>
      </c>
      <c r="O115" s="39">
        <v>1</v>
      </c>
      <c r="P115" s="39">
        <v>1</v>
      </c>
      <c r="Q115" s="4"/>
      <c r="R115" s="6">
        <f t="shared" si="16"/>
        <v>21.28</v>
      </c>
      <c r="S115" s="6">
        <f t="shared" si="30"/>
        <v>21.28</v>
      </c>
      <c r="T115" s="6"/>
      <c r="U115" s="6"/>
      <c r="V115" s="6"/>
      <c r="W115" s="20" t="s">
        <v>90</v>
      </c>
      <c r="X115" s="20" t="str">
        <f t="shared" si="18"/>
        <v>KIT-B/U-B13-TDM BACK</v>
      </c>
      <c r="Y115" s="7">
        <f t="shared" si="19"/>
        <v>21.28</v>
      </c>
      <c r="AA115"/>
      <c r="AE115"/>
    </row>
    <row r="116" spans="1:31" x14ac:dyDescent="0.3">
      <c r="A116" s="4">
        <f t="shared" si="20"/>
        <v>113</v>
      </c>
      <c r="B116" s="4"/>
      <c r="C116" s="17"/>
      <c r="D116" s="17"/>
      <c r="E116" s="17"/>
      <c r="F116" s="17" t="s">
        <v>87</v>
      </c>
      <c r="G116" s="38">
        <f>C109/4-30</f>
        <v>150</v>
      </c>
      <c r="H116" s="39">
        <f>D109-2</f>
        <v>898</v>
      </c>
      <c r="I116" s="39">
        <v>1</v>
      </c>
      <c r="J116" s="82" t="s">
        <v>88</v>
      </c>
      <c r="K116" s="5" t="s">
        <v>15</v>
      </c>
      <c r="L116" s="4"/>
      <c r="M116" s="4">
        <v>3</v>
      </c>
      <c r="N116" s="4">
        <v>3</v>
      </c>
      <c r="O116" s="4">
        <v>3</v>
      </c>
      <c r="P116" s="4">
        <v>3</v>
      </c>
      <c r="Q116" s="4"/>
      <c r="R116" s="6">
        <f t="shared" si="16"/>
        <v>6.9866666666666664</v>
      </c>
      <c r="S116" s="6"/>
      <c r="T116" s="6">
        <f t="shared" ref="T116:T118" si="31">R116</f>
        <v>6.9866666666666664</v>
      </c>
      <c r="U116" s="6"/>
      <c r="V116" s="6"/>
      <c r="W116" s="20" t="s">
        <v>90</v>
      </c>
      <c r="X116" s="20" t="str">
        <f t="shared" si="18"/>
        <v>KIT-B/U-B13-FACIA</v>
      </c>
      <c r="Y116" s="7">
        <f t="shared" si="19"/>
        <v>6.9866666666666664</v>
      </c>
      <c r="AA116"/>
      <c r="AE116"/>
    </row>
    <row r="117" spans="1:31" x14ac:dyDescent="0.3">
      <c r="A117" s="4">
        <f t="shared" si="20"/>
        <v>114</v>
      </c>
      <c r="B117" s="4"/>
      <c r="C117" s="17"/>
      <c r="D117" s="17"/>
      <c r="E117" s="17"/>
      <c r="F117" s="17" t="s">
        <v>87</v>
      </c>
      <c r="G117" s="38">
        <f>C109/4-15</f>
        <v>165</v>
      </c>
      <c r="H117" s="39">
        <f>H116</f>
        <v>898</v>
      </c>
      <c r="I117" s="39">
        <v>1</v>
      </c>
      <c r="J117" s="82" t="s">
        <v>88</v>
      </c>
      <c r="K117" s="5" t="s">
        <v>15</v>
      </c>
      <c r="L117" s="4"/>
      <c r="M117" s="4">
        <v>3</v>
      </c>
      <c r="N117" s="4">
        <v>3</v>
      </c>
      <c r="O117" s="4">
        <v>3</v>
      </c>
      <c r="P117" s="4">
        <v>3</v>
      </c>
      <c r="Q117" s="4"/>
      <c r="R117" s="6">
        <f t="shared" si="16"/>
        <v>7.0866666666666669</v>
      </c>
      <c r="S117" s="6"/>
      <c r="T117" s="6">
        <f t="shared" si="31"/>
        <v>7.0866666666666669</v>
      </c>
      <c r="U117" s="6"/>
      <c r="V117" s="6"/>
      <c r="W117" s="20" t="s">
        <v>90</v>
      </c>
      <c r="X117" s="20" t="str">
        <f t="shared" si="18"/>
        <v>KIT-B/U-B13-FACIA</v>
      </c>
      <c r="Y117" s="7">
        <f t="shared" si="19"/>
        <v>7.0866666666666669</v>
      </c>
      <c r="AA117"/>
      <c r="AE117"/>
    </row>
    <row r="118" spans="1:31" x14ac:dyDescent="0.3">
      <c r="A118" s="4">
        <f t="shared" si="20"/>
        <v>115</v>
      </c>
      <c r="B118" s="4"/>
      <c r="C118" s="4"/>
      <c r="D118" s="4"/>
      <c r="E118" s="4"/>
      <c r="F118" s="17" t="s">
        <v>87</v>
      </c>
      <c r="G118" s="48">
        <f>C109/2-15</f>
        <v>345</v>
      </c>
      <c r="H118" s="39">
        <f>H116</f>
        <v>898</v>
      </c>
      <c r="I118" s="4">
        <v>1</v>
      </c>
      <c r="J118" s="82" t="s">
        <v>88</v>
      </c>
      <c r="K118" s="5" t="s">
        <v>15</v>
      </c>
      <c r="L118" s="4"/>
      <c r="M118" s="4">
        <v>3</v>
      </c>
      <c r="N118" s="4">
        <v>3</v>
      </c>
      <c r="O118" s="4">
        <v>3</v>
      </c>
      <c r="P118" s="4">
        <v>3</v>
      </c>
      <c r="Q118" s="4"/>
      <c r="R118" s="6">
        <f t="shared" si="16"/>
        <v>8.2866666666666671</v>
      </c>
      <c r="S118" s="6"/>
      <c r="T118" s="6">
        <f t="shared" si="31"/>
        <v>8.2866666666666671</v>
      </c>
      <c r="U118" s="6"/>
      <c r="V118" s="6"/>
      <c r="W118" s="20" t="s">
        <v>90</v>
      </c>
      <c r="X118" s="20" t="str">
        <f t="shared" si="18"/>
        <v>KIT-B/U-B13-FACIA</v>
      </c>
      <c r="Y118" s="7">
        <f t="shared" si="19"/>
        <v>8.2866666666666671</v>
      </c>
      <c r="AA118"/>
      <c r="AE118"/>
    </row>
    <row r="119" spans="1:31" x14ac:dyDescent="0.3">
      <c r="A119" s="4">
        <f t="shared" si="20"/>
        <v>116</v>
      </c>
      <c r="B119" s="46" t="s">
        <v>91</v>
      </c>
      <c r="C119" s="23">
        <v>720</v>
      </c>
      <c r="D119" s="23">
        <v>280</v>
      </c>
      <c r="E119" s="23">
        <v>560</v>
      </c>
      <c r="F119" s="17" t="s">
        <v>28</v>
      </c>
      <c r="G119" s="39">
        <f>C119</f>
        <v>720</v>
      </c>
      <c r="H119" s="39">
        <f>E119</f>
        <v>560</v>
      </c>
      <c r="I119" s="39">
        <v>1</v>
      </c>
      <c r="J119" s="84" t="s">
        <v>85</v>
      </c>
      <c r="K119" s="17" t="s">
        <v>15</v>
      </c>
      <c r="L119" s="39"/>
      <c r="M119" s="39">
        <v>1</v>
      </c>
      <c r="N119" s="39">
        <v>1</v>
      </c>
      <c r="O119" s="39">
        <v>1</v>
      </c>
      <c r="P119" s="39">
        <v>1</v>
      </c>
      <c r="Q119" s="4"/>
      <c r="R119" s="6">
        <f t="shared" si="16"/>
        <v>8.5333333333333332</v>
      </c>
      <c r="S119" s="6">
        <f t="shared" ref="S119:S122" si="32">R119</f>
        <v>8.5333333333333332</v>
      </c>
      <c r="T119" s="6"/>
      <c r="U119" s="6"/>
      <c r="V119" s="6"/>
      <c r="W119" s="20" t="s">
        <v>91</v>
      </c>
      <c r="X119" s="20" t="str">
        <f t="shared" si="18"/>
        <v>KIT-B/U-B14-LHS</v>
      </c>
      <c r="Y119" s="7">
        <f t="shared" si="19"/>
        <v>8.5333333333333332</v>
      </c>
      <c r="AA119"/>
      <c r="AE119"/>
    </row>
    <row r="120" spans="1:31" x14ac:dyDescent="0.3">
      <c r="A120" s="4">
        <f t="shared" si="20"/>
        <v>117</v>
      </c>
      <c r="B120" s="49" t="s">
        <v>89</v>
      </c>
      <c r="C120" s="39"/>
      <c r="D120" s="39"/>
      <c r="E120" s="39"/>
      <c r="F120" s="17" t="s">
        <v>29</v>
      </c>
      <c r="G120" s="39">
        <f>G119</f>
        <v>720</v>
      </c>
      <c r="H120" s="39">
        <f>H119</f>
        <v>560</v>
      </c>
      <c r="I120" s="39">
        <v>1</v>
      </c>
      <c r="J120" s="84" t="s">
        <v>85</v>
      </c>
      <c r="K120" s="17" t="s">
        <v>15</v>
      </c>
      <c r="L120" s="39"/>
      <c r="M120" s="39">
        <v>1</v>
      </c>
      <c r="N120" s="39">
        <v>1</v>
      </c>
      <c r="O120" s="39">
        <v>1</v>
      </c>
      <c r="P120" s="39">
        <v>1</v>
      </c>
      <c r="Q120" s="4"/>
      <c r="R120" s="6">
        <f t="shared" si="16"/>
        <v>8.5333333333333332</v>
      </c>
      <c r="S120" s="6">
        <f t="shared" si="32"/>
        <v>8.5333333333333332</v>
      </c>
      <c r="T120" s="6"/>
      <c r="U120" s="6"/>
      <c r="V120" s="6"/>
      <c r="W120" s="20" t="s">
        <v>91</v>
      </c>
      <c r="X120" s="20" t="str">
        <f t="shared" si="18"/>
        <v>KIT-B/U-B14-RHS</v>
      </c>
      <c r="Y120" s="7">
        <f t="shared" si="19"/>
        <v>8.5333333333333332</v>
      </c>
      <c r="AA120"/>
      <c r="AE120"/>
    </row>
    <row r="121" spans="1:31" x14ac:dyDescent="0.3">
      <c r="A121" s="4">
        <f t="shared" si="20"/>
        <v>118</v>
      </c>
      <c r="B121" s="4"/>
      <c r="C121" s="103" t="s">
        <v>50</v>
      </c>
      <c r="D121" s="104"/>
      <c r="E121" s="105"/>
      <c r="F121" s="17" t="s">
        <v>30</v>
      </c>
      <c r="G121" s="39">
        <f>D119-36</f>
        <v>244</v>
      </c>
      <c r="H121" s="36">
        <f>E119-26</f>
        <v>534</v>
      </c>
      <c r="I121" s="39">
        <v>1</v>
      </c>
      <c r="J121" s="84" t="s">
        <v>85</v>
      </c>
      <c r="K121" s="17" t="s">
        <v>15</v>
      </c>
      <c r="L121" s="39"/>
      <c r="M121" s="39">
        <v>1</v>
      </c>
      <c r="N121" s="39">
        <v>1</v>
      </c>
      <c r="O121" s="39">
        <v>1</v>
      </c>
      <c r="P121" s="39">
        <v>1</v>
      </c>
      <c r="Q121" s="4"/>
      <c r="R121" s="6">
        <f t="shared" si="16"/>
        <v>5.1866666666666665</v>
      </c>
      <c r="S121" s="6">
        <f t="shared" si="32"/>
        <v>5.1866666666666665</v>
      </c>
      <c r="T121" s="6"/>
      <c r="U121" s="6"/>
      <c r="V121" s="6"/>
      <c r="W121" s="20" t="s">
        <v>91</v>
      </c>
      <c r="X121" s="20" t="str">
        <f t="shared" si="18"/>
        <v>KIT-B/U-B14-TOP</v>
      </c>
      <c r="Y121" s="7">
        <f t="shared" si="19"/>
        <v>5.1866666666666665</v>
      </c>
      <c r="AA121"/>
      <c r="AE121"/>
    </row>
    <row r="122" spans="1:31" x14ac:dyDescent="0.3">
      <c r="A122" s="4">
        <f t="shared" si="20"/>
        <v>119</v>
      </c>
      <c r="B122" s="4"/>
      <c r="C122" s="39" t="s">
        <v>25</v>
      </c>
      <c r="D122" s="39"/>
      <c r="E122" s="39"/>
      <c r="F122" s="17" t="s">
        <v>31</v>
      </c>
      <c r="G122" s="39">
        <f>G121</f>
        <v>244</v>
      </c>
      <c r="H122" s="39">
        <f>H120</f>
        <v>560</v>
      </c>
      <c r="I122" s="39">
        <v>1</v>
      </c>
      <c r="J122" s="84" t="s">
        <v>85</v>
      </c>
      <c r="K122" s="17" t="s">
        <v>15</v>
      </c>
      <c r="L122" s="39"/>
      <c r="M122" s="39">
        <v>1</v>
      </c>
      <c r="N122" s="39">
        <v>1</v>
      </c>
      <c r="O122" s="39">
        <v>1</v>
      </c>
      <c r="P122" s="39">
        <v>1</v>
      </c>
      <c r="Q122" s="4"/>
      <c r="R122" s="6">
        <f t="shared" si="16"/>
        <v>5.36</v>
      </c>
      <c r="S122" s="6">
        <f t="shared" si="32"/>
        <v>5.36</v>
      </c>
      <c r="T122" s="6"/>
      <c r="U122" s="6"/>
      <c r="V122" s="6"/>
      <c r="W122" s="20" t="s">
        <v>91</v>
      </c>
      <c r="X122" s="20" t="str">
        <f t="shared" si="18"/>
        <v>KIT-B/U-B14-BTM</v>
      </c>
      <c r="Y122" s="7">
        <f t="shared" si="19"/>
        <v>5.36</v>
      </c>
      <c r="AA122"/>
      <c r="AE122"/>
    </row>
    <row r="123" spans="1:31" x14ac:dyDescent="0.3">
      <c r="A123" s="4">
        <f t="shared" si="20"/>
        <v>120</v>
      </c>
      <c r="B123" s="4"/>
      <c r="C123" s="39"/>
      <c r="D123" s="39"/>
      <c r="E123" s="39"/>
      <c r="F123" s="17" t="s">
        <v>32</v>
      </c>
      <c r="G123" s="39">
        <f>C119-36+16</f>
        <v>700</v>
      </c>
      <c r="H123" s="39">
        <f>D119-36+16</f>
        <v>260</v>
      </c>
      <c r="I123" s="39">
        <v>1</v>
      </c>
      <c r="J123" s="84" t="s">
        <v>86</v>
      </c>
      <c r="K123" s="17" t="s">
        <v>15</v>
      </c>
      <c r="L123" s="17"/>
      <c r="M123" s="17"/>
      <c r="N123" s="17"/>
      <c r="O123" s="17"/>
      <c r="P123" s="17"/>
      <c r="Q123" s="4"/>
      <c r="R123" s="6">
        <f t="shared" si="16"/>
        <v>6.4</v>
      </c>
      <c r="S123" s="6"/>
      <c r="T123" s="6"/>
      <c r="U123" s="6"/>
      <c r="V123" s="6"/>
      <c r="W123" s="20" t="s">
        <v>91</v>
      </c>
      <c r="X123" s="20" t="str">
        <f t="shared" si="18"/>
        <v>KIT-B/U-B14-BACK UP</v>
      </c>
      <c r="Y123" s="7">
        <f t="shared" si="19"/>
        <v>6.4</v>
      </c>
      <c r="AA123"/>
      <c r="AE123"/>
    </row>
    <row r="124" spans="1:31" x14ac:dyDescent="0.3">
      <c r="A124" s="4">
        <f t="shared" si="20"/>
        <v>121</v>
      </c>
      <c r="B124" s="4"/>
      <c r="C124" s="17"/>
      <c r="D124" s="17"/>
      <c r="E124" s="17"/>
      <c r="F124" s="17" t="s">
        <v>87</v>
      </c>
      <c r="G124" s="38">
        <f>C119-30</f>
        <v>690</v>
      </c>
      <c r="H124" s="39">
        <f>D119-2</f>
        <v>278</v>
      </c>
      <c r="I124" s="39">
        <v>1</v>
      </c>
      <c r="J124" s="82" t="s">
        <v>88</v>
      </c>
      <c r="K124" s="5" t="s">
        <v>15</v>
      </c>
      <c r="L124" s="4"/>
      <c r="M124" s="4">
        <v>3</v>
      </c>
      <c r="N124" s="4">
        <v>3</v>
      </c>
      <c r="O124" s="4">
        <v>3</v>
      </c>
      <c r="P124" s="4">
        <v>3</v>
      </c>
      <c r="Q124" s="4"/>
      <c r="R124" s="6">
        <f t="shared" si="16"/>
        <v>6.4533333333333331</v>
      </c>
      <c r="S124" s="6"/>
      <c r="T124" s="6">
        <f>R124</f>
        <v>6.4533333333333331</v>
      </c>
      <c r="U124" s="6"/>
      <c r="V124" s="6"/>
      <c r="W124" s="20" t="s">
        <v>91</v>
      </c>
      <c r="X124" s="20" t="str">
        <f t="shared" si="18"/>
        <v>KIT-B/U-B14-FACIA</v>
      </c>
      <c r="Y124" s="7">
        <f t="shared" si="19"/>
        <v>6.4533333333333331</v>
      </c>
      <c r="AA124"/>
      <c r="AE124"/>
    </row>
    <row r="125" spans="1:31" x14ac:dyDescent="0.3">
      <c r="A125" s="4">
        <f t="shared" si="20"/>
        <v>122</v>
      </c>
      <c r="B125" s="46" t="s">
        <v>92</v>
      </c>
      <c r="C125" s="23">
        <v>720</v>
      </c>
      <c r="D125" s="23">
        <f>580+588</f>
        <v>1168</v>
      </c>
      <c r="E125" s="23">
        <v>560</v>
      </c>
      <c r="F125" s="17" t="s">
        <v>28</v>
      </c>
      <c r="G125" s="39">
        <f>C125</f>
        <v>720</v>
      </c>
      <c r="H125" s="39">
        <f>E125</f>
        <v>560</v>
      </c>
      <c r="I125" s="39">
        <v>1</v>
      </c>
      <c r="J125" s="84" t="s">
        <v>85</v>
      </c>
      <c r="K125" s="17" t="s">
        <v>15</v>
      </c>
      <c r="L125" s="39"/>
      <c r="M125" s="39">
        <v>1</v>
      </c>
      <c r="N125" s="39">
        <v>1</v>
      </c>
      <c r="O125" s="39">
        <v>1</v>
      </c>
      <c r="P125" s="39">
        <v>1</v>
      </c>
      <c r="Q125" s="4"/>
      <c r="R125" s="6">
        <f t="shared" si="16"/>
        <v>8.5333333333333332</v>
      </c>
      <c r="S125" s="6">
        <f t="shared" ref="S125:S128" si="33">R125</f>
        <v>8.5333333333333332</v>
      </c>
      <c r="T125" s="6"/>
      <c r="U125" s="6"/>
      <c r="V125" s="6"/>
      <c r="W125" s="20" t="s">
        <v>92</v>
      </c>
      <c r="X125" s="20" t="str">
        <f t="shared" si="18"/>
        <v>KIT-B/U-B15-LHS</v>
      </c>
      <c r="Y125" s="7">
        <f t="shared" si="19"/>
        <v>8.5333333333333332</v>
      </c>
      <c r="AA125"/>
      <c r="AE125"/>
    </row>
    <row r="126" spans="1:31" x14ac:dyDescent="0.3">
      <c r="A126" s="4">
        <f t="shared" si="20"/>
        <v>123</v>
      </c>
      <c r="B126" s="49" t="s">
        <v>93</v>
      </c>
      <c r="C126" s="39"/>
      <c r="D126" s="39"/>
      <c r="E126" s="39"/>
      <c r="F126" s="17" t="s">
        <v>29</v>
      </c>
      <c r="G126" s="39">
        <f>G125</f>
        <v>720</v>
      </c>
      <c r="H126" s="39">
        <f>H125</f>
        <v>560</v>
      </c>
      <c r="I126" s="39">
        <v>1</v>
      </c>
      <c r="J126" s="84" t="s">
        <v>85</v>
      </c>
      <c r="K126" s="17" t="s">
        <v>15</v>
      </c>
      <c r="L126" s="39"/>
      <c r="M126" s="39">
        <v>1</v>
      </c>
      <c r="N126" s="39">
        <v>1</v>
      </c>
      <c r="O126" s="39">
        <v>1</v>
      </c>
      <c r="P126" s="39">
        <v>1</v>
      </c>
      <c r="Q126" s="4"/>
      <c r="R126" s="6">
        <f t="shared" si="16"/>
        <v>8.5333333333333332</v>
      </c>
      <c r="S126" s="6">
        <f t="shared" si="33"/>
        <v>8.5333333333333332</v>
      </c>
      <c r="T126" s="6"/>
      <c r="U126" s="6"/>
      <c r="V126" s="6"/>
      <c r="W126" s="20" t="s">
        <v>92</v>
      </c>
      <c r="X126" s="20" t="str">
        <f t="shared" si="18"/>
        <v>KIT-B/U-B15-RHS</v>
      </c>
      <c r="Y126" s="7">
        <f t="shared" si="19"/>
        <v>8.5333333333333332</v>
      </c>
      <c r="AA126"/>
      <c r="AE126"/>
    </row>
    <row r="127" spans="1:31" x14ac:dyDescent="0.3">
      <c r="A127" s="4">
        <f t="shared" si="20"/>
        <v>124</v>
      </c>
      <c r="B127" s="4"/>
      <c r="C127" s="103" t="s">
        <v>50</v>
      </c>
      <c r="D127" s="104"/>
      <c r="E127" s="105"/>
      <c r="F127" s="17" t="s">
        <v>30</v>
      </c>
      <c r="G127" s="39">
        <f>D125-36</f>
        <v>1132</v>
      </c>
      <c r="H127" s="36">
        <f>E125-26</f>
        <v>534</v>
      </c>
      <c r="I127" s="39">
        <v>1</v>
      </c>
      <c r="J127" s="84" t="s">
        <v>85</v>
      </c>
      <c r="K127" s="17" t="s">
        <v>15</v>
      </c>
      <c r="L127" s="39"/>
      <c r="M127" s="39">
        <v>1</v>
      </c>
      <c r="N127" s="39">
        <v>1</v>
      </c>
      <c r="O127" s="39">
        <v>1</v>
      </c>
      <c r="P127" s="39">
        <v>1</v>
      </c>
      <c r="Q127" s="4"/>
      <c r="R127" s="6">
        <f t="shared" si="16"/>
        <v>11.106666666666667</v>
      </c>
      <c r="S127" s="6">
        <f t="shared" si="33"/>
        <v>11.106666666666667</v>
      </c>
      <c r="T127" s="6"/>
      <c r="U127" s="6"/>
      <c r="V127" s="6"/>
      <c r="W127" s="20" t="s">
        <v>92</v>
      </c>
      <c r="X127" s="20" t="str">
        <f t="shared" si="18"/>
        <v>KIT-B/U-B15-TOP</v>
      </c>
      <c r="Y127" s="7">
        <f t="shared" si="19"/>
        <v>11.106666666666667</v>
      </c>
      <c r="AA127"/>
      <c r="AE127"/>
    </row>
    <row r="128" spans="1:31" x14ac:dyDescent="0.3">
      <c r="A128" s="4">
        <f t="shared" si="20"/>
        <v>125</v>
      </c>
      <c r="B128" s="4"/>
      <c r="C128" s="39" t="s">
        <v>25</v>
      </c>
      <c r="D128" s="39"/>
      <c r="E128" s="39"/>
      <c r="F128" s="17" t="s">
        <v>31</v>
      </c>
      <c r="G128" s="39">
        <f>G127</f>
        <v>1132</v>
      </c>
      <c r="H128" s="39">
        <f>H126</f>
        <v>560</v>
      </c>
      <c r="I128" s="39">
        <v>1</v>
      </c>
      <c r="J128" s="84" t="s">
        <v>85</v>
      </c>
      <c r="K128" s="17" t="s">
        <v>15</v>
      </c>
      <c r="L128" s="39"/>
      <c r="M128" s="39">
        <v>1</v>
      </c>
      <c r="N128" s="39">
        <v>1</v>
      </c>
      <c r="O128" s="39">
        <v>1</v>
      </c>
      <c r="P128" s="39">
        <v>1</v>
      </c>
      <c r="Q128" s="4"/>
      <c r="R128" s="6">
        <f t="shared" si="16"/>
        <v>11.28</v>
      </c>
      <c r="S128" s="6">
        <f t="shared" si="33"/>
        <v>11.28</v>
      </c>
      <c r="T128" s="6"/>
      <c r="U128" s="6"/>
      <c r="V128" s="6"/>
      <c r="W128" s="20" t="s">
        <v>92</v>
      </c>
      <c r="X128" s="20" t="str">
        <f t="shared" si="18"/>
        <v>KIT-B/U-B15-BTM</v>
      </c>
      <c r="Y128" s="7">
        <f t="shared" si="19"/>
        <v>11.28</v>
      </c>
      <c r="AA128"/>
      <c r="AE128"/>
    </row>
    <row r="129" spans="1:31" x14ac:dyDescent="0.3">
      <c r="A129" s="4">
        <f t="shared" si="20"/>
        <v>126</v>
      </c>
      <c r="B129" s="4"/>
      <c r="C129" s="39"/>
      <c r="D129" s="39"/>
      <c r="E129" s="39"/>
      <c r="F129" s="17" t="s">
        <v>32</v>
      </c>
      <c r="G129" s="39">
        <f>C125-36+16</f>
        <v>700</v>
      </c>
      <c r="H129" s="39">
        <f>D125-36+16</f>
        <v>1148</v>
      </c>
      <c r="I129" s="39">
        <v>1</v>
      </c>
      <c r="J129" s="84" t="s">
        <v>86</v>
      </c>
      <c r="K129" s="17" t="s">
        <v>15</v>
      </c>
      <c r="L129" s="17"/>
      <c r="M129" s="17"/>
      <c r="N129" s="17"/>
      <c r="O129" s="17"/>
      <c r="P129" s="17"/>
      <c r="Q129" s="4"/>
      <c r="R129" s="6">
        <f t="shared" si="16"/>
        <v>12.32</v>
      </c>
      <c r="S129" s="6"/>
      <c r="T129" s="6"/>
      <c r="U129" s="6"/>
      <c r="V129" s="6"/>
      <c r="W129" s="20" t="s">
        <v>92</v>
      </c>
      <c r="X129" s="20" t="str">
        <f t="shared" si="18"/>
        <v>KIT-B/U-B15-BACK UP</v>
      </c>
      <c r="Y129" s="7">
        <f t="shared" si="19"/>
        <v>12.32</v>
      </c>
      <c r="AA129"/>
      <c r="AE129"/>
    </row>
    <row r="130" spans="1:31" x14ac:dyDescent="0.3">
      <c r="A130" s="4">
        <f t="shared" si="20"/>
        <v>127</v>
      </c>
      <c r="B130" s="4"/>
      <c r="C130" s="4"/>
      <c r="D130" s="4"/>
      <c r="E130" s="4"/>
      <c r="F130" s="19" t="s">
        <v>33</v>
      </c>
      <c r="G130" s="4">
        <f>D125-36-1</f>
        <v>1131</v>
      </c>
      <c r="H130" s="4">
        <f>E125-25</f>
        <v>535</v>
      </c>
      <c r="I130" s="4">
        <v>1</v>
      </c>
      <c r="J130" s="84" t="s">
        <v>85</v>
      </c>
      <c r="K130" s="17" t="s">
        <v>15</v>
      </c>
      <c r="L130" s="39"/>
      <c r="M130" s="39">
        <v>1</v>
      </c>
      <c r="N130" s="39">
        <v>1</v>
      </c>
      <c r="O130" s="39">
        <v>1</v>
      </c>
      <c r="P130" s="39">
        <v>1</v>
      </c>
      <c r="Q130" s="4"/>
      <c r="R130" s="6">
        <f t="shared" si="16"/>
        <v>11.106666666666667</v>
      </c>
      <c r="S130" s="6">
        <f t="shared" ref="S130:S131" si="34">R130</f>
        <v>11.106666666666667</v>
      </c>
      <c r="T130" s="6"/>
      <c r="U130" s="6"/>
      <c r="V130" s="6"/>
      <c r="W130" s="20" t="s">
        <v>92</v>
      </c>
      <c r="X130" s="20" t="str">
        <f t="shared" si="18"/>
        <v>KIT-B/U-B15-Lshelf</v>
      </c>
      <c r="Y130" s="7">
        <f t="shared" si="19"/>
        <v>11.106666666666667</v>
      </c>
      <c r="AA130"/>
      <c r="AE130"/>
    </row>
    <row r="131" spans="1:31" x14ac:dyDescent="0.3">
      <c r="A131" s="4">
        <f t="shared" si="20"/>
        <v>128</v>
      </c>
      <c r="B131" s="4"/>
      <c r="C131" s="4"/>
      <c r="D131" s="4"/>
      <c r="E131" s="4"/>
      <c r="F131" s="19" t="s">
        <v>96</v>
      </c>
      <c r="G131" s="4">
        <f>C125</f>
        <v>720</v>
      </c>
      <c r="H131" s="4">
        <f>E125+20</f>
        <v>580</v>
      </c>
      <c r="I131" s="4">
        <v>1</v>
      </c>
      <c r="J131" s="84" t="s">
        <v>85</v>
      </c>
      <c r="K131" s="17" t="s">
        <v>15</v>
      </c>
      <c r="L131" s="39"/>
      <c r="M131" s="39">
        <v>1</v>
      </c>
      <c r="N131" s="39">
        <v>1</v>
      </c>
      <c r="O131" s="39">
        <v>1</v>
      </c>
      <c r="P131" s="39">
        <v>1</v>
      </c>
      <c r="Q131" s="4"/>
      <c r="R131" s="6">
        <f t="shared" si="16"/>
        <v>8.6666666666666661</v>
      </c>
      <c r="S131" s="6">
        <f t="shared" si="34"/>
        <v>8.6666666666666661</v>
      </c>
      <c r="T131" s="6"/>
      <c r="U131" s="6"/>
      <c r="V131" s="6"/>
      <c r="W131" s="20" t="s">
        <v>92</v>
      </c>
      <c r="X131" s="20" t="str">
        <f t="shared" si="18"/>
        <v>KIT-B/U-B15-INNER PLANK</v>
      </c>
      <c r="Y131" s="7">
        <f t="shared" si="19"/>
        <v>8.6666666666666661</v>
      </c>
      <c r="AA131"/>
      <c r="AE131"/>
    </row>
    <row r="132" spans="1:31" x14ac:dyDescent="0.3">
      <c r="A132" s="4">
        <f t="shared" si="20"/>
        <v>129</v>
      </c>
      <c r="B132" s="4"/>
      <c r="C132" s="4"/>
      <c r="D132" s="4"/>
      <c r="E132" s="4"/>
      <c r="F132" s="19" t="s">
        <v>36</v>
      </c>
      <c r="G132" s="48">
        <f>C125-30</f>
        <v>690</v>
      </c>
      <c r="H132" s="4">
        <f>D125-E125-2</f>
        <v>606</v>
      </c>
      <c r="I132" s="4">
        <v>1</v>
      </c>
      <c r="J132" s="82" t="s">
        <v>88</v>
      </c>
      <c r="K132" s="5" t="s">
        <v>15</v>
      </c>
      <c r="L132" s="4"/>
      <c r="M132" s="4">
        <v>3</v>
      </c>
      <c r="N132" s="4">
        <v>3</v>
      </c>
      <c r="O132" s="4">
        <v>3</v>
      </c>
      <c r="P132" s="4">
        <v>3</v>
      </c>
      <c r="Q132" s="4"/>
      <c r="R132" s="6">
        <f t="shared" si="16"/>
        <v>8.64</v>
      </c>
      <c r="S132" s="6"/>
      <c r="T132" s="6">
        <f t="shared" ref="T132:T136" si="35">R132</f>
        <v>8.64</v>
      </c>
      <c r="U132" s="6"/>
      <c r="V132" s="6"/>
      <c r="W132" s="20" t="s">
        <v>92</v>
      </c>
      <c r="X132" s="20" t="str">
        <f t="shared" si="18"/>
        <v>KIT-B/U-B15-SHUTTER</v>
      </c>
      <c r="Y132" s="7">
        <f t="shared" si="19"/>
        <v>8.64</v>
      </c>
      <c r="AA132"/>
      <c r="AE132"/>
    </row>
    <row r="133" spans="1:31" x14ac:dyDescent="0.3">
      <c r="A133" s="4">
        <f t="shared" si="20"/>
        <v>130</v>
      </c>
      <c r="B133" s="46" t="s">
        <v>97</v>
      </c>
      <c r="C133" s="23">
        <f>720/2</f>
        <v>360</v>
      </c>
      <c r="D133" s="23">
        <v>588</v>
      </c>
      <c r="E133" s="23">
        <v>580</v>
      </c>
      <c r="F133" s="17" t="s">
        <v>28</v>
      </c>
      <c r="G133" s="4">
        <f>C133</f>
        <v>360</v>
      </c>
      <c r="H133" s="4">
        <f>E133</f>
        <v>580</v>
      </c>
      <c r="I133" s="4">
        <v>1</v>
      </c>
      <c r="J133" s="85" t="s">
        <v>119</v>
      </c>
      <c r="K133" s="39"/>
      <c r="L133" s="39"/>
      <c r="M133" s="4">
        <v>3</v>
      </c>
      <c r="N133" s="4">
        <v>3</v>
      </c>
      <c r="O133" s="4">
        <v>3</v>
      </c>
      <c r="P133" s="4">
        <v>3</v>
      </c>
      <c r="Q133" s="4" t="s">
        <v>64</v>
      </c>
      <c r="R133" s="6">
        <f t="shared" ref="R133:R196" si="36">(G133+H133)*2*I133/300</f>
        <v>6.2666666666666666</v>
      </c>
      <c r="S133" s="6"/>
      <c r="T133" s="6">
        <f t="shared" si="35"/>
        <v>6.2666666666666666</v>
      </c>
      <c r="U133" s="6"/>
      <c r="V133" s="6"/>
      <c r="W133" s="20" t="s">
        <v>97</v>
      </c>
      <c r="X133" s="20" t="str">
        <f t="shared" ref="X133:X196" si="37">W133&amp;"-"&amp;F133</f>
        <v>KIT-B/U-B16-Open-LHS</v>
      </c>
      <c r="Y133" s="7">
        <f t="shared" ref="Y133:Y196" si="38">(G133+H133)*2*I133/300</f>
        <v>6.2666666666666666</v>
      </c>
      <c r="AA133"/>
      <c r="AE133"/>
    </row>
    <row r="134" spans="1:31" x14ac:dyDescent="0.3">
      <c r="A134" s="4">
        <f t="shared" ref="A134:A195" si="39">A133+1</f>
        <v>131</v>
      </c>
      <c r="B134" s="49" t="s">
        <v>99</v>
      </c>
      <c r="C134" s="39"/>
      <c r="D134" s="39"/>
      <c r="E134" s="39"/>
      <c r="F134" s="17" t="s">
        <v>29</v>
      </c>
      <c r="G134" s="4">
        <f>G133</f>
        <v>360</v>
      </c>
      <c r="H134" s="4">
        <f>H133</f>
        <v>580</v>
      </c>
      <c r="I134" s="4">
        <v>1</v>
      </c>
      <c r="J134" s="85" t="s">
        <v>119</v>
      </c>
      <c r="K134" s="39"/>
      <c r="L134" s="39"/>
      <c r="M134" s="4">
        <v>3</v>
      </c>
      <c r="N134" s="4">
        <v>3</v>
      </c>
      <c r="O134" s="4">
        <v>3</v>
      </c>
      <c r="P134" s="4">
        <v>3</v>
      </c>
      <c r="Q134" s="4" t="s">
        <v>64</v>
      </c>
      <c r="R134" s="6">
        <f t="shared" si="36"/>
        <v>6.2666666666666666</v>
      </c>
      <c r="S134" s="6"/>
      <c r="T134" s="6">
        <f t="shared" si="35"/>
        <v>6.2666666666666666</v>
      </c>
      <c r="U134" s="6"/>
      <c r="V134" s="6"/>
      <c r="W134" s="20" t="s">
        <v>97</v>
      </c>
      <c r="X134" s="20" t="str">
        <f t="shared" si="37"/>
        <v>KIT-B/U-B16-Open-RHS</v>
      </c>
      <c r="Y134" s="7">
        <f t="shared" si="38"/>
        <v>6.2666666666666666</v>
      </c>
      <c r="AA134"/>
      <c r="AE134"/>
    </row>
    <row r="135" spans="1:31" x14ac:dyDescent="0.3">
      <c r="A135" s="4">
        <f t="shared" si="39"/>
        <v>132</v>
      </c>
      <c r="B135" s="4"/>
      <c r="C135" s="39"/>
      <c r="D135" s="39"/>
      <c r="E135" s="39"/>
      <c r="F135" s="17" t="s">
        <v>30</v>
      </c>
      <c r="G135" s="4">
        <f>D133-36</f>
        <v>552</v>
      </c>
      <c r="H135" s="4">
        <f>H134</f>
        <v>580</v>
      </c>
      <c r="I135" s="4">
        <v>1</v>
      </c>
      <c r="J135" s="85" t="s">
        <v>119</v>
      </c>
      <c r="K135" s="39"/>
      <c r="L135" s="39"/>
      <c r="M135" s="4">
        <v>3</v>
      </c>
      <c r="N135" s="4">
        <v>3</v>
      </c>
      <c r="O135" s="4">
        <v>3</v>
      </c>
      <c r="P135" s="4">
        <v>3</v>
      </c>
      <c r="Q135" s="4" t="s">
        <v>64</v>
      </c>
      <c r="R135" s="6">
        <f t="shared" si="36"/>
        <v>7.5466666666666669</v>
      </c>
      <c r="S135" s="6"/>
      <c r="T135" s="6">
        <f t="shared" si="35"/>
        <v>7.5466666666666669</v>
      </c>
      <c r="U135" s="6"/>
      <c r="V135" s="6"/>
      <c r="W135" s="20" t="s">
        <v>97</v>
      </c>
      <c r="X135" s="20" t="str">
        <f t="shared" si="37"/>
        <v>KIT-B/U-B16-Open-TOP</v>
      </c>
      <c r="Y135" s="7">
        <f t="shared" si="38"/>
        <v>7.5466666666666669</v>
      </c>
      <c r="AA135"/>
      <c r="AE135"/>
    </row>
    <row r="136" spans="1:31" x14ac:dyDescent="0.3">
      <c r="A136" s="4">
        <f t="shared" si="39"/>
        <v>133</v>
      </c>
      <c r="B136" s="4"/>
      <c r="C136" s="39" t="s">
        <v>25</v>
      </c>
      <c r="D136" s="39"/>
      <c r="E136" s="39"/>
      <c r="F136" s="17" t="s">
        <v>31</v>
      </c>
      <c r="G136" s="4">
        <f>G135</f>
        <v>552</v>
      </c>
      <c r="H136" s="4">
        <f>H135</f>
        <v>580</v>
      </c>
      <c r="I136" s="4">
        <v>1</v>
      </c>
      <c r="J136" s="85" t="s">
        <v>119</v>
      </c>
      <c r="K136" s="39"/>
      <c r="L136" s="39"/>
      <c r="M136" s="4">
        <v>3</v>
      </c>
      <c r="N136" s="4">
        <v>3</v>
      </c>
      <c r="O136" s="4">
        <v>3</v>
      </c>
      <c r="P136" s="4">
        <v>3</v>
      </c>
      <c r="Q136" s="4" t="s">
        <v>64</v>
      </c>
      <c r="R136" s="6">
        <f t="shared" si="36"/>
        <v>7.5466666666666669</v>
      </c>
      <c r="S136" s="6"/>
      <c r="T136" s="6">
        <f t="shared" si="35"/>
        <v>7.5466666666666669</v>
      </c>
      <c r="U136" s="6"/>
      <c r="V136" s="6"/>
      <c r="W136" s="20" t="s">
        <v>97</v>
      </c>
      <c r="X136" s="20" t="str">
        <f t="shared" si="37"/>
        <v>KIT-B/U-B16-Open-BTM</v>
      </c>
      <c r="Y136" s="7">
        <f t="shared" si="38"/>
        <v>7.5466666666666669</v>
      </c>
      <c r="AA136"/>
      <c r="AE136"/>
    </row>
    <row r="137" spans="1:31" x14ac:dyDescent="0.3">
      <c r="A137" s="4">
        <f t="shared" si="39"/>
        <v>134</v>
      </c>
      <c r="B137" s="4"/>
      <c r="C137" s="39"/>
      <c r="D137" s="39"/>
      <c r="E137" s="39"/>
      <c r="F137" s="17" t="s">
        <v>32</v>
      </c>
      <c r="G137" s="4">
        <f>C133-36+16</f>
        <v>340</v>
      </c>
      <c r="H137" s="4">
        <f>D133-36+16</f>
        <v>568</v>
      </c>
      <c r="I137" s="4">
        <v>1</v>
      </c>
      <c r="J137" s="85" t="s">
        <v>100</v>
      </c>
      <c r="K137" s="5"/>
      <c r="L137" s="4"/>
      <c r="M137" s="4"/>
      <c r="N137" s="4"/>
      <c r="O137" s="4"/>
      <c r="P137" s="4"/>
      <c r="Q137" s="4" t="s">
        <v>64</v>
      </c>
      <c r="R137" s="6">
        <f t="shared" si="36"/>
        <v>6.0533333333333337</v>
      </c>
      <c r="S137" s="6"/>
      <c r="T137" s="6"/>
      <c r="U137" s="6"/>
      <c r="V137" s="6"/>
      <c r="W137" s="20" t="s">
        <v>97</v>
      </c>
      <c r="X137" s="20" t="str">
        <f t="shared" si="37"/>
        <v>KIT-B/U-B16-Open-BACK UP</v>
      </c>
      <c r="Y137" s="7">
        <f t="shared" si="38"/>
        <v>6.0533333333333337</v>
      </c>
      <c r="AA137"/>
      <c r="AE137"/>
    </row>
    <row r="138" spans="1:31" x14ac:dyDescent="0.3">
      <c r="A138" s="4">
        <f t="shared" si="39"/>
        <v>135</v>
      </c>
      <c r="B138" s="46" t="s">
        <v>98</v>
      </c>
      <c r="C138" s="23">
        <f>720/2</f>
        <v>360</v>
      </c>
      <c r="D138" s="23">
        <v>588</v>
      </c>
      <c r="E138" s="23">
        <v>560</v>
      </c>
      <c r="F138" s="17" t="s">
        <v>28</v>
      </c>
      <c r="G138" s="4">
        <f>C138</f>
        <v>360</v>
      </c>
      <c r="H138" s="4">
        <f>E138</f>
        <v>560</v>
      </c>
      <c r="I138" s="4">
        <v>1</v>
      </c>
      <c r="J138" s="84" t="s">
        <v>85</v>
      </c>
      <c r="K138" s="17" t="s">
        <v>15</v>
      </c>
      <c r="L138" s="39"/>
      <c r="M138" s="39">
        <v>1</v>
      </c>
      <c r="N138" s="39">
        <v>1</v>
      </c>
      <c r="O138" s="39">
        <v>1</v>
      </c>
      <c r="P138" s="39">
        <v>1</v>
      </c>
      <c r="Q138" s="4"/>
      <c r="R138" s="6">
        <f t="shared" si="36"/>
        <v>6.1333333333333337</v>
      </c>
      <c r="S138" s="6">
        <f t="shared" ref="S138:S141" si="40">R138</f>
        <v>6.1333333333333337</v>
      </c>
      <c r="T138" s="6"/>
      <c r="U138" s="6"/>
      <c r="V138" s="6"/>
      <c r="W138" s="20" t="s">
        <v>98</v>
      </c>
      <c r="X138" s="20" t="str">
        <f t="shared" si="37"/>
        <v>KIT-B/U-B17-LHS</v>
      </c>
      <c r="Y138" s="7">
        <f t="shared" si="38"/>
        <v>6.1333333333333337</v>
      </c>
      <c r="AA138"/>
      <c r="AE138"/>
    </row>
    <row r="139" spans="1:31" x14ac:dyDescent="0.3">
      <c r="A139" s="4">
        <f t="shared" si="39"/>
        <v>136</v>
      </c>
      <c r="B139" s="49" t="s">
        <v>101</v>
      </c>
      <c r="C139" s="39"/>
      <c r="D139" s="39"/>
      <c r="E139" s="39"/>
      <c r="F139" s="17" t="s">
        <v>29</v>
      </c>
      <c r="G139" s="4">
        <f>G138</f>
        <v>360</v>
      </c>
      <c r="H139" s="4">
        <f>H138</f>
        <v>560</v>
      </c>
      <c r="I139" s="4">
        <v>1</v>
      </c>
      <c r="J139" s="84" t="s">
        <v>85</v>
      </c>
      <c r="K139" s="17" t="s">
        <v>15</v>
      </c>
      <c r="L139" s="39"/>
      <c r="M139" s="39">
        <v>1</v>
      </c>
      <c r="N139" s="39">
        <v>1</v>
      </c>
      <c r="O139" s="39">
        <v>1</v>
      </c>
      <c r="P139" s="39">
        <v>1</v>
      </c>
      <c r="Q139" s="4"/>
      <c r="R139" s="6">
        <f t="shared" si="36"/>
        <v>6.1333333333333337</v>
      </c>
      <c r="S139" s="6">
        <f t="shared" si="40"/>
        <v>6.1333333333333337</v>
      </c>
      <c r="T139" s="6"/>
      <c r="U139" s="6"/>
      <c r="V139" s="6"/>
      <c r="W139" s="20" t="s">
        <v>98</v>
      </c>
      <c r="X139" s="20" t="str">
        <f t="shared" si="37"/>
        <v>KIT-B/U-B17-RHS</v>
      </c>
      <c r="Y139" s="7">
        <f t="shared" si="38"/>
        <v>6.1333333333333337</v>
      </c>
      <c r="AA139"/>
      <c r="AE139"/>
    </row>
    <row r="140" spans="1:31" x14ac:dyDescent="0.3">
      <c r="A140" s="4">
        <f t="shared" si="39"/>
        <v>137</v>
      </c>
      <c r="B140" s="4"/>
      <c r="C140" s="103" t="s">
        <v>50</v>
      </c>
      <c r="D140" s="104"/>
      <c r="E140" s="105"/>
      <c r="F140" s="17" t="s">
        <v>30</v>
      </c>
      <c r="G140" s="4">
        <f>D138-36</f>
        <v>552</v>
      </c>
      <c r="H140" s="36">
        <f>E138-26</f>
        <v>534</v>
      </c>
      <c r="I140" s="4">
        <v>1</v>
      </c>
      <c r="J140" s="84" t="s">
        <v>85</v>
      </c>
      <c r="K140" s="17" t="s">
        <v>15</v>
      </c>
      <c r="L140" s="39"/>
      <c r="M140" s="39">
        <v>1</v>
      </c>
      <c r="N140" s="39">
        <v>1</v>
      </c>
      <c r="O140" s="39">
        <v>1</v>
      </c>
      <c r="P140" s="39">
        <v>1</v>
      </c>
      <c r="Q140" s="4"/>
      <c r="R140" s="6">
        <f t="shared" si="36"/>
        <v>7.24</v>
      </c>
      <c r="S140" s="6">
        <f t="shared" si="40"/>
        <v>7.24</v>
      </c>
      <c r="T140" s="6"/>
      <c r="U140" s="6"/>
      <c r="V140" s="6"/>
      <c r="W140" s="20" t="s">
        <v>98</v>
      </c>
      <c r="X140" s="20" t="str">
        <f t="shared" si="37"/>
        <v>KIT-B/U-B17-TOP</v>
      </c>
      <c r="Y140" s="7">
        <f t="shared" si="38"/>
        <v>7.24</v>
      </c>
      <c r="AA140"/>
      <c r="AE140"/>
    </row>
    <row r="141" spans="1:31" x14ac:dyDescent="0.3">
      <c r="A141" s="4">
        <f t="shared" si="39"/>
        <v>138</v>
      </c>
      <c r="B141" s="4"/>
      <c r="C141" s="39" t="s">
        <v>25</v>
      </c>
      <c r="D141" s="39"/>
      <c r="E141" s="39"/>
      <c r="F141" s="17" t="s">
        <v>31</v>
      </c>
      <c r="G141" s="4">
        <f>G140</f>
        <v>552</v>
      </c>
      <c r="H141" s="4">
        <f>H139</f>
        <v>560</v>
      </c>
      <c r="I141" s="4">
        <v>1</v>
      </c>
      <c r="J141" s="84" t="s">
        <v>85</v>
      </c>
      <c r="K141" s="17" t="s">
        <v>15</v>
      </c>
      <c r="L141" s="39"/>
      <c r="M141" s="39">
        <v>1</v>
      </c>
      <c r="N141" s="39">
        <v>1</v>
      </c>
      <c r="O141" s="39">
        <v>1</v>
      </c>
      <c r="P141" s="39">
        <v>1</v>
      </c>
      <c r="Q141" s="4"/>
      <c r="R141" s="6">
        <f t="shared" si="36"/>
        <v>7.4133333333333331</v>
      </c>
      <c r="S141" s="6">
        <f t="shared" si="40"/>
        <v>7.4133333333333331</v>
      </c>
      <c r="T141" s="6"/>
      <c r="U141" s="6"/>
      <c r="V141" s="6"/>
      <c r="W141" s="20" t="s">
        <v>98</v>
      </c>
      <c r="X141" s="20" t="str">
        <f t="shared" si="37"/>
        <v>KIT-B/U-B17-BTM</v>
      </c>
      <c r="Y141" s="7">
        <f t="shared" si="38"/>
        <v>7.4133333333333331</v>
      </c>
      <c r="AA141"/>
      <c r="AE141"/>
    </row>
    <row r="142" spans="1:31" x14ac:dyDescent="0.3">
      <c r="A142" s="4">
        <f t="shared" si="39"/>
        <v>139</v>
      </c>
      <c r="B142" s="4"/>
      <c r="C142" s="39"/>
      <c r="D142" s="39"/>
      <c r="E142" s="39"/>
      <c r="F142" s="17" t="s">
        <v>32</v>
      </c>
      <c r="G142" s="4">
        <f>C138-36+16</f>
        <v>340</v>
      </c>
      <c r="H142" s="4">
        <f>D138-36+16</f>
        <v>568</v>
      </c>
      <c r="I142" s="4">
        <v>1</v>
      </c>
      <c r="J142" s="84" t="s">
        <v>86</v>
      </c>
      <c r="K142" s="17" t="s">
        <v>15</v>
      </c>
      <c r="L142" s="4"/>
      <c r="M142" s="4"/>
      <c r="N142" s="4"/>
      <c r="O142" s="4"/>
      <c r="P142" s="4"/>
      <c r="Q142" s="4"/>
      <c r="R142" s="6">
        <f t="shared" si="36"/>
        <v>6.0533333333333337</v>
      </c>
      <c r="S142" s="6"/>
      <c r="T142" s="6"/>
      <c r="U142" s="6"/>
      <c r="V142" s="6"/>
      <c r="W142" s="20" t="s">
        <v>98</v>
      </c>
      <c r="X142" s="20" t="str">
        <f t="shared" si="37"/>
        <v>KIT-B/U-B17-BACK UP</v>
      </c>
      <c r="Y142" s="7">
        <f t="shared" si="38"/>
        <v>6.0533333333333337</v>
      </c>
      <c r="AA142"/>
      <c r="AE142"/>
    </row>
    <row r="143" spans="1:31" x14ac:dyDescent="0.3">
      <c r="A143" s="4">
        <f t="shared" si="39"/>
        <v>140</v>
      </c>
      <c r="B143" s="4"/>
      <c r="C143" s="4"/>
      <c r="D143" s="4"/>
      <c r="E143" s="4"/>
      <c r="F143" s="19" t="s">
        <v>83</v>
      </c>
      <c r="G143" s="4">
        <f>D138-36</f>
        <v>552</v>
      </c>
      <c r="H143" s="4">
        <f>520</f>
        <v>520</v>
      </c>
      <c r="I143" s="4">
        <v>1</v>
      </c>
      <c r="J143" s="84" t="s">
        <v>85</v>
      </c>
      <c r="K143" s="17" t="s">
        <v>15</v>
      </c>
      <c r="L143" s="39"/>
      <c r="M143" s="39">
        <v>1</v>
      </c>
      <c r="N143" s="39">
        <v>1</v>
      </c>
      <c r="O143" s="39">
        <v>1</v>
      </c>
      <c r="P143" s="39">
        <v>1</v>
      </c>
      <c r="Q143" s="4"/>
      <c r="R143" s="6">
        <f t="shared" si="36"/>
        <v>7.1466666666666665</v>
      </c>
      <c r="S143" s="6">
        <f t="shared" ref="S143:S144" si="41">R143</f>
        <v>7.1466666666666665</v>
      </c>
      <c r="T143" s="6"/>
      <c r="U143" s="6"/>
      <c r="V143" s="6"/>
      <c r="W143" s="20" t="s">
        <v>98</v>
      </c>
      <c r="X143" s="20" t="str">
        <f t="shared" si="37"/>
        <v>KIT-B/U-B17-TDM BTM</v>
      </c>
      <c r="Y143" s="7">
        <f t="shared" si="38"/>
        <v>7.1466666666666665</v>
      </c>
      <c r="AA143"/>
      <c r="AE143"/>
    </row>
    <row r="144" spans="1:31" x14ac:dyDescent="0.3">
      <c r="A144" s="4">
        <f t="shared" si="39"/>
        <v>141</v>
      </c>
      <c r="B144" s="4"/>
      <c r="C144" s="4"/>
      <c r="D144" s="4"/>
      <c r="E144" s="4"/>
      <c r="F144" s="19" t="s">
        <v>84</v>
      </c>
      <c r="G144" s="4">
        <f>G143</f>
        <v>552</v>
      </c>
      <c r="H144" s="4">
        <v>200</v>
      </c>
      <c r="I144" s="4">
        <v>1</v>
      </c>
      <c r="J144" s="84" t="s">
        <v>85</v>
      </c>
      <c r="K144" s="17" t="s">
        <v>15</v>
      </c>
      <c r="L144" s="39"/>
      <c r="M144" s="39">
        <v>1</v>
      </c>
      <c r="N144" s="39">
        <v>1</v>
      </c>
      <c r="O144" s="39">
        <v>1</v>
      </c>
      <c r="P144" s="39">
        <v>1</v>
      </c>
      <c r="Q144" s="4"/>
      <c r="R144" s="6">
        <f t="shared" si="36"/>
        <v>5.0133333333333336</v>
      </c>
      <c r="S144" s="6">
        <f t="shared" si="41"/>
        <v>5.0133333333333336</v>
      </c>
      <c r="T144" s="6"/>
      <c r="U144" s="6"/>
      <c r="V144" s="6"/>
      <c r="W144" s="20" t="s">
        <v>98</v>
      </c>
      <c r="X144" s="20" t="str">
        <f t="shared" si="37"/>
        <v>KIT-B/U-B17-TDM BACK</v>
      </c>
      <c r="Y144" s="7">
        <f t="shared" si="38"/>
        <v>5.0133333333333336</v>
      </c>
      <c r="AA144"/>
      <c r="AE144"/>
    </row>
    <row r="145" spans="1:31" x14ac:dyDescent="0.3">
      <c r="A145" s="4">
        <f t="shared" si="39"/>
        <v>142</v>
      </c>
      <c r="B145" s="4"/>
      <c r="C145" s="4"/>
      <c r="D145" s="4"/>
      <c r="E145" s="4"/>
      <c r="F145" s="19" t="s">
        <v>87</v>
      </c>
      <c r="G145" s="52">
        <f>C138-30-15</f>
        <v>315</v>
      </c>
      <c r="H145" s="4">
        <f>D138-2</f>
        <v>586</v>
      </c>
      <c r="I145" s="4">
        <v>1</v>
      </c>
      <c r="J145" s="82" t="s">
        <v>88</v>
      </c>
      <c r="K145" s="5" t="s">
        <v>15</v>
      </c>
      <c r="L145" s="4"/>
      <c r="M145" s="4">
        <v>3</v>
      </c>
      <c r="N145" s="4">
        <v>3</v>
      </c>
      <c r="O145" s="4">
        <v>3</v>
      </c>
      <c r="P145" s="4">
        <v>3</v>
      </c>
      <c r="Q145" s="4"/>
      <c r="R145" s="6">
        <f t="shared" si="36"/>
        <v>6.0066666666666668</v>
      </c>
      <c r="S145" s="6"/>
      <c r="T145" s="6">
        <f>R145</f>
        <v>6.0066666666666668</v>
      </c>
      <c r="U145" s="6"/>
      <c r="V145" s="6"/>
      <c r="W145" s="20" t="s">
        <v>98</v>
      </c>
      <c r="X145" s="20" t="str">
        <f t="shared" si="37"/>
        <v>KIT-B/U-B17-FACIA</v>
      </c>
      <c r="Y145" s="7">
        <f t="shared" si="38"/>
        <v>6.0066666666666668</v>
      </c>
      <c r="AA145"/>
      <c r="AE145"/>
    </row>
    <row r="146" spans="1:31" x14ac:dyDescent="0.3">
      <c r="A146" s="4">
        <f t="shared" si="39"/>
        <v>143</v>
      </c>
      <c r="B146" s="46" t="s">
        <v>102</v>
      </c>
      <c r="C146" s="23">
        <v>720</v>
      </c>
      <c r="D146" s="23">
        <v>588</v>
      </c>
      <c r="E146" s="23">
        <v>560</v>
      </c>
      <c r="F146" s="17" t="s">
        <v>28</v>
      </c>
      <c r="G146" s="4">
        <f>C146</f>
        <v>720</v>
      </c>
      <c r="H146" s="4">
        <f>E146</f>
        <v>560</v>
      </c>
      <c r="I146" s="4">
        <v>1</v>
      </c>
      <c r="J146" s="84" t="s">
        <v>85</v>
      </c>
      <c r="K146" s="17" t="s">
        <v>15</v>
      </c>
      <c r="L146" s="39"/>
      <c r="M146" s="39">
        <v>1</v>
      </c>
      <c r="N146" s="39">
        <v>1</v>
      </c>
      <c r="O146" s="39">
        <v>1</v>
      </c>
      <c r="P146" s="39">
        <v>1</v>
      </c>
      <c r="Q146" s="4"/>
      <c r="R146" s="6">
        <f t="shared" si="36"/>
        <v>8.5333333333333332</v>
      </c>
      <c r="S146" s="6">
        <f t="shared" ref="S146:S149" si="42">R146</f>
        <v>8.5333333333333332</v>
      </c>
      <c r="T146" s="6"/>
      <c r="U146" s="6"/>
      <c r="V146" s="6"/>
      <c r="W146" s="20" t="s">
        <v>102</v>
      </c>
      <c r="X146" s="20" t="str">
        <f t="shared" si="37"/>
        <v>KIT-B/U-B18-LHS</v>
      </c>
      <c r="Y146" s="7">
        <f t="shared" si="38"/>
        <v>8.5333333333333332</v>
      </c>
      <c r="AA146"/>
      <c r="AE146"/>
    </row>
    <row r="147" spans="1:31" x14ac:dyDescent="0.3">
      <c r="A147" s="4">
        <f t="shared" si="39"/>
        <v>144</v>
      </c>
      <c r="B147" s="49" t="s">
        <v>103</v>
      </c>
      <c r="C147" s="39"/>
      <c r="D147" s="39"/>
      <c r="E147" s="39"/>
      <c r="F147" s="17" t="s">
        <v>29</v>
      </c>
      <c r="G147" s="4">
        <f>G146</f>
        <v>720</v>
      </c>
      <c r="H147" s="4">
        <f>H146</f>
        <v>560</v>
      </c>
      <c r="I147" s="4">
        <v>1</v>
      </c>
      <c r="J147" s="84" t="s">
        <v>85</v>
      </c>
      <c r="K147" s="17" t="s">
        <v>15</v>
      </c>
      <c r="L147" s="39"/>
      <c r="M147" s="39">
        <v>1</v>
      </c>
      <c r="N147" s="39">
        <v>1</v>
      </c>
      <c r="O147" s="39">
        <v>1</v>
      </c>
      <c r="P147" s="39">
        <v>1</v>
      </c>
      <c r="Q147" s="4"/>
      <c r="R147" s="6">
        <f t="shared" si="36"/>
        <v>8.5333333333333332</v>
      </c>
      <c r="S147" s="6">
        <f t="shared" si="42"/>
        <v>8.5333333333333332</v>
      </c>
      <c r="T147" s="6"/>
      <c r="U147" s="6"/>
      <c r="V147" s="6"/>
      <c r="W147" s="20" t="s">
        <v>102</v>
      </c>
      <c r="X147" s="20" t="str">
        <f t="shared" si="37"/>
        <v>KIT-B/U-B18-RHS</v>
      </c>
      <c r="Y147" s="7">
        <f t="shared" si="38"/>
        <v>8.5333333333333332</v>
      </c>
      <c r="AA147"/>
      <c r="AE147"/>
    </row>
    <row r="148" spans="1:31" x14ac:dyDescent="0.3">
      <c r="A148" s="4">
        <f t="shared" si="39"/>
        <v>145</v>
      </c>
      <c r="B148" s="4"/>
      <c r="C148" s="39"/>
      <c r="D148" s="39"/>
      <c r="E148" s="39"/>
      <c r="F148" s="17" t="s">
        <v>30</v>
      </c>
      <c r="G148" s="4">
        <f>D146-36</f>
        <v>552</v>
      </c>
      <c r="H148" s="36">
        <f>E146-26</f>
        <v>534</v>
      </c>
      <c r="I148" s="4">
        <v>1</v>
      </c>
      <c r="J148" s="84" t="s">
        <v>85</v>
      </c>
      <c r="K148" s="17" t="s">
        <v>15</v>
      </c>
      <c r="L148" s="39"/>
      <c r="M148" s="39">
        <v>1</v>
      </c>
      <c r="N148" s="39">
        <v>1</v>
      </c>
      <c r="O148" s="39">
        <v>1</v>
      </c>
      <c r="P148" s="39">
        <v>1</v>
      </c>
      <c r="Q148" s="4"/>
      <c r="R148" s="6">
        <f t="shared" si="36"/>
        <v>7.24</v>
      </c>
      <c r="S148" s="6">
        <f t="shared" si="42"/>
        <v>7.24</v>
      </c>
      <c r="T148" s="6"/>
      <c r="U148" s="6"/>
      <c r="V148" s="6"/>
      <c r="W148" s="20" t="s">
        <v>102</v>
      </c>
      <c r="X148" s="20" t="str">
        <f t="shared" si="37"/>
        <v>KIT-B/U-B18-TOP</v>
      </c>
      <c r="Y148" s="7">
        <f t="shared" si="38"/>
        <v>7.24</v>
      </c>
      <c r="AA148"/>
      <c r="AE148"/>
    </row>
    <row r="149" spans="1:31" x14ac:dyDescent="0.3">
      <c r="A149" s="4">
        <f t="shared" si="39"/>
        <v>146</v>
      </c>
      <c r="B149" s="4"/>
      <c r="C149" s="39" t="s">
        <v>25</v>
      </c>
      <c r="D149" s="39"/>
      <c r="E149" s="39"/>
      <c r="F149" s="17" t="s">
        <v>31</v>
      </c>
      <c r="G149" s="4">
        <f>G148</f>
        <v>552</v>
      </c>
      <c r="H149" s="4">
        <f>H147</f>
        <v>560</v>
      </c>
      <c r="I149" s="4">
        <v>1</v>
      </c>
      <c r="J149" s="84" t="s">
        <v>85</v>
      </c>
      <c r="K149" s="17" t="s">
        <v>15</v>
      </c>
      <c r="L149" s="39"/>
      <c r="M149" s="39">
        <v>1</v>
      </c>
      <c r="N149" s="39">
        <v>1</v>
      </c>
      <c r="O149" s="39">
        <v>1</v>
      </c>
      <c r="P149" s="39">
        <v>1</v>
      </c>
      <c r="Q149" s="4"/>
      <c r="R149" s="6">
        <f t="shared" si="36"/>
        <v>7.4133333333333331</v>
      </c>
      <c r="S149" s="6">
        <f t="shared" si="42"/>
        <v>7.4133333333333331</v>
      </c>
      <c r="T149" s="6"/>
      <c r="U149" s="6"/>
      <c r="V149" s="6"/>
      <c r="W149" s="20" t="s">
        <v>102</v>
      </c>
      <c r="X149" s="20" t="str">
        <f t="shared" si="37"/>
        <v>KIT-B/U-B18-BTM</v>
      </c>
      <c r="Y149" s="7">
        <f t="shared" si="38"/>
        <v>7.4133333333333331</v>
      </c>
      <c r="AA149"/>
      <c r="AE149"/>
    </row>
    <row r="150" spans="1:31" x14ac:dyDescent="0.3">
      <c r="A150" s="4">
        <f t="shared" si="39"/>
        <v>147</v>
      </c>
      <c r="B150" s="4"/>
      <c r="C150" s="39"/>
      <c r="D150" s="39"/>
      <c r="E150" s="39"/>
      <c r="F150" s="17" t="s">
        <v>32</v>
      </c>
      <c r="G150" s="4">
        <f>C146-36+16</f>
        <v>700</v>
      </c>
      <c r="H150" s="4">
        <f>D146-36+16</f>
        <v>568</v>
      </c>
      <c r="I150" s="4">
        <v>1</v>
      </c>
      <c r="J150" s="84" t="s">
        <v>86</v>
      </c>
      <c r="K150" s="17" t="s">
        <v>15</v>
      </c>
      <c r="L150" s="4"/>
      <c r="M150" s="4"/>
      <c r="N150" s="4"/>
      <c r="O150" s="4"/>
      <c r="P150" s="4"/>
      <c r="Q150" s="4"/>
      <c r="R150" s="6">
        <f t="shared" si="36"/>
        <v>8.4533333333333331</v>
      </c>
      <c r="S150" s="6"/>
      <c r="T150" s="6"/>
      <c r="U150" s="6"/>
      <c r="V150" s="6"/>
      <c r="W150" s="20" t="s">
        <v>102</v>
      </c>
      <c r="X150" s="20" t="str">
        <f t="shared" si="37"/>
        <v>KIT-B/U-B18-BACK UP</v>
      </c>
      <c r="Y150" s="7">
        <f t="shared" si="38"/>
        <v>8.4533333333333331</v>
      </c>
      <c r="AA150"/>
      <c r="AE150"/>
    </row>
    <row r="151" spans="1:31" x14ac:dyDescent="0.3">
      <c r="A151" s="4">
        <f t="shared" si="39"/>
        <v>148</v>
      </c>
      <c r="B151" s="4"/>
      <c r="C151" s="4"/>
      <c r="D151" s="4"/>
      <c r="E151" s="4"/>
      <c r="F151" s="19" t="s">
        <v>33</v>
      </c>
      <c r="G151" s="4">
        <f>D146-36-1</f>
        <v>551</v>
      </c>
      <c r="H151" s="4">
        <f>E146-25</f>
        <v>535</v>
      </c>
      <c r="I151" s="4">
        <v>1</v>
      </c>
      <c r="J151" s="84" t="s">
        <v>85</v>
      </c>
      <c r="K151" s="17" t="s">
        <v>15</v>
      </c>
      <c r="L151" s="39"/>
      <c r="M151" s="39">
        <v>1</v>
      </c>
      <c r="N151" s="39">
        <v>1</v>
      </c>
      <c r="O151" s="39">
        <v>1</v>
      </c>
      <c r="P151" s="39">
        <v>1</v>
      </c>
      <c r="Q151" s="4"/>
      <c r="R151" s="6">
        <f t="shared" si="36"/>
        <v>7.24</v>
      </c>
      <c r="S151" s="6">
        <f>R151</f>
        <v>7.24</v>
      </c>
      <c r="T151" s="6"/>
      <c r="U151" s="6"/>
      <c r="V151" s="6"/>
      <c r="W151" s="20" t="s">
        <v>102</v>
      </c>
      <c r="X151" s="20" t="str">
        <f t="shared" si="37"/>
        <v>KIT-B/U-B18-Lshelf</v>
      </c>
      <c r="Y151" s="7">
        <f t="shared" si="38"/>
        <v>7.24</v>
      </c>
      <c r="AA151"/>
      <c r="AE151"/>
    </row>
    <row r="152" spans="1:31" x14ac:dyDescent="0.3">
      <c r="A152" s="4">
        <f t="shared" si="39"/>
        <v>149</v>
      </c>
      <c r="B152" s="4"/>
      <c r="C152" s="4"/>
      <c r="D152" s="4"/>
      <c r="E152" s="4"/>
      <c r="F152" s="19" t="s">
        <v>36</v>
      </c>
      <c r="G152" s="48">
        <f>C146-30</f>
        <v>690</v>
      </c>
      <c r="H152" s="4">
        <f>D146-2</f>
        <v>586</v>
      </c>
      <c r="I152" s="4">
        <v>1</v>
      </c>
      <c r="J152" s="82" t="s">
        <v>88</v>
      </c>
      <c r="K152" s="5" t="s">
        <v>15</v>
      </c>
      <c r="L152" s="4"/>
      <c r="M152" s="4">
        <v>3</v>
      </c>
      <c r="N152" s="4">
        <v>3</v>
      </c>
      <c r="O152" s="4">
        <v>3</v>
      </c>
      <c r="P152" s="4">
        <v>3</v>
      </c>
      <c r="Q152" s="4"/>
      <c r="R152" s="6">
        <f t="shared" si="36"/>
        <v>8.5066666666666659</v>
      </c>
      <c r="S152" s="6"/>
      <c r="T152" s="6">
        <f t="shared" ref="T152:T154" si="43">R152</f>
        <v>8.5066666666666659</v>
      </c>
      <c r="U152" s="6"/>
      <c r="V152" s="6"/>
      <c r="W152" s="20" t="s">
        <v>102</v>
      </c>
      <c r="X152" s="20" t="str">
        <f t="shared" si="37"/>
        <v>KIT-B/U-B18-SHUTTER</v>
      </c>
      <c r="Y152" s="7">
        <f t="shared" si="38"/>
        <v>8.5066666666666659</v>
      </c>
      <c r="AA152"/>
      <c r="AE152"/>
    </row>
    <row r="153" spans="1:31" x14ac:dyDescent="0.3">
      <c r="A153" s="4">
        <f t="shared" si="39"/>
        <v>150</v>
      </c>
      <c r="B153" s="46" t="s">
        <v>104</v>
      </c>
      <c r="C153" s="23">
        <v>720</v>
      </c>
      <c r="D153" s="23">
        <f>580+500</f>
        <v>1080</v>
      </c>
      <c r="E153" s="23">
        <v>430</v>
      </c>
      <c r="F153" s="17" t="s">
        <v>28</v>
      </c>
      <c r="G153" s="39">
        <f>C153</f>
        <v>720</v>
      </c>
      <c r="H153" s="39">
        <f>E153</f>
        <v>430</v>
      </c>
      <c r="I153" s="39">
        <v>1</v>
      </c>
      <c r="J153" s="82" t="s">
        <v>88</v>
      </c>
      <c r="K153" s="5" t="s">
        <v>15</v>
      </c>
      <c r="L153" s="4"/>
      <c r="M153" s="4">
        <v>3</v>
      </c>
      <c r="N153" s="4">
        <v>3</v>
      </c>
      <c r="O153" s="4">
        <v>3</v>
      </c>
      <c r="P153" s="4">
        <v>3</v>
      </c>
      <c r="Q153" s="4"/>
      <c r="R153" s="6">
        <f t="shared" si="36"/>
        <v>7.666666666666667</v>
      </c>
      <c r="S153" s="6"/>
      <c r="T153" s="6">
        <f t="shared" si="43"/>
        <v>7.666666666666667</v>
      </c>
      <c r="U153" s="6"/>
      <c r="V153" s="6"/>
      <c r="W153" s="20" t="s">
        <v>104</v>
      </c>
      <c r="X153" s="20" t="str">
        <f t="shared" si="37"/>
        <v>KIT-B/U-B19-LHS</v>
      </c>
      <c r="Y153" s="7">
        <f t="shared" si="38"/>
        <v>7.666666666666667</v>
      </c>
      <c r="AA153"/>
      <c r="AE153"/>
    </row>
    <row r="154" spans="1:31" x14ac:dyDescent="0.3">
      <c r="A154" s="4">
        <f t="shared" si="39"/>
        <v>151</v>
      </c>
      <c r="B154" s="49" t="s">
        <v>93</v>
      </c>
      <c r="C154" s="39"/>
      <c r="D154" s="39"/>
      <c r="E154" s="39"/>
      <c r="F154" s="17" t="s">
        <v>29</v>
      </c>
      <c r="G154" s="39">
        <f>G153</f>
        <v>720</v>
      </c>
      <c r="H154" s="39">
        <f>H153</f>
        <v>430</v>
      </c>
      <c r="I154" s="39">
        <v>1</v>
      </c>
      <c r="J154" s="82" t="s">
        <v>88</v>
      </c>
      <c r="K154" s="5" t="s">
        <v>15</v>
      </c>
      <c r="L154" s="4"/>
      <c r="M154" s="4">
        <v>3</v>
      </c>
      <c r="N154" s="4">
        <v>3</v>
      </c>
      <c r="O154" s="4">
        <v>3</v>
      </c>
      <c r="P154" s="4">
        <v>3</v>
      </c>
      <c r="Q154" s="4"/>
      <c r="R154" s="6">
        <f t="shared" si="36"/>
        <v>7.666666666666667</v>
      </c>
      <c r="S154" s="6"/>
      <c r="T154" s="6">
        <f t="shared" si="43"/>
        <v>7.666666666666667</v>
      </c>
      <c r="U154" s="6"/>
      <c r="V154" s="6"/>
      <c r="W154" s="20" t="s">
        <v>104</v>
      </c>
      <c r="X154" s="20" t="str">
        <f t="shared" si="37"/>
        <v>KIT-B/U-B19-RHS</v>
      </c>
      <c r="Y154" s="7">
        <f t="shared" si="38"/>
        <v>7.666666666666667</v>
      </c>
      <c r="AA154"/>
      <c r="AE154"/>
    </row>
    <row r="155" spans="1:31" x14ac:dyDescent="0.3">
      <c r="A155" s="4">
        <f t="shared" si="39"/>
        <v>152</v>
      </c>
      <c r="B155" s="4"/>
      <c r="C155" s="103" t="s">
        <v>50</v>
      </c>
      <c r="D155" s="104"/>
      <c r="E155" s="105"/>
      <c r="F155" s="17" t="s">
        <v>30</v>
      </c>
      <c r="G155" s="39">
        <f>D153-36</f>
        <v>1044</v>
      </c>
      <c r="H155" s="36">
        <f>E153-26</f>
        <v>404</v>
      </c>
      <c r="I155" s="39">
        <v>1</v>
      </c>
      <c r="J155" s="84" t="s">
        <v>85</v>
      </c>
      <c r="K155" s="17" t="s">
        <v>15</v>
      </c>
      <c r="L155" s="39"/>
      <c r="M155" s="39">
        <v>1</v>
      </c>
      <c r="N155" s="39">
        <v>1</v>
      </c>
      <c r="O155" s="39">
        <v>1</v>
      </c>
      <c r="P155" s="39">
        <v>1</v>
      </c>
      <c r="Q155" s="4"/>
      <c r="R155" s="6">
        <f t="shared" si="36"/>
        <v>9.6533333333333342</v>
      </c>
      <c r="S155" s="6">
        <f t="shared" ref="S155:S156" si="44">R155</f>
        <v>9.6533333333333342</v>
      </c>
      <c r="T155" s="6"/>
      <c r="U155" s="6"/>
      <c r="V155" s="6"/>
      <c r="W155" s="20" t="s">
        <v>104</v>
      </c>
      <c r="X155" s="20" t="str">
        <f t="shared" si="37"/>
        <v>KIT-B/U-B19-TOP</v>
      </c>
      <c r="Y155" s="7">
        <f t="shared" si="38"/>
        <v>9.6533333333333342</v>
      </c>
      <c r="AA155"/>
      <c r="AE155"/>
    </row>
    <row r="156" spans="1:31" x14ac:dyDescent="0.3">
      <c r="A156" s="4">
        <f t="shared" si="39"/>
        <v>153</v>
      </c>
      <c r="B156" s="4"/>
      <c r="C156" s="39" t="s">
        <v>25</v>
      </c>
      <c r="D156" s="39"/>
      <c r="E156" s="39"/>
      <c r="F156" s="17" t="s">
        <v>31</v>
      </c>
      <c r="G156" s="39">
        <f>G155</f>
        <v>1044</v>
      </c>
      <c r="H156" s="39">
        <f>H154</f>
        <v>430</v>
      </c>
      <c r="I156" s="39">
        <v>1</v>
      </c>
      <c r="J156" s="84" t="s">
        <v>85</v>
      </c>
      <c r="K156" s="17" t="s">
        <v>15</v>
      </c>
      <c r="L156" s="39"/>
      <c r="M156" s="39">
        <v>1</v>
      </c>
      <c r="N156" s="39">
        <v>1</v>
      </c>
      <c r="O156" s="39">
        <v>1</v>
      </c>
      <c r="P156" s="39">
        <v>1</v>
      </c>
      <c r="Q156" s="4"/>
      <c r="R156" s="6">
        <f t="shared" si="36"/>
        <v>9.8266666666666662</v>
      </c>
      <c r="S156" s="6">
        <f t="shared" si="44"/>
        <v>9.8266666666666662</v>
      </c>
      <c r="T156" s="6"/>
      <c r="U156" s="6"/>
      <c r="V156" s="6"/>
      <c r="W156" s="20" t="s">
        <v>104</v>
      </c>
      <c r="X156" s="20" t="str">
        <f t="shared" si="37"/>
        <v>KIT-B/U-B19-BTM</v>
      </c>
      <c r="Y156" s="7">
        <f t="shared" si="38"/>
        <v>9.8266666666666662</v>
      </c>
      <c r="AA156"/>
      <c r="AE156"/>
    </row>
    <row r="157" spans="1:31" x14ac:dyDescent="0.3">
      <c r="A157" s="4">
        <f t="shared" si="39"/>
        <v>154</v>
      </c>
      <c r="B157" s="4"/>
      <c r="C157" s="39"/>
      <c r="D157" s="39"/>
      <c r="E157" s="39"/>
      <c r="F157" s="17" t="s">
        <v>182</v>
      </c>
      <c r="G157" s="39">
        <f>C153+110</f>
        <v>830</v>
      </c>
      <c r="H157" s="39">
        <f>D153</f>
        <v>1080</v>
      </c>
      <c r="I157" s="39">
        <v>1</v>
      </c>
      <c r="J157" s="82" t="s">
        <v>88</v>
      </c>
      <c r="K157" s="5" t="s">
        <v>15</v>
      </c>
      <c r="L157" s="4"/>
      <c r="M157" s="4">
        <v>3</v>
      </c>
      <c r="N157" s="4">
        <v>3</v>
      </c>
      <c r="O157" s="4">
        <v>3</v>
      </c>
      <c r="P157" s="4">
        <v>3</v>
      </c>
      <c r="Q157" s="4"/>
      <c r="R157" s="6">
        <f t="shared" si="36"/>
        <v>12.733333333333333</v>
      </c>
      <c r="S157" s="6"/>
      <c r="T157" s="6">
        <f>R157</f>
        <v>12.733333333333333</v>
      </c>
      <c r="U157" s="6"/>
      <c r="V157" s="6"/>
      <c r="W157" s="20" t="s">
        <v>104</v>
      </c>
      <c r="X157" s="20" t="str">
        <f t="shared" si="37"/>
        <v>KIT-B/U-B19-ADD ON-BP</v>
      </c>
      <c r="Y157" s="7">
        <f t="shared" si="38"/>
        <v>12.733333333333333</v>
      </c>
      <c r="AA157"/>
      <c r="AE157"/>
    </row>
    <row r="158" spans="1:31" x14ac:dyDescent="0.3">
      <c r="A158" s="4">
        <f t="shared" si="39"/>
        <v>155</v>
      </c>
      <c r="B158" s="4"/>
      <c r="C158" s="4"/>
      <c r="D158" s="4"/>
      <c r="E158" s="4"/>
      <c r="F158" s="19" t="s">
        <v>33</v>
      </c>
      <c r="G158" s="4">
        <f>D153-36-1</f>
        <v>1043</v>
      </c>
      <c r="H158" s="4">
        <f>E153-25</f>
        <v>405</v>
      </c>
      <c r="I158" s="4">
        <v>1</v>
      </c>
      <c r="J158" s="84" t="s">
        <v>85</v>
      </c>
      <c r="K158" s="17" t="s">
        <v>15</v>
      </c>
      <c r="L158" s="39"/>
      <c r="M158" s="39">
        <v>1</v>
      </c>
      <c r="N158" s="39">
        <v>1</v>
      </c>
      <c r="O158" s="39">
        <v>1</v>
      </c>
      <c r="P158" s="39">
        <v>1</v>
      </c>
      <c r="Q158" s="4"/>
      <c r="R158" s="6">
        <f t="shared" si="36"/>
        <v>9.6533333333333342</v>
      </c>
      <c r="S158" s="6">
        <f t="shared" ref="S158:S159" si="45">R158</f>
        <v>9.6533333333333342</v>
      </c>
      <c r="T158" s="6"/>
      <c r="U158" s="6"/>
      <c r="V158" s="6"/>
      <c r="W158" s="20" t="s">
        <v>104</v>
      </c>
      <c r="X158" s="20" t="str">
        <f t="shared" si="37"/>
        <v>KIT-B/U-B19-Lshelf</v>
      </c>
      <c r="Y158" s="7">
        <f t="shared" si="38"/>
        <v>9.6533333333333342</v>
      </c>
      <c r="AA158"/>
      <c r="AE158"/>
    </row>
    <row r="159" spans="1:31" x14ac:dyDescent="0.3">
      <c r="A159" s="4">
        <f t="shared" si="39"/>
        <v>156</v>
      </c>
      <c r="B159" s="4"/>
      <c r="C159" s="4"/>
      <c r="D159" s="4"/>
      <c r="E159" s="4"/>
      <c r="F159" s="53" t="s">
        <v>96</v>
      </c>
      <c r="G159" s="4">
        <f>C153</f>
        <v>720</v>
      </c>
      <c r="H159" s="49">
        <v>580</v>
      </c>
      <c r="I159" s="4">
        <v>1</v>
      </c>
      <c r="J159" s="84" t="s">
        <v>85</v>
      </c>
      <c r="K159" s="17" t="s">
        <v>15</v>
      </c>
      <c r="L159" s="39"/>
      <c r="M159" s="39">
        <v>1</v>
      </c>
      <c r="N159" s="39">
        <v>1</v>
      </c>
      <c r="O159" s="39">
        <v>1</v>
      </c>
      <c r="P159" s="39">
        <v>1</v>
      </c>
      <c r="Q159" s="4"/>
      <c r="R159" s="6">
        <f t="shared" si="36"/>
        <v>8.6666666666666661</v>
      </c>
      <c r="S159" s="6">
        <f t="shared" si="45"/>
        <v>8.6666666666666661</v>
      </c>
      <c r="T159" s="6"/>
      <c r="U159" s="6"/>
      <c r="V159" s="6"/>
      <c r="W159" s="20" t="s">
        <v>104</v>
      </c>
      <c r="X159" s="20" t="str">
        <f t="shared" si="37"/>
        <v>KIT-B/U-B19-INNER PLANK</v>
      </c>
      <c r="Y159" s="7">
        <f t="shared" si="38"/>
        <v>8.6666666666666661</v>
      </c>
      <c r="AA159"/>
      <c r="AE159"/>
    </row>
    <row r="160" spans="1:31" x14ac:dyDescent="0.3">
      <c r="A160" s="4">
        <f t="shared" si="39"/>
        <v>157</v>
      </c>
      <c r="B160" s="4"/>
      <c r="C160" s="4"/>
      <c r="D160" s="4"/>
      <c r="E160" s="4"/>
      <c r="F160" s="19" t="s">
        <v>36</v>
      </c>
      <c r="G160" s="48">
        <f>C153-30</f>
        <v>690</v>
      </c>
      <c r="H160" s="49">
        <f>D153-560-2</f>
        <v>518</v>
      </c>
      <c r="I160" s="4">
        <v>1</v>
      </c>
      <c r="J160" s="82" t="s">
        <v>88</v>
      </c>
      <c r="K160" s="5" t="s">
        <v>15</v>
      </c>
      <c r="L160" s="4"/>
      <c r="M160" s="4">
        <v>3</v>
      </c>
      <c r="N160" s="4">
        <v>3</v>
      </c>
      <c r="O160" s="4">
        <v>3</v>
      </c>
      <c r="P160" s="4">
        <v>3</v>
      </c>
      <c r="Q160" s="4"/>
      <c r="R160" s="6">
        <f t="shared" si="36"/>
        <v>8.0533333333333328</v>
      </c>
      <c r="S160" s="6"/>
      <c r="T160" s="6">
        <f>R160</f>
        <v>8.0533333333333328</v>
      </c>
      <c r="U160" s="6"/>
      <c r="V160" s="6"/>
      <c r="W160" s="20" t="s">
        <v>104</v>
      </c>
      <c r="X160" s="20" t="str">
        <f t="shared" si="37"/>
        <v>KIT-B/U-B19-SHUTTER</v>
      </c>
      <c r="Y160" s="7">
        <f t="shared" si="38"/>
        <v>8.0533333333333328</v>
      </c>
      <c r="AA160"/>
      <c r="AE160"/>
    </row>
    <row r="161" spans="1:31" x14ac:dyDescent="0.3">
      <c r="A161" s="4">
        <f t="shared" si="39"/>
        <v>158</v>
      </c>
      <c r="B161" s="46" t="s">
        <v>106</v>
      </c>
      <c r="C161" s="23">
        <v>720</v>
      </c>
      <c r="D161" s="23">
        <v>577</v>
      </c>
      <c r="E161" s="23">
        <v>560</v>
      </c>
      <c r="F161" s="17" t="s">
        <v>28</v>
      </c>
      <c r="G161" s="39">
        <f>C161</f>
        <v>720</v>
      </c>
      <c r="H161" s="39">
        <f>E161</f>
        <v>560</v>
      </c>
      <c r="I161" s="39">
        <v>1</v>
      </c>
      <c r="J161" s="84" t="s">
        <v>85</v>
      </c>
      <c r="K161" s="17" t="s">
        <v>15</v>
      </c>
      <c r="L161" s="39"/>
      <c r="M161" s="39">
        <v>1</v>
      </c>
      <c r="N161" s="39">
        <v>1</v>
      </c>
      <c r="O161" s="39">
        <v>1</v>
      </c>
      <c r="P161" s="39">
        <v>1</v>
      </c>
      <c r="Q161" s="4"/>
      <c r="R161" s="6">
        <f t="shared" si="36"/>
        <v>8.5333333333333332</v>
      </c>
      <c r="S161" s="6">
        <f t="shared" ref="S161:S164" si="46">R161</f>
        <v>8.5333333333333332</v>
      </c>
      <c r="T161" s="6"/>
      <c r="U161" s="6"/>
      <c r="V161" s="6"/>
      <c r="W161" s="20" t="s">
        <v>106</v>
      </c>
      <c r="X161" s="20" t="str">
        <f t="shared" si="37"/>
        <v>KIT-B/U-B20-LHS</v>
      </c>
      <c r="Y161" s="7">
        <f t="shared" si="38"/>
        <v>8.5333333333333332</v>
      </c>
      <c r="AA161"/>
      <c r="AE161"/>
    </row>
    <row r="162" spans="1:31" x14ac:dyDescent="0.3">
      <c r="A162" s="4">
        <f t="shared" si="39"/>
        <v>159</v>
      </c>
      <c r="B162" s="49" t="s">
        <v>105</v>
      </c>
      <c r="C162" s="39"/>
      <c r="D162" s="39"/>
      <c r="E162" s="39"/>
      <c r="F162" s="17" t="s">
        <v>29</v>
      </c>
      <c r="G162" s="39">
        <f>G161</f>
        <v>720</v>
      </c>
      <c r="H162" s="39">
        <f>H161</f>
        <v>560</v>
      </c>
      <c r="I162" s="39">
        <v>1</v>
      </c>
      <c r="J162" s="84" t="s">
        <v>85</v>
      </c>
      <c r="K162" s="17" t="s">
        <v>15</v>
      </c>
      <c r="L162" s="39"/>
      <c r="M162" s="39">
        <v>1</v>
      </c>
      <c r="N162" s="39">
        <v>1</v>
      </c>
      <c r="O162" s="39">
        <v>1</v>
      </c>
      <c r="P162" s="39">
        <v>1</v>
      </c>
      <c r="Q162" s="4"/>
      <c r="R162" s="6">
        <f t="shared" si="36"/>
        <v>8.5333333333333332</v>
      </c>
      <c r="S162" s="6">
        <f t="shared" si="46"/>
        <v>8.5333333333333332</v>
      </c>
      <c r="T162" s="6"/>
      <c r="U162" s="6"/>
      <c r="V162" s="6"/>
      <c r="W162" s="20" t="s">
        <v>106</v>
      </c>
      <c r="X162" s="20" t="str">
        <f t="shared" si="37"/>
        <v>KIT-B/U-B20-RHS</v>
      </c>
      <c r="Y162" s="7">
        <f t="shared" si="38"/>
        <v>8.5333333333333332</v>
      </c>
      <c r="AA162"/>
      <c r="AE162"/>
    </row>
    <row r="163" spans="1:31" x14ac:dyDescent="0.3">
      <c r="A163" s="4">
        <f t="shared" si="39"/>
        <v>160</v>
      </c>
      <c r="B163" s="4"/>
      <c r="C163" s="103" t="s">
        <v>50</v>
      </c>
      <c r="D163" s="104"/>
      <c r="E163" s="105"/>
      <c r="F163" s="17" t="s">
        <v>30</v>
      </c>
      <c r="G163" s="39">
        <f>D161-36</f>
        <v>541</v>
      </c>
      <c r="H163" s="36">
        <f>E161-26</f>
        <v>534</v>
      </c>
      <c r="I163" s="39">
        <v>1</v>
      </c>
      <c r="J163" s="84" t="s">
        <v>85</v>
      </c>
      <c r="K163" s="17" t="s">
        <v>15</v>
      </c>
      <c r="L163" s="39"/>
      <c r="M163" s="39">
        <v>1</v>
      </c>
      <c r="N163" s="39">
        <v>1</v>
      </c>
      <c r="O163" s="39">
        <v>1</v>
      </c>
      <c r="P163" s="39">
        <v>1</v>
      </c>
      <c r="Q163" s="4"/>
      <c r="R163" s="6">
        <f t="shared" si="36"/>
        <v>7.166666666666667</v>
      </c>
      <c r="S163" s="6">
        <f t="shared" si="46"/>
        <v>7.166666666666667</v>
      </c>
      <c r="T163" s="6"/>
      <c r="U163" s="6"/>
      <c r="V163" s="6"/>
      <c r="W163" s="20" t="s">
        <v>106</v>
      </c>
      <c r="X163" s="20" t="str">
        <f t="shared" si="37"/>
        <v>KIT-B/U-B20-TOP</v>
      </c>
      <c r="Y163" s="7">
        <f t="shared" si="38"/>
        <v>7.166666666666667</v>
      </c>
      <c r="AA163"/>
      <c r="AE163"/>
    </row>
    <row r="164" spans="1:31" x14ac:dyDescent="0.3">
      <c r="A164" s="4">
        <f t="shared" si="39"/>
        <v>161</v>
      </c>
      <c r="B164" s="4"/>
      <c r="C164" s="39" t="s">
        <v>25</v>
      </c>
      <c r="D164" s="39"/>
      <c r="E164" s="39"/>
      <c r="F164" s="17" t="s">
        <v>31</v>
      </c>
      <c r="G164" s="39">
        <f>G163</f>
        <v>541</v>
      </c>
      <c r="H164" s="39">
        <f>H162</f>
        <v>560</v>
      </c>
      <c r="I164" s="39">
        <v>1</v>
      </c>
      <c r="J164" s="84" t="s">
        <v>85</v>
      </c>
      <c r="K164" s="17" t="s">
        <v>15</v>
      </c>
      <c r="L164" s="39"/>
      <c r="M164" s="39">
        <v>1</v>
      </c>
      <c r="N164" s="39">
        <v>1</v>
      </c>
      <c r="O164" s="39">
        <v>1</v>
      </c>
      <c r="P164" s="39">
        <v>1</v>
      </c>
      <c r="Q164" s="4"/>
      <c r="R164" s="6">
        <f t="shared" si="36"/>
        <v>7.34</v>
      </c>
      <c r="S164" s="6">
        <f t="shared" si="46"/>
        <v>7.34</v>
      </c>
      <c r="T164" s="6"/>
      <c r="U164" s="6"/>
      <c r="V164" s="6"/>
      <c r="W164" s="20" t="s">
        <v>106</v>
      </c>
      <c r="X164" s="20" t="str">
        <f t="shared" si="37"/>
        <v>KIT-B/U-B20-BTM</v>
      </c>
      <c r="Y164" s="7">
        <f t="shared" si="38"/>
        <v>7.34</v>
      </c>
      <c r="AA164"/>
      <c r="AE164"/>
    </row>
    <row r="165" spans="1:31" x14ac:dyDescent="0.3">
      <c r="A165" s="4">
        <f t="shared" si="39"/>
        <v>162</v>
      </c>
      <c r="B165" s="4"/>
      <c r="C165" s="39"/>
      <c r="D165" s="39"/>
      <c r="E165" s="39"/>
      <c r="F165" s="17" t="s">
        <v>32</v>
      </c>
      <c r="G165" s="39">
        <f>C161-36+16</f>
        <v>700</v>
      </c>
      <c r="H165" s="39">
        <f>D161-36+16</f>
        <v>557</v>
      </c>
      <c r="I165" s="39">
        <v>1</v>
      </c>
      <c r="J165" s="84" t="s">
        <v>86</v>
      </c>
      <c r="K165" s="17" t="s">
        <v>15</v>
      </c>
      <c r="L165" s="17"/>
      <c r="M165" s="17"/>
      <c r="N165" s="17"/>
      <c r="O165" s="17"/>
      <c r="P165" s="17"/>
      <c r="Q165" s="4"/>
      <c r="R165" s="6">
        <f t="shared" si="36"/>
        <v>8.3800000000000008</v>
      </c>
      <c r="S165" s="6"/>
      <c r="T165" s="6"/>
      <c r="U165" s="6"/>
      <c r="V165" s="6"/>
      <c r="W165" s="20" t="s">
        <v>106</v>
      </c>
      <c r="X165" s="20" t="str">
        <f t="shared" si="37"/>
        <v>KIT-B/U-B20-BACK UP</v>
      </c>
      <c r="Y165" s="7">
        <f t="shared" si="38"/>
        <v>8.3800000000000008</v>
      </c>
      <c r="AA165"/>
      <c r="AE165"/>
    </row>
    <row r="166" spans="1:31" x14ac:dyDescent="0.3">
      <c r="A166" s="4">
        <f t="shared" si="39"/>
        <v>163</v>
      </c>
      <c r="B166" s="4"/>
      <c r="C166" s="4"/>
      <c r="D166" s="4"/>
      <c r="E166" s="4"/>
      <c r="F166" s="19" t="s">
        <v>36</v>
      </c>
      <c r="G166" s="48">
        <f>C161-30</f>
        <v>690</v>
      </c>
      <c r="H166" s="4">
        <f>D161-2</f>
        <v>575</v>
      </c>
      <c r="I166" s="4">
        <v>1</v>
      </c>
      <c r="J166" s="82" t="s">
        <v>88</v>
      </c>
      <c r="K166" s="5" t="s">
        <v>15</v>
      </c>
      <c r="L166" s="4"/>
      <c r="M166" s="4">
        <v>3</v>
      </c>
      <c r="N166" s="4">
        <v>3</v>
      </c>
      <c r="O166" s="4">
        <v>3</v>
      </c>
      <c r="P166" s="4">
        <v>3</v>
      </c>
      <c r="Q166" s="4"/>
      <c r="R166" s="6">
        <f t="shared" si="36"/>
        <v>8.4333333333333336</v>
      </c>
      <c r="S166" s="6"/>
      <c r="T166" s="6">
        <f t="shared" ref="T166:T167" si="47">R166</f>
        <v>8.4333333333333336</v>
      </c>
      <c r="U166" s="6"/>
      <c r="V166" s="6"/>
      <c r="W166" s="20" t="s">
        <v>106</v>
      </c>
      <c r="X166" s="20" t="str">
        <f t="shared" si="37"/>
        <v>KIT-B/U-B20-SHUTTER</v>
      </c>
      <c r="Y166" s="7">
        <f t="shared" si="38"/>
        <v>8.4333333333333336</v>
      </c>
      <c r="AA166"/>
      <c r="AE166"/>
    </row>
    <row r="167" spans="1:31" x14ac:dyDescent="0.3">
      <c r="A167" s="4">
        <f t="shared" si="39"/>
        <v>164</v>
      </c>
      <c r="B167" s="4"/>
      <c r="C167" s="4"/>
      <c r="D167" s="4"/>
      <c r="E167" s="4"/>
      <c r="F167" s="19" t="s">
        <v>37</v>
      </c>
      <c r="G167" s="4">
        <f>C161</f>
        <v>720</v>
      </c>
      <c r="H167" s="4">
        <v>100</v>
      </c>
      <c r="I167" s="4">
        <v>1</v>
      </c>
      <c r="J167" s="82" t="s">
        <v>88</v>
      </c>
      <c r="K167" s="5" t="s">
        <v>15</v>
      </c>
      <c r="L167" s="4"/>
      <c r="M167" s="4">
        <v>3</v>
      </c>
      <c r="N167" s="4">
        <v>3</v>
      </c>
      <c r="O167" s="4">
        <v>3</v>
      </c>
      <c r="P167" s="4">
        <v>3</v>
      </c>
      <c r="Q167" s="4"/>
      <c r="R167" s="6">
        <f t="shared" si="36"/>
        <v>5.4666666666666668</v>
      </c>
      <c r="S167" s="6"/>
      <c r="T167" s="6">
        <f t="shared" si="47"/>
        <v>5.4666666666666668</v>
      </c>
      <c r="U167" s="6"/>
      <c r="V167" s="6"/>
      <c r="W167" s="20" t="s">
        <v>106</v>
      </c>
      <c r="X167" s="20" t="str">
        <f t="shared" si="37"/>
        <v>KIT-B/U-B20-FILLER</v>
      </c>
      <c r="Y167" s="7">
        <f t="shared" si="38"/>
        <v>5.4666666666666668</v>
      </c>
      <c r="AA167"/>
      <c r="AE167"/>
    </row>
    <row r="168" spans="1:31" x14ac:dyDescent="0.3">
      <c r="A168" s="4">
        <f t="shared" si="39"/>
        <v>165</v>
      </c>
      <c r="B168" s="46" t="s">
        <v>107</v>
      </c>
      <c r="C168" s="23">
        <v>720</v>
      </c>
      <c r="D168" s="23">
        <f>577+577</f>
        <v>1154</v>
      </c>
      <c r="E168" s="23">
        <v>560</v>
      </c>
      <c r="F168" s="17" t="s">
        <v>28</v>
      </c>
      <c r="G168" s="39">
        <f>C168</f>
        <v>720</v>
      </c>
      <c r="H168" s="39">
        <f>E168</f>
        <v>560</v>
      </c>
      <c r="I168" s="39">
        <v>1</v>
      </c>
      <c r="J168" s="84" t="s">
        <v>85</v>
      </c>
      <c r="K168" s="17" t="s">
        <v>15</v>
      </c>
      <c r="L168" s="39"/>
      <c r="M168" s="39">
        <v>1</v>
      </c>
      <c r="N168" s="39">
        <v>1</v>
      </c>
      <c r="O168" s="39">
        <v>1</v>
      </c>
      <c r="P168" s="39">
        <v>1</v>
      </c>
      <c r="Q168" s="4"/>
      <c r="R168" s="6">
        <f t="shared" si="36"/>
        <v>8.5333333333333332</v>
      </c>
      <c r="S168" s="6">
        <f t="shared" ref="S168:S171" si="48">R168</f>
        <v>8.5333333333333332</v>
      </c>
      <c r="T168" s="6"/>
      <c r="U168" s="6"/>
      <c r="V168" s="6"/>
      <c r="W168" s="20" t="s">
        <v>107</v>
      </c>
      <c r="X168" s="20" t="str">
        <f t="shared" si="37"/>
        <v>KIT-B/U-B21-LHS</v>
      </c>
      <c r="Y168" s="7">
        <f t="shared" si="38"/>
        <v>8.5333333333333332</v>
      </c>
      <c r="AA168"/>
      <c r="AE168"/>
    </row>
    <row r="169" spans="1:31" x14ac:dyDescent="0.3">
      <c r="A169" s="4">
        <f t="shared" si="39"/>
        <v>166</v>
      </c>
      <c r="B169" s="49" t="s">
        <v>103</v>
      </c>
      <c r="C169" s="39"/>
      <c r="D169" s="39"/>
      <c r="E169" s="39"/>
      <c r="F169" s="17" t="s">
        <v>29</v>
      </c>
      <c r="G169" s="39">
        <f>G168</f>
        <v>720</v>
      </c>
      <c r="H169" s="39">
        <f>H168</f>
        <v>560</v>
      </c>
      <c r="I169" s="39">
        <v>1</v>
      </c>
      <c r="J169" s="84" t="s">
        <v>85</v>
      </c>
      <c r="K169" s="17" t="s">
        <v>15</v>
      </c>
      <c r="L169" s="39"/>
      <c r="M169" s="39">
        <v>1</v>
      </c>
      <c r="N169" s="39">
        <v>1</v>
      </c>
      <c r="O169" s="39">
        <v>1</v>
      </c>
      <c r="P169" s="39">
        <v>1</v>
      </c>
      <c r="Q169" s="4"/>
      <c r="R169" s="6">
        <f t="shared" si="36"/>
        <v>8.5333333333333332</v>
      </c>
      <c r="S169" s="6">
        <f t="shared" si="48"/>
        <v>8.5333333333333332</v>
      </c>
      <c r="T169" s="6"/>
      <c r="U169" s="6"/>
      <c r="V169" s="6"/>
      <c r="W169" s="20" t="s">
        <v>107</v>
      </c>
      <c r="X169" s="20" t="str">
        <f t="shared" si="37"/>
        <v>KIT-B/U-B21-RHS</v>
      </c>
      <c r="Y169" s="7">
        <f t="shared" si="38"/>
        <v>8.5333333333333332</v>
      </c>
      <c r="AA169"/>
      <c r="AE169"/>
    </row>
    <row r="170" spans="1:31" x14ac:dyDescent="0.3">
      <c r="A170" s="4">
        <f t="shared" si="39"/>
        <v>167</v>
      </c>
      <c r="B170" s="4"/>
      <c r="C170" s="103" t="s">
        <v>50</v>
      </c>
      <c r="D170" s="104"/>
      <c r="E170" s="105"/>
      <c r="F170" s="17" t="s">
        <v>30</v>
      </c>
      <c r="G170" s="39">
        <f>D168-36</f>
        <v>1118</v>
      </c>
      <c r="H170" s="36">
        <f>E168-26</f>
        <v>534</v>
      </c>
      <c r="I170" s="39">
        <v>1</v>
      </c>
      <c r="J170" s="84" t="s">
        <v>85</v>
      </c>
      <c r="K170" s="17" t="s">
        <v>15</v>
      </c>
      <c r="L170" s="39"/>
      <c r="M170" s="39">
        <v>1</v>
      </c>
      <c r="N170" s="39">
        <v>1</v>
      </c>
      <c r="O170" s="39">
        <v>1</v>
      </c>
      <c r="P170" s="39">
        <v>1</v>
      </c>
      <c r="Q170" s="4"/>
      <c r="R170" s="6">
        <f t="shared" si="36"/>
        <v>11.013333333333334</v>
      </c>
      <c r="S170" s="6">
        <f t="shared" si="48"/>
        <v>11.013333333333334</v>
      </c>
      <c r="T170" s="6"/>
      <c r="U170" s="6"/>
      <c r="V170" s="6"/>
      <c r="W170" s="20" t="s">
        <v>107</v>
      </c>
      <c r="X170" s="20" t="str">
        <f t="shared" si="37"/>
        <v>KIT-B/U-B21-TOP</v>
      </c>
      <c r="Y170" s="7">
        <f t="shared" si="38"/>
        <v>11.013333333333334</v>
      </c>
      <c r="AA170"/>
      <c r="AE170"/>
    </row>
    <row r="171" spans="1:31" x14ac:dyDescent="0.3">
      <c r="A171" s="4">
        <f t="shared" si="39"/>
        <v>168</v>
      </c>
      <c r="B171" s="4"/>
      <c r="C171" s="39" t="s">
        <v>25</v>
      </c>
      <c r="D171" s="39"/>
      <c r="E171" s="39"/>
      <c r="F171" s="17" t="s">
        <v>31</v>
      </c>
      <c r="G171" s="39">
        <f>G170</f>
        <v>1118</v>
      </c>
      <c r="H171" s="39">
        <f>H169</f>
        <v>560</v>
      </c>
      <c r="I171" s="39">
        <v>1</v>
      </c>
      <c r="J171" s="84" t="s">
        <v>85</v>
      </c>
      <c r="K171" s="17" t="s">
        <v>15</v>
      </c>
      <c r="L171" s="39"/>
      <c r="M171" s="39">
        <v>1</v>
      </c>
      <c r="N171" s="39">
        <v>1</v>
      </c>
      <c r="O171" s="39">
        <v>1</v>
      </c>
      <c r="P171" s="39">
        <v>1</v>
      </c>
      <c r="Q171" s="4"/>
      <c r="R171" s="6">
        <f t="shared" si="36"/>
        <v>11.186666666666667</v>
      </c>
      <c r="S171" s="6">
        <f t="shared" si="48"/>
        <v>11.186666666666667</v>
      </c>
      <c r="T171" s="6"/>
      <c r="U171" s="6"/>
      <c r="V171" s="6"/>
      <c r="W171" s="20" t="s">
        <v>107</v>
      </c>
      <c r="X171" s="20" t="str">
        <f t="shared" si="37"/>
        <v>KIT-B/U-B21-BTM</v>
      </c>
      <c r="Y171" s="7">
        <f t="shared" si="38"/>
        <v>11.186666666666667</v>
      </c>
      <c r="AA171"/>
      <c r="AE171"/>
    </row>
    <row r="172" spans="1:31" x14ac:dyDescent="0.3">
      <c r="A172" s="4">
        <f t="shared" si="39"/>
        <v>169</v>
      </c>
      <c r="B172" s="4"/>
      <c r="C172" s="39"/>
      <c r="D172" s="39"/>
      <c r="E172" s="39"/>
      <c r="F172" s="17" t="s">
        <v>32</v>
      </c>
      <c r="G172" s="39">
        <f>C168-36+16</f>
        <v>700</v>
      </c>
      <c r="H172" s="39">
        <f>D168-36+16</f>
        <v>1134</v>
      </c>
      <c r="I172" s="39">
        <v>1</v>
      </c>
      <c r="J172" s="84" t="s">
        <v>86</v>
      </c>
      <c r="K172" s="17" t="s">
        <v>15</v>
      </c>
      <c r="L172" s="17"/>
      <c r="M172" s="17"/>
      <c r="N172" s="17"/>
      <c r="O172" s="17"/>
      <c r="P172" s="17"/>
      <c r="Q172" s="4"/>
      <c r="R172" s="6">
        <f t="shared" si="36"/>
        <v>12.226666666666667</v>
      </c>
      <c r="S172" s="6"/>
      <c r="T172" s="6"/>
      <c r="U172" s="6"/>
      <c r="V172" s="6"/>
      <c r="W172" s="20" t="s">
        <v>107</v>
      </c>
      <c r="X172" s="20" t="str">
        <f t="shared" si="37"/>
        <v>KIT-B/U-B21-BACK UP</v>
      </c>
      <c r="Y172" s="7">
        <f t="shared" si="38"/>
        <v>12.226666666666667</v>
      </c>
      <c r="AA172"/>
      <c r="AE172"/>
    </row>
    <row r="173" spans="1:31" x14ac:dyDescent="0.3">
      <c r="A173" s="4">
        <f t="shared" si="39"/>
        <v>170</v>
      </c>
      <c r="B173" s="4"/>
      <c r="C173" s="39"/>
      <c r="D173" s="39"/>
      <c r="E173" s="39"/>
      <c r="F173" s="19" t="s">
        <v>33</v>
      </c>
      <c r="G173" s="4">
        <f>D168-36-1</f>
        <v>1117</v>
      </c>
      <c r="H173" s="4">
        <f>E168-25</f>
        <v>535</v>
      </c>
      <c r="I173" s="4">
        <v>1</v>
      </c>
      <c r="J173" s="84" t="s">
        <v>85</v>
      </c>
      <c r="K173" s="17" t="s">
        <v>15</v>
      </c>
      <c r="L173" s="39"/>
      <c r="M173" s="39">
        <v>1</v>
      </c>
      <c r="N173" s="39">
        <v>1</v>
      </c>
      <c r="O173" s="39">
        <v>1</v>
      </c>
      <c r="P173" s="39">
        <v>1</v>
      </c>
      <c r="Q173" s="4"/>
      <c r="R173" s="6">
        <f t="shared" si="36"/>
        <v>11.013333333333334</v>
      </c>
      <c r="S173" s="6">
        <f>R173</f>
        <v>11.013333333333334</v>
      </c>
      <c r="T173" s="6"/>
      <c r="U173" s="6"/>
      <c r="V173" s="6"/>
      <c r="W173" s="20" t="s">
        <v>107</v>
      </c>
      <c r="X173" s="20" t="str">
        <f t="shared" si="37"/>
        <v>KIT-B/U-B21-Lshelf</v>
      </c>
      <c r="Y173" s="7">
        <f t="shared" si="38"/>
        <v>11.013333333333334</v>
      </c>
      <c r="AA173"/>
      <c r="AE173"/>
    </row>
    <row r="174" spans="1:31" x14ac:dyDescent="0.3">
      <c r="A174" s="4">
        <f t="shared" si="39"/>
        <v>171</v>
      </c>
      <c r="B174" s="4"/>
      <c r="C174" s="4"/>
      <c r="D174" s="4"/>
      <c r="E174" s="4"/>
      <c r="F174" s="19" t="s">
        <v>36</v>
      </c>
      <c r="G174" s="48">
        <f>C168-30</f>
        <v>690</v>
      </c>
      <c r="H174" s="4">
        <f>D168/2-2</f>
        <v>575</v>
      </c>
      <c r="I174" s="4">
        <v>2</v>
      </c>
      <c r="J174" s="82" t="s">
        <v>88</v>
      </c>
      <c r="K174" s="5" t="s">
        <v>15</v>
      </c>
      <c r="L174" s="4"/>
      <c r="M174" s="4">
        <v>3</v>
      </c>
      <c r="N174" s="4">
        <v>3</v>
      </c>
      <c r="O174" s="4">
        <v>3</v>
      </c>
      <c r="P174" s="4">
        <v>3</v>
      </c>
      <c r="Q174" s="4"/>
      <c r="R174" s="6">
        <f t="shared" si="36"/>
        <v>16.866666666666667</v>
      </c>
      <c r="S174" s="6"/>
      <c r="T174" s="6">
        <f>R174</f>
        <v>16.866666666666667</v>
      </c>
      <c r="U174" s="6"/>
      <c r="V174" s="6"/>
      <c r="W174" s="20" t="s">
        <v>107</v>
      </c>
      <c r="X174" s="20" t="str">
        <f t="shared" si="37"/>
        <v>KIT-B/U-B21-SHUTTER</v>
      </c>
      <c r="Y174" s="7">
        <f t="shared" si="38"/>
        <v>16.866666666666667</v>
      </c>
      <c r="AA174"/>
      <c r="AE174"/>
    </row>
    <row r="175" spans="1:31" x14ac:dyDescent="0.3">
      <c r="A175" s="4">
        <f t="shared" si="39"/>
        <v>172</v>
      </c>
      <c r="B175" s="46" t="s">
        <v>108</v>
      </c>
      <c r="C175" s="64">
        <f>720+40</f>
        <v>760</v>
      </c>
      <c r="D175" s="23">
        <v>600</v>
      </c>
      <c r="E175" s="23">
        <v>560</v>
      </c>
      <c r="F175" s="17" t="s">
        <v>28</v>
      </c>
      <c r="G175" s="39">
        <f>C175</f>
        <v>760</v>
      </c>
      <c r="H175" s="39">
        <f>E175</f>
        <v>560</v>
      </c>
      <c r="I175" s="39">
        <v>1</v>
      </c>
      <c r="J175" s="84" t="s">
        <v>85</v>
      </c>
      <c r="K175" s="17" t="s">
        <v>15</v>
      </c>
      <c r="L175" s="39"/>
      <c r="M175" s="39">
        <v>1</v>
      </c>
      <c r="N175" s="39">
        <v>1</v>
      </c>
      <c r="O175" s="39">
        <v>1</v>
      </c>
      <c r="P175" s="39">
        <v>1</v>
      </c>
      <c r="Q175" s="4"/>
      <c r="R175" s="6">
        <f t="shared" si="36"/>
        <v>8.8000000000000007</v>
      </c>
      <c r="S175" s="6">
        <f t="shared" ref="S175:S178" si="49">R175</f>
        <v>8.8000000000000007</v>
      </c>
      <c r="T175" s="6"/>
      <c r="U175" s="6"/>
      <c r="V175" s="6"/>
      <c r="W175" s="20" t="s">
        <v>108</v>
      </c>
      <c r="X175" s="20" t="str">
        <f t="shared" si="37"/>
        <v>KIT-B/U-B22-LHS</v>
      </c>
      <c r="Y175" s="7">
        <f t="shared" si="38"/>
        <v>8.8000000000000007</v>
      </c>
      <c r="AA175"/>
      <c r="AE175"/>
    </row>
    <row r="176" spans="1:31" x14ac:dyDescent="0.3">
      <c r="A176" s="4">
        <f t="shared" si="39"/>
        <v>173</v>
      </c>
      <c r="B176" s="49" t="s">
        <v>103</v>
      </c>
      <c r="C176" s="39"/>
      <c r="D176" s="39"/>
      <c r="E176" s="39"/>
      <c r="F176" s="17" t="s">
        <v>29</v>
      </c>
      <c r="G176" s="39">
        <f>G175</f>
        <v>760</v>
      </c>
      <c r="H176" s="39">
        <f>H175</f>
        <v>560</v>
      </c>
      <c r="I176" s="39">
        <v>1</v>
      </c>
      <c r="J176" s="84" t="s">
        <v>85</v>
      </c>
      <c r="K176" s="17" t="s">
        <v>15</v>
      </c>
      <c r="L176" s="39"/>
      <c r="M176" s="39">
        <v>1</v>
      </c>
      <c r="N176" s="39">
        <v>1</v>
      </c>
      <c r="O176" s="39">
        <v>1</v>
      </c>
      <c r="P176" s="39">
        <v>1</v>
      </c>
      <c r="Q176" s="4"/>
      <c r="R176" s="6">
        <f t="shared" si="36"/>
        <v>8.8000000000000007</v>
      </c>
      <c r="S176" s="6">
        <f t="shared" si="49"/>
        <v>8.8000000000000007</v>
      </c>
      <c r="T176" s="6"/>
      <c r="U176" s="6"/>
      <c r="V176" s="6"/>
      <c r="W176" s="20" t="s">
        <v>108</v>
      </c>
      <c r="X176" s="20" t="str">
        <f t="shared" si="37"/>
        <v>KIT-B/U-B22-RHS</v>
      </c>
      <c r="Y176" s="7">
        <f t="shared" si="38"/>
        <v>8.8000000000000007</v>
      </c>
      <c r="AA176"/>
      <c r="AE176"/>
    </row>
    <row r="177" spans="1:31" x14ac:dyDescent="0.3">
      <c r="A177" s="4">
        <f t="shared" si="39"/>
        <v>174</v>
      </c>
      <c r="B177" s="4"/>
      <c r="C177" s="39"/>
      <c r="D177" s="39"/>
      <c r="E177" s="39"/>
      <c r="F177" s="17" t="s">
        <v>30</v>
      </c>
      <c r="G177" s="39">
        <f>D175-36</f>
        <v>564</v>
      </c>
      <c r="H177" s="39">
        <f>H176</f>
        <v>560</v>
      </c>
      <c r="I177" s="39">
        <v>1</v>
      </c>
      <c r="J177" s="84" t="s">
        <v>85</v>
      </c>
      <c r="K177" s="17" t="s">
        <v>15</v>
      </c>
      <c r="L177" s="39"/>
      <c r="M177" s="39">
        <v>1</v>
      </c>
      <c r="N177" s="39">
        <v>1</v>
      </c>
      <c r="O177" s="39">
        <v>1</v>
      </c>
      <c r="P177" s="39">
        <v>1</v>
      </c>
      <c r="Q177" s="4"/>
      <c r="R177" s="6">
        <f t="shared" si="36"/>
        <v>7.4933333333333332</v>
      </c>
      <c r="S177" s="6">
        <f t="shared" si="49"/>
        <v>7.4933333333333332</v>
      </c>
      <c r="T177" s="6"/>
      <c r="U177" s="6"/>
      <c r="V177" s="6"/>
      <c r="W177" s="20" t="s">
        <v>108</v>
      </c>
      <c r="X177" s="20" t="str">
        <f t="shared" si="37"/>
        <v>KIT-B/U-B22-TOP</v>
      </c>
      <c r="Y177" s="7">
        <f t="shared" si="38"/>
        <v>7.4933333333333332</v>
      </c>
      <c r="AA177"/>
      <c r="AE177"/>
    </row>
    <row r="178" spans="1:31" x14ac:dyDescent="0.3">
      <c r="A178" s="4">
        <f t="shared" si="39"/>
        <v>175</v>
      </c>
      <c r="B178" s="4"/>
      <c r="C178" s="39" t="s">
        <v>25</v>
      </c>
      <c r="D178" s="39"/>
      <c r="E178" s="39"/>
      <c r="F178" s="17" t="s">
        <v>31</v>
      </c>
      <c r="G178" s="39">
        <f>G177</f>
        <v>564</v>
      </c>
      <c r="H178" s="39">
        <f>H176</f>
        <v>560</v>
      </c>
      <c r="I178" s="39">
        <v>1</v>
      </c>
      <c r="J178" s="84" t="s">
        <v>85</v>
      </c>
      <c r="K178" s="17" t="s">
        <v>15</v>
      </c>
      <c r="L178" s="39"/>
      <c r="M178" s="39">
        <v>1</v>
      </c>
      <c r="N178" s="39">
        <v>1</v>
      </c>
      <c r="O178" s="39">
        <v>1</v>
      </c>
      <c r="P178" s="39">
        <v>1</v>
      </c>
      <c r="Q178" s="4"/>
      <c r="R178" s="6">
        <f t="shared" si="36"/>
        <v>7.4933333333333332</v>
      </c>
      <c r="S178" s="6">
        <f t="shared" si="49"/>
        <v>7.4933333333333332</v>
      </c>
      <c r="T178" s="6"/>
      <c r="U178" s="6"/>
      <c r="V178" s="6"/>
      <c r="W178" s="20" t="s">
        <v>108</v>
      </c>
      <c r="X178" s="20" t="str">
        <f t="shared" si="37"/>
        <v>KIT-B/U-B22-BTM</v>
      </c>
      <c r="Y178" s="7">
        <f t="shared" si="38"/>
        <v>7.4933333333333332</v>
      </c>
      <c r="AA178"/>
      <c r="AE178"/>
    </row>
    <row r="179" spans="1:31" x14ac:dyDescent="0.3">
      <c r="A179" s="4">
        <f t="shared" si="39"/>
        <v>176</v>
      </c>
      <c r="B179" s="4"/>
      <c r="C179" s="39"/>
      <c r="D179" s="39"/>
      <c r="E179" s="39"/>
      <c r="F179" s="17" t="s">
        <v>32</v>
      </c>
      <c r="G179" s="39">
        <f>C175-36+16</f>
        <v>740</v>
      </c>
      <c r="H179" s="39">
        <f>D175-36+16</f>
        <v>580</v>
      </c>
      <c r="I179" s="39">
        <v>1</v>
      </c>
      <c r="J179" s="84" t="s">
        <v>86</v>
      </c>
      <c r="K179" s="17" t="s">
        <v>15</v>
      </c>
      <c r="L179" s="17"/>
      <c r="M179" s="17"/>
      <c r="N179" s="17"/>
      <c r="O179" s="17"/>
      <c r="P179" s="17"/>
      <c r="Q179" s="4"/>
      <c r="R179" s="6">
        <f t="shared" si="36"/>
        <v>8.8000000000000007</v>
      </c>
      <c r="S179" s="6"/>
      <c r="T179" s="6"/>
      <c r="U179" s="6"/>
      <c r="V179" s="6"/>
      <c r="W179" s="20" t="s">
        <v>108</v>
      </c>
      <c r="X179" s="20" t="str">
        <f t="shared" si="37"/>
        <v>KIT-B/U-B22-BACK UP</v>
      </c>
      <c r="Y179" s="7">
        <f t="shared" si="38"/>
        <v>8.8000000000000007</v>
      </c>
      <c r="AA179"/>
      <c r="AE179"/>
    </row>
    <row r="180" spans="1:31" x14ac:dyDescent="0.3">
      <c r="A180" s="4">
        <f t="shared" si="39"/>
        <v>177</v>
      </c>
      <c r="B180" s="4"/>
      <c r="C180" s="39"/>
      <c r="D180" s="39"/>
      <c r="E180" s="39"/>
      <c r="F180" s="19" t="s">
        <v>33</v>
      </c>
      <c r="G180" s="4">
        <f>D175-36-1</f>
        <v>563</v>
      </c>
      <c r="H180" s="4">
        <f>E175-25</f>
        <v>535</v>
      </c>
      <c r="I180" s="4">
        <v>1</v>
      </c>
      <c r="J180" s="84" t="s">
        <v>85</v>
      </c>
      <c r="K180" s="17" t="s">
        <v>15</v>
      </c>
      <c r="L180" s="39"/>
      <c r="M180" s="39">
        <v>1</v>
      </c>
      <c r="N180" s="39">
        <v>1</v>
      </c>
      <c r="O180" s="39">
        <v>1</v>
      </c>
      <c r="P180" s="39">
        <v>1</v>
      </c>
      <c r="Q180" s="4"/>
      <c r="R180" s="6">
        <f t="shared" si="36"/>
        <v>7.32</v>
      </c>
      <c r="S180" s="6">
        <f>R180</f>
        <v>7.32</v>
      </c>
      <c r="T180" s="6"/>
      <c r="U180" s="6"/>
      <c r="V180" s="6"/>
      <c r="W180" s="20" t="s">
        <v>108</v>
      </c>
      <c r="X180" s="20" t="str">
        <f t="shared" si="37"/>
        <v>KIT-B/U-B22-Lshelf</v>
      </c>
      <c r="Y180" s="7">
        <f t="shared" si="38"/>
        <v>7.32</v>
      </c>
      <c r="AA180"/>
      <c r="AE180"/>
    </row>
    <row r="181" spans="1:31" x14ac:dyDescent="0.3">
      <c r="A181" s="4">
        <f t="shared" si="39"/>
        <v>178</v>
      </c>
      <c r="B181" s="4"/>
      <c r="C181" s="4"/>
      <c r="D181" s="4"/>
      <c r="E181" s="4"/>
      <c r="F181" s="19" t="s">
        <v>36</v>
      </c>
      <c r="G181" s="48">
        <f>C175-30</f>
        <v>730</v>
      </c>
      <c r="H181" s="4">
        <f>D175-2</f>
        <v>598</v>
      </c>
      <c r="I181" s="4">
        <v>1</v>
      </c>
      <c r="J181" s="82" t="s">
        <v>88</v>
      </c>
      <c r="K181" s="5" t="s">
        <v>15</v>
      </c>
      <c r="L181" s="4"/>
      <c r="M181" s="4">
        <v>3</v>
      </c>
      <c r="N181" s="4">
        <v>3</v>
      </c>
      <c r="O181" s="4">
        <v>3</v>
      </c>
      <c r="P181" s="4">
        <v>3</v>
      </c>
      <c r="Q181" s="4"/>
      <c r="R181" s="6">
        <f t="shared" si="36"/>
        <v>8.8533333333333335</v>
      </c>
      <c r="S181" s="6"/>
      <c r="T181" s="6">
        <f t="shared" ref="T181:T183" si="50">R181</f>
        <v>8.8533333333333335</v>
      </c>
      <c r="U181" s="6"/>
      <c r="V181" s="6"/>
      <c r="W181" s="20" t="s">
        <v>108</v>
      </c>
      <c r="X181" s="20" t="str">
        <f t="shared" si="37"/>
        <v>KIT-B/U-B22-SHUTTER</v>
      </c>
      <c r="Y181" s="7">
        <f t="shared" si="38"/>
        <v>8.8533333333333335</v>
      </c>
      <c r="AA181"/>
      <c r="AE181"/>
    </row>
    <row r="182" spans="1:31" x14ac:dyDescent="0.3">
      <c r="A182" s="4">
        <f t="shared" si="39"/>
        <v>179</v>
      </c>
      <c r="B182" s="46" t="s">
        <v>111</v>
      </c>
      <c r="C182" s="87">
        <f>560+425+300</f>
        <v>1285</v>
      </c>
      <c r="D182" s="23">
        <v>600</v>
      </c>
      <c r="E182" s="23">
        <v>580</v>
      </c>
      <c r="F182" s="17" t="s">
        <v>28</v>
      </c>
      <c r="G182" s="38">
        <f>C182</f>
        <v>1285</v>
      </c>
      <c r="H182" s="39">
        <f>E182</f>
        <v>580</v>
      </c>
      <c r="I182" s="39">
        <v>1</v>
      </c>
      <c r="J182" s="83" t="s">
        <v>110</v>
      </c>
      <c r="K182" s="39"/>
      <c r="L182" s="39"/>
      <c r="M182" s="4">
        <v>3</v>
      </c>
      <c r="N182" s="4">
        <v>3</v>
      </c>
      <c r="O182" s="4">
        <v>3</v>
      </c>
      <c r="P182" s="4">
        <v>3</v>
      </c>
      <c r="Q182" s="4" t="s">
        <v>64</v>
      </c>
      <c r="R182" s="6">
        <f t="shared" si="36"/>
        <v>12.433333333333334</v>
      </c>
      <c r="S182" s="6"/>
      <c r="T182" s="6">
        <f t="shared" si="50"/>
        <v>12.433333333333334</v>
      </c>
      <c r="U182" s="6"/>
      <c r="V182" s="6"/>
      <c r="W182" s="20" t="s">
        <v>111</v>
      </c>
      <c r="X182" s="20" t="str">
        <f t="shared" si="37"/>
        <v>KIT-T/U-B23-Open-LHS</v>
      </c>
      <c r="Y182" s="7">
        <f t="shared" si="38"/>
        <v>12.433333333333334</v>
      </c>
      <c r="AA182"/>
      <c r="AE182"/>
    </row>
    <row r="183" spans="1:31" x14ac:dyDescent="0.3">
      <c r="A183" s="4">
        <f t="shared" si="39"/>
        <v>180</v>
      </c>
      <c r="B183" s="49" t="s">
        <v>109</v>
      </c>
      <c r="C183" s="39"/>
      <c r="D183" s="39"/>
      <c r="E183" s="39"/>
      <c r="F183" s="17" t="s">
        <v>29</v>
      </c>
      <c r="G183" s="38">
        <f>G182</f>
        <v>1285</v>
      </c>
      <c r="H183" s="39">
        <f>H182</f>
        <v>580</v>
      </c>
      <c r="I183" s="39">
        <v>1</v>
      </c>
      <c r="J183" s="85" t="s">
        <v>119</v>
      </c>
      <c r="K183" s="39"/>
      <c r="L183" s="39"/>
      <c r="M183" s="4">
        <v>3</v>
      </c>
      <c r="N183" s="4">
        <v>3</v>
      </c>
      <c r="O183" s="4">
        <v>3</v>
      </c>
      <c r="P183" s="4">
        <v>3</v>
      </c>
      <c r="Q183" s="4" t="s">
        <v>64</v>
      </c>
      <c r="R183" s="6">
        <f t="shared" si="36"/>
        <v>12.433333333333334</v>
      </c>
      <c r="S183" s="6"/>
      <c r="T183" s="6">
        <f t="shared" si="50"/>
        <v>12.433333333333334</v>
      </c>
      <c r="U183" s="6"/>
      <c r="V183" s="6"/>
      <c r="W183" s="20" t="s">
        <v>111</v>
      </c>
      <c r="X183" s="20" t="str">
        <f t="shared" si="37"/>
        <v>KIT-T/U-B23-Open-RHS</v>
      </c>
      <c r="Y183" s="7">
        <f t="shared" si="38"/>
        <v>12.433333333333334</v>
      </c>
      <c r="AA183"/>
      <c r="AE183"/>
    </row>
    <row r="184" spans="1:31" x14ac:dyDescent="0.3">
      <c r="A184" s="4">
        <f t="shared" si="39"/>
        <v>181</v>
      </c>
      <c r="B184" s="4"/>
      <c r="C184" s="39"/>
      <c r="D184" s="39"/>
      <c r="E184" s="39"/>
      <c r="F184" s="17" t="s">
        <v>30</v>
      </c>
      <c r="G184" s="39">
        <f>D182-36</f>
        <v>564</v>
      </c>
      <c r="H184" s="39">
        <f>H183</f>
        <v>580</v>
      </c>
      <c r="I184" s="39">
        <v>1</v>
      </c>
      <c r="J184" s="84" t="s">
        <v>85</v>
      </c>
      <c r="K184" s="17" t="s">
        <v>15</v>
      </c>
      <c r="L184" s="39"/>
      <c r="M184" s="39">
        <v>1</v>
      </c>
      <c r="N184" s="39">
        <v>1</v>
      </c>
      <c r="O184" s="39">
        <v>1</v>
      </c>
      <c r="P184" s="39">
        <v>1</v>
      </c>
      <c r="Q184" s="4"/>
      <c r="R184" s="6">
        <f t="shared" si="36"/>
        <v>7.6266666666666669</v>
      </c>
      <c r="S184" s="6">
        <f>R184</f>
        <v>7.6266666666666669</v>
      </c>
      <c r="T184" s="6"/>
      <c r="U184" s="6"/>
      <c r="V184" s="6"/>
      <c r="W184" s="20" t="s">
        <v>111</v>
      </c>
      <c r="X184" s="20" t="str">
        <f t="shared" si="37"/>
        <v>KIT-T/U-B23-Open-TOP</v>
      </c>
      <c r="Y184" s="7">
        <f t="shared" si="38"/>
        <v>7.6266666666666669</v>
      </c>
      <c r="AA184"/>
      <c r="AE184"/>
    </row>
    <row r="185" spans="1:31" x14ac:dyDescent="0.3">
      <c r="A185" s="4">
        <f t="shared" si="39"/>
        <v>182</v>
      </c>
      <c r="B185" s="4"/>
      <c r="C185" s="39" t="s">
        <v>25</v>
      </c>
      <c r="D185" s="39"/>
      <c r="E185" s="39"/>
      <c r="F185" s="17" t="s">
        <v>31</v>
      </c>
      <c r="G185" s="39">
        <f>G184</f>
        <v>564</v>
      </c>
      <c r="H185" s="39">
        <f>H183</f>
        <v>580</v>
      </c>
      <c r="I185" s="39">
        <v>1</v>
      </c>
      <c r="J185" s="85" t="s">
        <v>119</v>
      </c>
      <c r="K185" s="39"/>
      <c r="L185" s="39"/>
      <c r="M185" s="4">
        <v>3</v>
      </c>
      <c r="N185" s="4">
        <v>3</v>
      </c>
      <c r="O185" s="4">
        <v>3</v>
      </c>
      <c r="P185" s="4">
        <v>3</v>
      </c>
      <c r="Q185" s="4" t="s">
        <v>64</v>
      </c>
      <c r="R185" s="6">
        <f t="shared" si="36"/>
        <v>7.6266666666666669</v>
      </c>
      <c r="S185" s="6"/>
      <c r="T185" s="6">
        <f>R185</f>
        <v>7.6266666666666669</v>
      </c>
      <c r="U185" s="6"/>
      <c r="V185" s="6"/>
      <c r="W185" s="20" t="s">
        <v>111</v>
      </c>
      <c r="X185" s="20" t="str">
        <f t="shared" si="37"/>
        <v>KIT-T/U-B23-Open-BTM</v>
      </c>
      <c r="Y185" s="7">
        <f t="shared" si="38"/>
        <v>7.6266666666666669</v>
      </c>
      <c r="AA185"/>
      <c r="AE185"/>
    </row>
    <row r="186" spans="1:31" x14ac:dyDescent="0.3">
      <c r="A186" s="4">
        <f t="shared" si="39"/>
        <v>183</v>
      </c>
      <c r="B186" s="4"/>
      <c r="C186" s="39"/>
      <c r="D186" s="39"/>
      <c r="E186" s="39"/>
      <c r="F186" s="17" t="s">
        <v>32</v>
      </c>
      <c r="G186" s="38">
        <f>C182-36+16</f>
        <v>1265</v>
      </c>
      <c r="H186" s="39">
        <f>D182-36+16</f>
        <v>580</v>
      </c>
      <c r="I186" s="39">
        <v>1</v>
      </c>
      <c r="J186" s="85" t="s">
        <v>121</v>
      </c>
      <c r="K186" s="17"/>
      <c r="L186" s="17"/>
      <c r="M186" s="17"/>
      <c r="N186" s="17"/>
      <c r="O186" s="17"/>
      <c r="P186" s="17"/>
      <c r="Q186" s="4" t="s">
        <v>64</v>
      </c>
      <c r="R186" s="6">
        <f t="shared" si="36"/>
        <v>12.3</v>
      </c>
      <c r="S186" s="6"/>
      <c r="T186" s="6"/>
      <c r="U186" s="6"/>
      <c r="V186" s="6"/>
      <c r="W186" s="20" t="s">
        <v>111</v>
      </c>
      <c r="X186" s="20" t="str">
        <f t="shared" si="37"/>
        <v>KIT-T/U-B23-Open-BACK UP</v>
      </c>
      <c r="Y186" s="7">
        <f t="shared" si="38"/>
        <v>12.3</v>
      </c>
      <c r="AA186"/>
      <c r="AE186"/>
    </row>
    <row r="187" spans="1:31" x14ac:dyDescent="0.3">
      <c r="A187" s="4">
        <f t="shared" si="39"/>
        <v>184</v>
      </c>
      <c r="B187" s="4"/>
      <c r="C187" s="39"/>
      <c r="D187" s="39"/>
      <c r="E187" s="39"/>
      <c r="F187" s="19" t="s">
        <v>33</v>
      </c>
      <c r="G187" s="4">
        <f>D182-36</f>
        <v>564</v>
      </c>
      <c r="H187" s="4">
        <f>E182-20</f>
        <v>560</v>
      </c>
      <c r="I187" s="4">
        <v>1</v>
      </c>
      <c r="J187" s="83" t="s">
        <v>110</v>
      </c>
      <c r="K187" s="39"/>
      <c r="L187" s="39"/>
      <c r="M187" s="4">
        <v>3</v>
      </c>
      <c r="N187" s="4">
        <v>3</v>
      </c>
      <c r="O187" s="4">
        <v>3</v>
      </c>
      <c r="P187" s="4">
        <v>3</v>
      </c>
      <c r="Q187" s="4" t="s">
        <v>64</v>
      </c>
      <c r="R187" s="6">
        <f t="shared" si="36"/>
        <v>7.4933333333333332</v>
      </c>
      <c r="S187" s="6"/>
      <c r="T187" s="6">
        <f t="shared" ref="T187:T189" si="51">R187</f>
        <v>7.4933333333333332</v>
      </c>
      <c r="U187" s="6"/>
      <c r="V187" s="6"/>
      <c r="W187" s="20" t="s">
        <v>111</v>
      </c>
      <c r="X187" s="20" t="str">
        <f t="shared" si="37"/>
        <v>KIT-T/U-B23-Open-Lshelf</v>
      </c>
      <c r="Y187" s="7">
        <f t="shared" si="38"/>
        <v>7.4933333333333332</v>
      </c>
      <c r="AA187"/>
      <c r="AE187"/>
    </row>
    <row r="188" spans="1:31" x14ac:dyDescent="0.3">
      <c r="A188" s="4">
        <f t="shared" si="39"/>
        <v>185</v>
      </c>
      <c r="B188" s="4"/>
      <c r="C188" s="39"/>
      <c r="D188" s="39"/>
      <c r="E188" s="39"/>
      <c r="F188" s="19" t="s">
        <v>33</v>
      </c>
      <c r="G188" s="4">
        <f>G187</f>
        <v>564</v>
      </c>
      <c r="H188" s="4">
        <f>H187</f>
        <v>560</v>
      </c>
      <c r="I188" s="4">
        <v>1</v>
      </c>
      <c r="J188" s="85" t="s">
        <v>119</v>
      </c>
      <c r="K188" s="39"/>
      <c r="L188" s="39"/>
      <c r="M188" s="4">
        <v>3</v>
      </c>
      <c r="N188" s="4">
        <v>3</v>
      </c>
      <c r="O188" s="4">
        <v>3</v>
      </c>
      <c r="P188" s="4">
        <v>3</v>
      </c>
      <c r="Q188" s="4" t="s">
        <v>64</v>
      </c>
      <c r="R188" s="6">
        <f t="shared" si="36"/>
        <v>7.4933333333333332</v>
      </c>
      <c r="S188" s="6"/>
      <c r="T188" s="6">
        <f t="shared" si="51"/>
        <v>7.4933333333333332</v>
      </c>
      <c r="U188" s="6"/>
      <c r="V188" s="6"/>
      <c r="W188" s="20" t="s">
        <v>111</v>
      </c>
      <c r="X188" s="20" t="str">
        <f t="shared" si="37"/>
        <v>KIT-T/U-B23-Open-Lshelf</v>
      </c>
      <c r="Y188" s="7">
        <f t="shared" si="38"/>
        <v>7.4933333333333332</v>
      </c>
      <c r="AA188"/>
      <c r="AE188"/>
    </row>
    <row r="189" spans="1:31" x14ac:dyDescent="0.3">
      <c r="A189" s="4">
        <f t="shared" si="39"/>
        <v>186</v>
      </c>
      <c r="B189" s="4"/>
      <c r="C189" s="4"/>
      <c r="D189" s="4"/>
      <c r="E189" s="4"/>
      <c r="F189" s="19" t="s">
        <v>36</v>
      </c>
      <c r="G189" s="48">
        <f>C182-600-425-2</f>
        <v>258</v>
      </c>
      <c r="H189" s="4">
        <f>D182-2</f>
        <v>598</v>
      </c>
      <c r="I189" s="4">
        <v>1</v>
      </c>
      <c r="J189" s="82" t="s">
        <v>88</v>
      </c>
      <c r="K189" s="5" t="s">
        <v>15</v>
      </c>
      <c r="L189" s="4"/>
      <c r="M189" s="4">
        <v>3</v>
      </c>
      <c r="N189" s="4">
        <v>3</v>
      </c>
      <c r="O189" s="4">
        <v>3</v>
      </c>
      <c r="P189" s="4">
        <v>3</v>
      </c>
      <c r="Q189" s="4"/>
      <c r="R189" s="6">
        <f t="shared" si="36"/>
        <v>5.706666666666667</v>
      </c>
      <c r="S189" s="6"/>
      <c r="T189" s="6">
        <f t="shared" si="51"/>
        <v>5.706666666666667</v>
      </c>
      <c r="U189" s="6"/>
      <c r="V189" s="6"/>
      <c r="W189" s="20" t="s">
        <v>111</v>
      </c>
      <c r="X189" s="20" t="str">
        <f t="shared" si="37"/>
        <v>KIT-T/U-B23-Open-SHUTTER</v>
      </c>
      <c r="Y189" s="7">
        <f t="shared" si="38"/>
        <v>5.706666666666667</v>
      </c>
      <c r="AA189"/>
      <c r="AE189"/>
    </row>
    <row r="190" spans="1:31" x14ac:dyDescent="0.3">
      <c r="A190" s="4">
        <f t="shared" si="39"/>
        <v>187</v>
      </c>
      <c r="B190" s="46" t="s">
        <v>190</v>
      </c>
      <c r="C190" s="23">
        <v>2045</v>
      </c>
      <c r="D190" s="23">
        <v>600</v>
      </c>
      <c r="E190" s="23">
        <v>560</v>
      </c>
      <c r="F190" s="17" t="s">
        <v>28</v>
      </c>
      <c r="G190" s="39">
        <f>C190</f>
        <v>2045</v>
      </c>
      <c r="H190" s="39">
        <f>E190</f>
        <v>560</v>
      </c>
      <c r="I190" s="39">
        <v>1</v>
      </c>
      <c r="J190" s="84" t="s">
        <v>85</v>
      </c>
      <c r="K190" s="17" t="s">
        <v>15</v>
      </c>
      <c r="L190" s="39"/>
      <c r="M190" s="39">
        <v>1</v>
      </c>
      <c r="N190" s="39">
        <v>1</v>
      </c>
      <c r="O190" s="39">
        <v>1</v>
      </c>
      <c r="P190" s="39">
        <v>1</v>
      </c>
      <c r="Q190" s="4"/>
      <c r="R190" s="6">
        <f t="shared" si="36"/>
        <v>17.366666666666667</v>
      </c>
      <c r="S190" s="6">
        <f>R190</f>
        <v>17.366666666666667</v>
      </c>
      <c r="T190" s="6"/>
      <c r="U190" s="6"/>
      <c r="V190" s="6"/>
      <c r="W190" s="74" t="s">
        <v>190</v>
      </c>
      <c r="X190" s="20" t="str">
        <f t="shared" si="37"/>
        <v>KIT-T/U-B24-LHS</v>
      </c>
      <c r="Y190" s="7">
        <f t="shared" si="38"/>
        <v>17.366666666666667</v>
      </c>
      <c r="AA190"/>
      <c r="AE190"/>
    </row>
    <row r="191" spans="1:31" x14ac:dyDescent="0.3">
      <c r="A191" s="4">
        <f t="shared" si="39"/>
        <v>188</v>
      </c>
      <c r="B191" s="49" t="s">
        <v>112</v>
      </c>
      <c r="C191" s="39"/>
      <c r="D191" s="39"/>
      <c r="E191" s="39"/>
      <c r="F191" s="17" t="s">
        <v>29</v>
      </c>
      <c r="G191" s="39">
        <f>G190</f>
        <v>2045</v>
      </c>
      <c r="H191" s="39">
        <f>H190</f>
        <v>560</v>
      </c>
      <c r="I191" s="39">
        <v>1</v>
      </c>
      <c r="J191" s="82" t="s">
        <v>88</v>
      </c>
      <c r="K191" s="5" t="s">
        <v>15</v>
      </c>
      <c r="L191" s="4"/>
      <c r="M191" s="4">
        <v>3</v>
      </c>
      <c r="N191" s="4">
        <v>3</v>
      </c>
      <c r="O191" s="4">
        <v>3</v>
      </c>
      <c r="P191" s="4">
        <v>3</v>
      </c>
      <c r="Q191" s="4"/>
      <c r="R191" s="6">
        <f t="shared" si="36"/>
        <v>17.366666666666667</v>
      </c>
      <c r="S191" s="6"/>
      <c r="T191" s="6">
        <f>R191</f>
        <v>17.366666666666667</v>
      </c>
      <c r="U191" s="6"/>
      <c r="V191" s="6"/>
      <c r="W191" s="74" t="s">
        <v>190</v>
      </c>
      <c r="X191" s="20" t="str">
        <f t="shared" si="37"/>
        <v>KIT-T/U-B24-RHS</v>
      </c>
      <c r="Y191" s="7">
        <f t="shared" si="38"/>
        <v>17.366666666666667</v>
      </c>
      <c r="AA191"/>
      <c r="AE191"/>
    </row>
    <row r="192" spans="1:31" x14ac:dyDescent="0.3">
      <c r="A192" s="4">
        <f t="shared" si="39"/>
        <v>189</v>
      </c>
      <c r="B192" s="4"/>
      <c r="C192" s="39"/>
      <c r="D192" s="39"/>
      <c r="E192" s="39"/>
      <c r="F192" s="17" t="s">
        <v>30</v>
      </c>
      <c r="G192" s="39">
        <f>D190-36</f>
        <v>564</v>
      </c>
      <c r="H192" s="39">
        <f>H191</f>
        <v>560</v>
      </c>
      <c r="I192" s="39">
        <v>1</v>
      </c>
      <c r="J192" s="84" t="s">
        <v>85</v>
      </c>
      <c r="K192" s="17" t="s">
        <v>15</v>
      </c>
      <c r="L192" s="39"/>
      <c r="M192" s="39">
        <v>1</v>
      </c>
      <c r="N192" s="39">
        <v>1</v>
      </c>
      <c r="O192" s="39">
        <v>1</v>
      </c>
      <c r="P192" s="39">
        <v>1</v>
      </c>
      <c r="Q192" s="4"/>
      <c r="R192" s="6">
        <f t="shared" si="36"/>
        <v>7.4933333333333332</v>
      </c>
      <c r="S192" s="6">
        <f t="shared" ref="S192:S193" si="52">R192</f>
        <v>7.4933333333333332</v>
      </c>
      <c r="T192" s="6"/>
      <c r="U192" s="6"/>
      <c r="V192" s="6"/>
      <c r="W192" s="74" t="s">
        <v>190</v>
      </c>
      <c r="X192" s="20" t="str">
        <f t="shared" si="37"/>
        <v>KIT-T/U-B24-TOP</v>
      </c>
      <c r="Y192" s="7">
        <f t="shared" si="38"/>
        <v>7.4933333333333332</v>
      </c>
      <c r="AA192"/>
      <c r="AE192"/>
    </row>
    <row r="193" spans="1:31" x14ac:dyDescent="0.3">
      <c r="A193" s="4">
        <f t="shared" si="39"/>
        <v>190</v>
      </c>
      <c r="B193" s="4"/>
      <c r="C193" s="39" t="s">
        <v>25</v>
      </c>
      <c r="D193" s="39"/>
      <c r="E193" s="39"/>
      <c r="F193" s="17" t="s">
        <v>31</v>
      </c>
      <c r="G193" s="39">
        <f>G192</f>
        <v>564</v>
      </c>
      <c r="H193" s="39">
        <f>H192</f>
        <v>560</v>
      </c>
      <c r="I193" s="39">
        <v>1</v>
      </c>
      <c r="J193" s="84" t="s">
        <v>85</v>
      </c>
      <c r="K193" s="17" t="s">
        <v>15</v>
      </c>
      <c r="L193" s="39"/>
      <c r="M193" s="39">
        <v>1</v>
      </c>
      <c r="N193" s="39">
        <v>1</v>
      </c>
      <c r="O193" s="39">
        <v>1</v>
      </c>
      <c r="P193" s="39">
        <v>1</v>
      </c>
      <c r="Q193" s="4"/>
      <c r="R193" s="6">
        <f t="shared" si="36"/>
        <v>7.4933333333333332</v>
      </c>
      <c r="S193" s="6">
        <f t="shared" si="52"/>
        <v>7.4933333333333332</v>
      </c>
      <c r="T193" s="6"/>
      <c r="U193" s="6"/>
      <c r="V193" s="6"/>
      <c r="W193" s="74" t="s">
        <v>190</v>
      </c>
      <c r="X193" s="20" t="str">
        <f t="shared" si="37"/>
        <v>KIT-T/U-B24-BTM</v>
      </c>
      <c r="Y193" s="7">
        <f t="shared" si="38"/>
        <v>7.4933333333333332</v>
      </c>
      <c r="AA193"/>
      <c r="AE193"/>
    </row>
    <row r="194" spans="1:31" x14ac:dyDescent="0.3">
      <c r="A194" s="4">
        <f t="shared" si="39"/>
        <v>191</v>
      </c>
      <c r="B194" s="4"/>
      <c r="C194" s="39"/>
      <c r="D194" s="39"/>
      <c r="E194" s="39"/>
      <c r="F194" s="17" t="s">
        <v>32</v>
      </c>
      <c r="G194" s="39">
        <f>C190-36+16</f>
        <v>2025</v>
      </c>
      <c r="H194" s="39">
        <f>D190-36+16</f>
        <v>580</v>
      </c>
      <c r="I194" s="39">
        <v>1</v>
      </c>
      <c r="J194" s="84" t="s">
        <v>86</v>
      </c>
      <c r="K194" s="17" t="s">
        <v>15</v>
      </c>
      <c r="L194" s="17"/>
      <c r="M194" s="17"/>
      <c r="N194" s="17"/>
      <c r="O194" s="17"/>
      <c r="P194" s="17"/>
      <c r="Q194" s="4"/>
      <c r="R194" s="6">
        <f t="shared" si="36"/>
        <v>17.366666666666667</v>
      </c>
      <c r="S194" s="6"/>
      <c r="T194" s="6"/>
      <c r="U194" s="6"/>
      <c r="V194" s="6"/>
      <c r="W194" s="74" t="s">
        <v>190</v>
      </c>
      <c r="X194" s="20" t="str">
        <f t="shared" si="37"/>
        <v>KIT-T/U-B24-BACK UP</v>
      </c>
      <c r="Y194" s="7">
        <f t="shared" si="38"/>
        <v>17.366666666666667</v>
      </c>
      <c r="AA194"/>
      <c r="AE194"/>
    </row>
    <row r="195" spans="1:31" x14ac:dyDescent="0.3">
      <c r="A195" s="4">
        <f t="shared" si="39"/>
        <v>192</v>
      </c>
      <c r="B195" s="4"/>
      <c r="C195" s="4"/>
      <c r="D195" s="4"/>
      <c r="E195" s="4"/>
      <c r="F195" s="19" t="s">
        <v>36</v>
      </c>
      <c r="G195" s="48">
        <f>C190-2</f>
        <v>2043</v>
      </c>
      <c r="H195" s="4">
        <f>D190-2</f>
        <v>598</v>
      </c>
      <c r="I195" s="4">
        <v>1</v>
      </c>
      <c r="J195" s="82" t="s">
        <v>88</v>
      </c>
      <c r="K195" s="5" t="s">
        <v>15</v>
      </c>
      <c r="L195" s="4"/>
      <c r="M195" s="4">
        <v>3</v>
      </c>
      <c r="N195" s="4">
        <v>3</v>
      </c>
      <c r="O195" s="4">
        <v>3</v>
      </c>
      <c r="P195" s="4">
        <v>3</v>
      </c>
      <c r="Q195" s="4"/>
      <c r="R195" s="6">
        <f t="shared" si="36"/>
        <v>17.606666666666666</v>
      </c>
      <c r="S195" s="6"/>
      <c r="T195" s="6">
        <f t="shared" ref="T195:T198" si="53">R195</f>
        <v>17.606666666666666</v>
      </c>
      <c r="U195" s="6"/>
      <c r="V195" s="6"/>
      <c r="W195" s="74" t="s">
        <v>190</v>
      </c>
      <c r="X195" s="20" t="str">
        <f t="shared" si="37"/>
        <v>KIT-T/U-B24-SHUTTER</v>
      </c>
      <c r="Y195" s="7">
        <f t="shared" si="38"/>
        <v>17.606666666666666</v>
      </c>
      <c r="AA195"/>
      <c r="AE195"/>
    </row>
    <row r="196" spans="1:31" x14ac:dyDescent="0.3">
      <c r="A196" s="93">
        <f>A195+1</f>
        <v>193</v>
      </c>
      <c r="B196" s="4"/>
      <c r="C196" s="4"/>
      <c r="D196" s="4"/>
      <c r="E196" s="4"/>
      <c r="F196" s="19" t="s">
        <v>49</v>
      </c>
      <c r="G196" s="4">
        <v>2400</v>
      </c>
      <c r="H196" s="4">
        <v>110</v>
      </c>
      <c r="I196" s="49">
        <v>3</v>
      </c>
      <c r="J196" s="82" t="s">
        <v>88</v>
      </c>
      <c r="K196" s="5" t="s">
        <v>15</v>
      </c>
      <c r="L196" s="4"/>
      <c r="M196" s="4">
        <v>3</v>
      </c>
      <c r="N196" s="4">
        <v>3</v>
      </c>
      <c r="O196" s="4">
        <v>3</v>
      </c>
      <c r="P196" s="4">
        <v>3</v>
      </c>
      <c r="Q196" s="4"/>
      <c r="R196" s="6">
        <f t="shared" si="36"/>
        <v>50.2</v>
      </c>
      <c r="S196" s="6"/>
      <c r="T196" s="6">
        <f t="shared" si="53"/>
        <v>50.2</v>
      </c>
      <c r="U196" s="6"/>
      <c r="V196" s="6"/>
      <c r="W196" s="74" t="s">
        <v>190</v>
      </c>
      <c r="X196" s="20" t="str">
        <f t="shared" si="37"/>
        <v>KIT-T/U-B24-SKIRTING</v>
      </c>
      <c r="Y196" s="7">
        <f t="shared" si="38"/>
        <v>50.2</v>
      </c>
      <c r="AA196"/>
      <c r="AE196"/>
    </row>
    <row r="197" spans="1:31" x14ac:dyDescent="0.3">
      <c r="A197" s="94"/>
      <c r="B197" s="4"/>
      <c r="C197" s="4"/>
      <c r="D197" s="4"/>
      <c r="E197" s="4"/>
      <c r="F197" s="19" t="s">
        <v>49</v>
      </c>
      <c r="G197" s="49">
        <v>2000</v>
      </c>
      <c r="H197" s="49">
        <v>110</v>
      </c>
      <c r="I197" s="49">
        <v>2</v>
      </c>
      <c r="J197" s="82" t="s">
        <v>88</v>
      </c>
      <c r="K197" s="5" t="s">
        <v>15</v>
      </c>
      <c r="L197" s="4"/>
      <c r="M197" s="4">
        <v>3</v>
      </c>
      <c r="N197" s="4">
        <v>3</v>
      </c>
      <c r="O197" s="4">
        <v>3</v>
      </c>
      <c r="P197" s="4">
        <v>3</v>
      </c>
      <c r="Q197" s="4"/>
      <c r="R197" s="6">
        <f t="shared" ref="R197" si="54">(G197+H197)*2*I197/300</f>
        <v>28.133333333333333</v>
      </c>
      <c r="S197" s="6"/>
      <c r="T197" s="6">
        <f t="shared" ref="T197" si="55">R197</f>
        <v>28.133333333333333</v>
      </c>
      <c r="U197" s="6"/>
      <c r="V197" s="6"/>
      <c r="W197" s="74" t="s">
        <v>190</v>
      </c>
      <c r="X197" s="20" t="str">
        <f t="shared" ref="X197" si="56">W197&amp;"-"&amp;F197</f>
        <v>KIT-T/U-B24-SKIRTING</v>
      </c>
      <c r="Y197" s="7">
        <f t="shared" ref="Y197:Y260" si="57">(G197+H197)*2*I197/300</f>
        <v>28.133333333333333</v>
      </c>
      <c r="AA197"/>
      <c r="AE197"/>
    </row>
    <row r="198" spans="1:31" x14ac:dyDescent="0.3">
      <c r="A198" s="4">
        <f>A196+1</f>
        <v>194</v>
      </c>
      <c r="B198" s="4"/>
      <c r="C198" s="4"/>
      <c r="D198" s="4"/>
      <c r="E198" s="4"/>
      <c r="F198" s="54" t="s">
        <v>113</v>
      </c>
      <c r="G198" s="48">
        <f>1000</f>
        <v>1000</v>
      </c>
      <c r="H198" s="48">
        <v>300</v>
      </c>
      <c r="I198" s="4">
        <v>1</v>
      </c>
      <c r="J198" s="85" t="s">
        <v>119</v>
      </c>
      <c r="K198" s="39"/>
      <c r="L198" s="39"/>
      <c r="M198" s="4">
        <v>3</v>
      </c>
      <c r="N198" s="4">
        <v>3</v>
      </c>
      <c r="O198" s="4">
        <v>3</v>
      </c>
      <c r="P198" s="4">
        <v>3</v>
      </c>
      <c r="Q198" s="4" t="s">
        <v>64</v>
      </c>
      <c r="R198" s="6">
        <f t="shared" ref="R198:R261" si="58">(G198+H198)*2*I198/300</f>
        <v>8.6666666666666661</v>
      </c>
      <c r="S198" s="6"/>
      <c r="T198" s="6">
        <f t="shared" si="53"/>
        <v>8.6666666666666661</v>
      </c>
      <c r="U198" s="6"/>
      <c r="V198" s="6"/>
      <c r="W198" s="74" t="s">
        <v>190</v>
      </c>
      <c r="X198" s="20" t="str">
        <f t="shared" ref="X198:X261" si="59">W198&amp;"-"&amp;F198</f>
        <v>KIT-T/U-B24-FOLDABLE LEDGE</v>
      </c>
      <c r="Y198" s="7">
        <f t="shared" si="57"/>
        <v>8.6666666666666661</v>
      </c>
      <c r="AA198"/>
      <c r="AE198"/>
    </row>
    <row r="199" spans="1:31" x14ac:dyDescent="0.3">
      <c r="A199" s="4">
        <f t="shared" ref="A199:A262" si="60">A198+1</f>
        <v>195</v>
      </c>
      <c r="B199" s="46" t="s">
        <v>191</v>
      </c>
      <c r="C199" s="23">
        <v>660</v>
      </c>
      <c r="D199" s="23">
        <f>380+380</f>
        <v>760</v>
      </c>
      <c r="E199" s="23">
        <v>300</v>
      </c>
      <c r="F199" s="17" t="s">
        <v>28</v>
      </c>
      <c r="G199" s="4">
        <f>C199</f>
        <v>660</v>
      </c>
      <c r="H199" s="4">
        <f>E199</f>
        <v>300</v>
      </c>
      <c r="I199" s="4">
        <v>1</v>
      </c>
      <c r="J199" s="62" t="s">
        <v>34</v>
      </c>
      <c r="K199" s="17" t="s">
        <v>15</v>
      </c>
      <c r="L199" s="39"/>
      <c r="M199" s="39">
        <v>1</v>
      </c>
      <c r="N199" s="39">
        <v>1</v>
      </c>
      <c r="O199" s="39">
        <v>1</v>
      </c>
      <c r="P199" s="39">
        <v>1</v>
      </c>
      <c r="Q199" s="4"/>
      <c r="R199" s="6">
        <f t="shared" si="58"/>
        <v>6.4</v>
      </c>
      <c r="S199" s="6">
        <f>R199</f>
        <v>6.4</v>
      </c>
      <c r="T199" s="6"/>
      <c r="U199" s="6"/>
      <c r="V199" s="6"/>
      <c r="W199" s="74" t="s">
        <v>191</v>
      </c>
      <c r="X199" s="20" t="str">
        <f t="shared" si="59"/>
        <v>KIT-W/U-B25-LHS</v>
      </c>
      <c r="Y199" s="7">
        <f t="shared" si="57"/>
        <v>6.4</v>
      </c>
      <c r="AA199"/>
      <c r="AE199"/>
    </row>
    <row r="200" spans="1:31" x14ac:dyDescent="0.3">
      <c r="A200" s="4">
        <f t="shared" si="60"/>
        <v>196</v>
      </c>
      <c r="B200" s="49" t="s">
        <v>103</v>
      </c>
      <c r="C200" s="39"/>
      <c r="D200" s="39"/>
      <c r="E200" s="39"/>
      <c r="F200" s="40" t="s">
        <v>29</v>
      </c>
      <c r="G200" s="4">
        <f>G199</f>
        <v>660</v>
      </c>
      <c r="H200" s="4">
        <f>H199</f>
        <v>300</v>
      </c>
      <c r="I200" s="4">
        <v>1</v>
      </c>
      <c r="J200" s="85" t="s">
        <v>119</v>
      </c>
      <c r="K200" s="39"/>
      <c r="L200" s="39"/>
      <c r="M200" s="4">
        <v>3</v>
      </c>
      <c r="N200" s="4">
        <v>3</v>
      </c>
      <c r="O200" s="4">
        <v>3</v>
      </c>
      <c r="P200" s="4">
        <v>3</v>
      </c>
      <c r="Q200" s="4" t="s">
        <v>64</v>
      </c>
      <c r="R200" s="6">
        <f t="shared" si="58"/>
        <v>6.4</v>
      </c>
      <c r="S200" s="6"/>
      <c r="T200" s="6">
        <f>R200</f>
        <v>6.4</v>
      </c>
      <c r="U200" s="6"/>
      <c r="V200" s="6"/>
      <c r="W200" s="74" t="s">
        <v>191</v>
      </c>
      <c r="X200" s="20" t="str">
        <f t="shared" si="59"/>
        <v>KIT-W/U-B25-RHS</v>
      </c>
      <c r="Y200" s="7">
        <f t="shared" si="57"/>
        <v>6.4</v>
      </c>
      <c r="AA200"/>
      <c r="AE200"/>
    </row>
    <row r="201" spans="1:31" x14ac:dyDescent="0.3">
      <c r="A201" s="4">
        <f t="shared" si="60"/>
        <v>197</v>
      </c>
      <c r="B201" s="4"/>
      <c r="C201" s="39"/>
      <c r="D201" s="39"/>
      <c r="E201" s="39"/>
      <c r="F201" s="17" t="s">
        <v>30</v>
      </c>
      <c r="G201" s="4">
        <f>D199-36</f>
        <v>724</v>
      </c>
      <c r="H201" s="4">
        <f>H200</f>
        <v>300</v>
      </c>
      <c r="I201" s="4">
        <v>1</v>
      </c>
      <c r="J201" s="62" t="s">
        <v>34</v>
      </c>
      <c r="K201" s="17" t="s">
        <v>15</v>
      </c>
      <c r="L201" s="39"/>
      <c r="M201" s="39">
        <v>1</v>
      </c>
      <c r="N201" s="39">
        <v>1</v>
      </c>
      <c r="O201" s="39">
        <v>1</v>
      </c>
      <c r="P201" s="39">
        <v>1</v>
      </c>
      <c r="Q201" s="4"/>
      <c r="R201" s="6">
        <f t="shared" si="58"/>
        <v>6.8266666666666671</v>
      </c>
      <c r="S201" s="6">
        <f t="shared" ref="S201:S202" si="61">R201</f>
        <v>6.8266666666666671</v>
      </c>
      <c r="T201" s="6"/>
      <c r="U201" s="6"/>
      <c r="V201" s="6"/>
      <c r="W201" s="74" t="s">
        <v>191</v>
      </c>
      <c r="X201" s="20" t="str">
        <f t="shared" si="59"/>
        <v>KIT-W/U-B25-TOP</v>
      </c>
      <c r="Y201" s="7">
        <f t="shared" si="57"/>
        <v>6.8266666666666671</v>
      </c>
      <c r="AA201"/>
      <c r="AE201"/>
    </row>
    <row r="202" spans="1:31" x14ac:dyDescent="0.3">
      <c r="A202" s="4">
        <f t="shared" si="60"/>
        <v>198</v>
      </c>
      <c r="B202" s="4"/>
      <c r="C202" s="103" t="s">
        <v>62</v>
      </c>
      <c r="D202" s="104"/>
      <c r="E202" s="105"/>
      <c r="F202" s="17" t="s">
        <v>31</v>
      </c>
      <c r="G202" s="4">
        <f>G201</f>
        <v>724</v>
      </c>
      <c r="H202" s="4">
        <f>H201</f>
        <v>300</v>
      </c>
      <c r="I202" s="4">
        <v>1</v>
      </c>
      <c r="J202" s="62" t="s">
        <v>34</v>
      </c>
      <c r="K202" s="17" t="s">
        <v>15</v>
      </c>
      <c r="L202" s="39"/>
      <c r="M202" s="39">
        <v>1</v>
      </c>
      <c r="N202" s="39">
        <v>1</v>
      </c>
      <c r="O202" s="39">
        <v>1</v>
      </c>
      <c r="P202" s="39">
        <v>1</v>
      </c>
      <c r="Q202" s="4"/>
      <c r="R202" s="6">
        <f t="shared" si="58"/>
        <v>6.8266666666666671</v>
      </c>
      <c r="S202" s="6">
        <f t="shared" si="61"/>
        <v>6.8266666666666671</v>
      </c>
      <c r="T202" s="6"/>
      <c r="U202" s="6"/>
      <c r="V202" s="6"/>
      <c r="W202" s="74" t="s">
        <v>191</v>
      </c>
      <c r="X202" s="20" t="str">
        <f t="shared" si="59"/>
        <v>KIT-W/U-B25-BTM</v>
      </c>
      <c r="Y202" s="7">
        <f t="shared" si="57"/>
        <v>6.8266666666666671</v>
      </c>
      <c r="AA202"/>
      <c r="AE202"/>
    </row>
    <row r="203" spans="1:31" x14ac:dyDescent="0.3">
      <c r="A203" s="4">
        <f t="shared" si="60"/>
        <v>199</v>
      </c>
      <c r="B203" s="4"/>
      <c r="C203" s="39"/>
      <c r="D203" s="39"/>
      <c r="E203" s="39"/>
      <c r="F203" s="17" t="s">
        <v>32</v>
      </c>
      <c r="G203" s="4">
        <f>C199-36+16</f>
        <v>640</v>
      </c>
      <c r="H203" s="4">
        <f>D199-36+16</f>
        <v>740</v>
      </c>
      <c r="I203" s="4">
        <v>1</v>
      </c>
      <c r="J203" s="62" t="s">
        <v>35</v>
      </c>
      <c r="K203" s="17" t="s">
        <v>15</v>
      </c>
      <c r="L203" s="4"/>
      <c r="M203" s="4"/>
      <c r="N203" s="4"/>
      <c r="O203" s="4"/>
      <c r="P203" s="4"/>
      <c r="Q203" s="4"/>
      <c r="R203" s="6">
        <f t="shared" si="58"/>
        <v>9.1999999999999993</v>
      </c>
      <c r="S203" s="6"/>
      <c r="T203" s="6"/>
      <c r="U203" s="6"/>
      <c r="V203" s="6"/>
      <c r="W203" s="74" t="s">
        <v>191</v>
      </c>
      <c r="X203" s="20" t="str">
        <f t="shared" si="59"/>
        <v>KIT-W/U-B25-BACK UP</v>
      </c>
      <c r="Y203" s="7">
        <f t="shared" si="57"/>
        <v>9.1999999999999993</v>
      </c>
      <c r="AA203"/>
      <c r="AE203"/>
    </row>
    <row r="204" spans="1:31" x14ac:dyDescent="0.3">
      <c r="A204" s="4">
        <f t="shared" si="60"/>
        <v>200</v>
      </c>
      <c r="B204" s="4"/>
      <c r="C204" s="4"/>
      <c r="D204" s="4"/>
      <c r="E204" s="4"/>
      <c r="F204" s="19" t="s">
        <v>33</v>
      </c>
      <c r="G204" s="4">
        <f>D199-36-1</f>
        <v>723</v>
      </c>
      <c r="H204" s="4">
        <f>E199-25</f>
        <v>275</v>
      </c>
      <c r="I204" s="4">
        <v>1</v>
      </c>
      <c r="J204" s="62" t="s">
        <v>34</v>
      </c>
      <c r="K204" s="17" t="s">
        <v>15</v>
      </c>
      <c r="L204" s="39"/>
      <c r="M204" s="39">
        <v>1</v>
      </c>
      <c r="N204" s="39">
        <v>1</v>
      </c>
      <c r="O204" s="39">
        <v>1</v>
      </c>
      <c r="P204" s="39">
        <v>1</v>
      </c>
      <c r="Q204" s="4"/>
      <c r="R204" s="6">
        <f t="shared" si="58"/>
        <v>6.6533333333333333</v>
      </c>
      <c r="S204" s="6">
        <f>R204</f>
        <v>6.6533333333333333</v>
      </c>
      <c r="T204" s="6"/>
      <c r="U204" s="6"/>
      <c r="V204" s="6"/>
      <c r="W204" s="74" t="s">
        <v>191</v>
      </c>
      <c r="X204" s="20" t="str">
        <f t="shared" si="59"/>
        <v>KIT-W/U-B25-Lshelf</v>
      </c>
      <c r="Y204" s="7">
        <f t="shared" si="57"/>
        <v>6.6533333333333333</v>
      </c>
      <c r="AA204"/>
      <c r="AE204"/>
    </row>
    <row r="205" spans="1:31" x14ac:dyDescent="0.3">
      <c r="A205" s="4">
        <f t="shared" si="60"/>
        <v>201</v>
      </c>
      <c r="B205" s="4"/>
      <c r="C205" s="4"/>
      <c r="D205" s="4"/>
      <c r="E205" s="4"/>
      <c r="F205" s="53" t="s">
        <v>37</v>
      </c>
      <c r="G205" s="4">
        <f>C199</f>
        <v>660</v>
      </c>
      <c r="H205" s="4">
        <v>100</v>
      </c>
      <c r="I205" s="4">
        <v>1</v>
      </c>
      <c r="J205" s="85" t="s">
        <v>119</v>
      </c>
      <c r="K205" s="39"/>
      <c r="L205" s="39"/>
      <c r="M205" s="4">
        <v>3</v>
      </c>
      <c r="N205" s="4">
        <v>3</v>
      </c>
      <c r="O205" s="4">
        <v>3</v>
      </c>
      <c r="P205" s="4">
        <v>3</v>
      </c>
      <c r="Q205" s="4" t="s">
        <v>64</v>
      </c>
      <c r="R205" s="6">
        <f t="shared" si="58"/>
        <v>5.0666666666666664</v>
      </c>
      <c r="S205" s="6"/>
      <c r="T205" s="6">
        <f t="shared" ref="T205:T207" si="62">R205</f>
        <v>5.0666666666666664</v>
      </c>
      <c r="U205" s="6"/>
      <c r="V205" s="6"/>
      <c r="W205" s="74" t="s">
        <v>191</v>
      </c>
      <c r="X205" s="20" t="str">
        <f t="shared" si="59"/>
        <v>KIT-W/U-B25-FILLER</v>
      </c>
      <c r="Y205" s="7">
        <f t="shared" si="57"/>
        <v>5.0666666666666664</v>
      </c>
      <c r="AA205"/>
      <c r="AE205"/>
    </row>
    <row r="206" spans="1:31" x14ac:dyDescent="0.3">
      <c r="A206" s="4">
        <f t="shared" si="60"/>
        <v>202</v>
      </c>
      <c r="B206" s="4"/>
      <c r="C206" s="4"/>
      <c r="D206" s="4"/>
      <c r="E206" s="4"/>
      <c r="F206" s="54" t="s">
        <v>115</v>
      </c>
      <c r="G206" s="48">
        <v>340</v>
      </c>
      <c r="H206" s="48">
        <v>900</v>
      </c>
      <c r="I206" s="4">
        <v>1</v>
      </c>
      <c r="J206" s="85" t="s">
        <v>119</v>
      </c>
      <c r="K206" s="39"/>
      <c r="L206" s="39"/>
      <c r="M206" s="4">
        <v>3</v>
      </c>
      <c r="N206" s="4">
        <v>3</v>
      </c>
      <c r="O206" s="4">
        <v>3</v>
      </c>
      <c r="P206" s="4">
        <v>3</v>
      </c>
      <c r="Q206" s="4" t="s">
        <v>64</v>
      </c>
      <c r="R206" s="6">
        <f t="shared" si="58"/>
        <v>8.2666666666666675</v>
      </c>
      <c r="S206" s="6"/>
      <c r="T206" s="6">
        <f t="shared" si="62"/>
        <v>8.2666666666666675</v>
      </c>
      <c r="U206" s="6"/>
      <c r="V206" s="6"/>
      <c r="W206" s="74" t="s">
        <v>191</v>
      </c>
      <c r="X206" s="20" t="str">
        <f t="shared" si="59"/>
        <v>KIT-W/U-B25-CMNY PANEL</v>
      </c>
      <c r="Y206" s="7">
        <f t="shared" si="57"/>
        <v>8.2666666666666675</v>
      </c>
      <c r="AA206"/>
      <c r="AE206"/>
    </row>
    <row r="207" spans="1:31" x14ac:dyDescent="0.3">
      <c r="A207" s="4">
        <f t="shared" si="60"/>
        <v>203</v>
      </c>
      <c r="B207" s="46" t="s">
        <v>114</v>
      </c>
      <c r="C207" s="23">
        <v>660</v>
      </c>
      <c r="D207" s="23">
        <f>340</f>
        <v>340</v>
      </c>
      <c r="E207" s="23">
        <v>300</v>
      </c>
      <c r="F207" s="40" t="s">
        <v>28</v>
      </c>
      <c r="G207" s="4">
        <f>C207</f>
        <v>660</v>
      </c>
      <c r="H207" s="4">
        <f>E207</f>
        <v>300</v>
      </c>
      <c r="I207" s="4">
        <v>1</v>
      </c>
      <c r="J207" s="85" t="s">
        <v>119</v>
      </c>
      <c r="K207" s="39"/>
      <c r="L207" s="39"/>
      <c r="M207" s="4">
        <v>3</v>
      </c>
      <c r="N207" s="4">
        <v>3</v>
      </c>
      <c r="O207" s="4">
        <v>3</v>
      </c>
      <c r="P207" s="4">
        <v>3</v>
      </c>
      <c r="Q207" s="4" t="s">
        <v>64</v>
      </c>
      <c r="R207" s="6">
        <f t="shared" si="58"/>
        <v>6.4</v>
      </c>
      <c r="S207" s="6"/>
      <c r="T207" s="6">
        <f t="shared" si="62"/>
        <v>6.4</v>
      </c>
      <c r="U207" s="6"/>
      <c r="V207" s="6"/>
      <c r="W207" s="74" t="s">
        <v>114</v>
      </c>
      <c r="X207" s="20" t="str">
        <f t="shared" si="59"/>
        <v>KIT-W/U-B26-LHS</v>
      </c>
      <c r="Y207" s="7">
        <f t="shared" si="57"/>
        <v>6.4</v>
      </c>
      <c r="AA207"/>
      <c r="AE207"/>
    </row>
    <row r="208" spans="1:31" x14ac:dyDescent="0.3">
      <c r="A208" s="4">
        <f t="shared" si="60"/>
        <v>204</v>
      </c>
      <c r="B208" s="49" t="s">
        <v>103</v>
      </c>
      <c r="C208" s="39"/>
      <c r="D208" s="39"/>
      <c r="E208" s="39"/>
      <c r="F208" s="17" t="s">
        <v>29</v>
      </c>
      <c r="G208" s="4">
        <f>G207</f>
        <v>660</v>
      </c>
      <c r="H208" s="4">
        <f>H207</f>
        <v>300</v>
      </c>
      <c r="I208" s="4">
        <v>1</v>
      </c>
      <c r="J208" s="62" t="s">
        <v>34</v>
      </c>
      <c r="K208" s="17" t="s">
        <v>15</v>
      </c>
      <c r="L208" s="39"/>
      <c r="M208" s="39">
        <v>1</v>
      </c>
      <c r="N208" s="39">
        <v>1</v>
      </c>
      <c r="O208" s="39">
        <v>1</v>
      </c>
      <c r="P208" s="39">
        <v>1</v>
      </c>
      <c r="Q208" s="4"/>
      <c r="R208" s="6">
        <f t="shared" si="58"/>
        <v>6.4</v>
      </c>
      <c r="S208" s="6">
        <f t="shared" ref="S208:S210" si="63">R208</f>
        <v>6.4</v>
      </c>
      <c r="T208" s="6"/>
      <c r="U208" s="6"/>
      <c r="V208" s="6"/>
      <c r="W208" s="74" t="s">
        <v>114</v>
      </c>
      <c r="X208" s="20" t="str">
        <f t="shared" si="59"/>
        <v>KIT-W/U-B26-RHS</v>
      </c>
      <c r="Y208" s="7">
        <f t="shared" si="57"/>
        <v>6.4</v>
      </c>
      <c r="AA208"/>
      <c r="AE208"/>
    </row>
    <row r="209" spans="1:31" x14ac:dyDescent="0.3">
      <c r="A209" s="4">
        <f t="shared" si="60"/>
        <v>205</v>
      </c>
      <c r="B209" s="4"/>
      <c r="C209" s="39"/>
      <c r="D209" s="39"/>
      <c r="E209" s="39"/>
      <c r="F209" s="17" t="s">
        <v>30</v>
      </c>
      <c r="G209" s="4">
        <f>D207-36</f>
        <v>304</v>
      </c>
      <c r="H209" s="4">
        <f>H208</f>
        <v>300</v>
      </c>
      <c r="I209" s="4">
        <v>1</v>
      </c>
      <c r="J209" s="62" t="s">
        <v>34</v>
      </c>
      <c r="K209" s="17" t="s">
        <v>15</v>
      </c>
      <c r="L209" s="39"/>
      <c r="M209" s="39">
        <v>1</v>
      </c>
      <c r="N209" s="39">
        <v>1</v>
      </c>
      <c r="O209" s="39">
        <v>1</v>
      </c>
      <c r="P209" s="39">
        <v>1</v>
      </c>
      <c r="Q209" s="4"/>
      <c r="R209" s="6">
        <f t="shared" si="58"/>
        <v>4.0266666666666664</v>
      </c>
      <c r="S209" s="6">
        <f t="shared" si="63"/>
        <v>4.0266666666666664</v>
      </c>
      <c r="T209" s="6"/>
      <c r="U209" s="6"/>
      <c r="V209" s="6"/>
      <c r="W209" s="74" t="s">
        <v>114</v>
      </c>
      <c r="X209" s="20" t="str">
        <f t="shared" si="59"/>
        <v>KIT-W/U-B26-TOP</v>
      </c>
      <c r="Y209" s="7">
        <f t="shared" si="57"/>
        <v>4.0266666666666664</v>
      </c>
      <c r="AA209"/>
      <c r="AE209"/>
    </row>
    <row r="210" spans="1:31" x14ac:dyDescent="0.3">
      <c r="A210" s="4">
        <f t="shared" si="60"/>
        <v>206</v>
      </c>
      <c r="B210" s="4"/>
      <c r="C210" s="103" t="s">
        <v>62</v>
      </c>
      <c r="D210" s="104"/>
      <c r="E210" s="105"/>
      <c r="F210" s="17" t="s">
        <v>31</v>
      </c>
      <c r="G210" s="4">
        <f>G209</f>
        <v>304</v>
      </c>
      <c r="H210" s="4">
        <f>H209</f>
        <v>300</v>
      </c>
      <c r="I210" s="4">
        <v>1</v>
      </c>
      <c r="J210" s="62" t="s">
        <v>34</v>
      </c>
      <c r="K210" s="17" t="s">
        <v>15</v>
      </c>
      <c r="L210" s="39"/>
      <c r="M210" s="39">
        <v>1</v>
      </c>
      <c r="N210" s="39">
        <v>1</v>
      </c>
      <c r="O210" s="39">
        <v>1</v>
      </c>
      <c r="P210" s="39">
        <v>1</v>
      </c>
      <c r="Q210" s="4"/>
      <c r="R210" s="6">
        <f t="shared" si="58"/>
        <v>4.0266666666666664</v>
      </c>
      <c r="S210" s="6">
        <f t="shared" si="63"/>
        <v>4.0266666666666664</v>
      </c>
      <c r="T210" s="6"/>
      <c r="U210" s="6"/>
      <c r="V210" s="6"/>
      <c r="W210" s="74" t="s">
        <v>114</v>
      </c>
      <c r="X210" s="20" t="str">
        <f t="shared" si="59"/>
        <v>KIT-W/U-B26-BTM</v>
      </c>
      <c r="Y210" s="7">
        <f t="shared" si="57"/>
        <v>4.0266666666666664</v>
      </c>
      <c r="AA210"/>
      <c r="AE210"/>
    </row>
    <row r="211" spans="1:31" x14ac:dyDescent="0.3">
      <c r="A211" s="4">
        <f t="shared" si="60"/>
        <v>207</v>
      </c>
      <c r="B211" s="4"/>
      <c r="C211" s="39"/>
      <c r="D211" s="39"/>
      <c r="E211" s="39"/>
      <c r="F211" s="17" t="s">
        <v>32</v>
      </c>
      <c r="G211" s="4">
        <f>C207-36+16</f>
        <v>640</v>
      </c>
      <c r="H211" s="4">
        <f>D207-36+16</f>
        <v>320</v>
      </c>
      <c r="I211" s="4">
        <v>1</v>
      </c>
      <c r="J211" s="62" t="s">
        <v>35</v>
      </c>
      <c r="K211" s="17" t="s">
        <v>15</v>
      </c>
      <c r="L211" s="4"/>
      <c r="M211" s="4"/>
      <c r="N211" s="4"/>
      <c r="O211" s="4"/>
      <c r="P211" s="4"/>
      <c r="Q211" s="4"/>
      <c r="R211" s="6">
        <f t="shared" si="58"/>
        <v>6.4</v>
      </c>
      <c r="S211" s="6"/>
      <c r="T211" s="6"/>
      <c r="U211" s="6"/>
      <c r="V211" s="6"/>
      <c r="W211" s="74" t="s">
        <v>114</v>
      </c>
      <c r="X211" s="20" t="str">
        <f t="shared" si="59"/>
        <v>KIT-W/U-B26-BACK UP</v>
      </c>
      <c r="Y211" s="7">
        <f t="shared" si="57"/>
        <v>6.4</v>
      </c>
      <c r="AA211"/>
      <c r="AE211"/>
    </row>
    <row r="212" spans="1:31" x14ac:dyDescent="0.3">
      <c r="A212" s="4">
        <f t="shared" si="60"/>
        <v>208</v>
      </c>
      <c r="B212" s="4"/>
      <c r="C212" s="4"/>
      <c r="D212" s="4"/>
      <c r="E212" s="4"/>
      <c r="F212" s="19" t="s">
        <v>33</v>
      </c>
      <c r="G212" s="4">
        <f>D207-36-1</f>
        <v>303</v>
      </c>
      <c r="H212" s="4">
        <f>E207-25</f>
        <v>275</v>
      </c>
      <c r="I212" s="4">
        <v>1</v>
      </c>
      <c r="J212" s="62" t="s">
        <v>34</v>
      </c>
      <c r="K212" s="17" t="s">
        <v>15</v>
      </c>
      <c r="L212" s="39"/>
      <c r="M212" s="39">
        <v>1</v>
      </c>
      <c r="N212" s="39">
        <v>1</v>
      </c>
      <c r="O212" s="39">
        <v>1</v>
      </c>
      <c r="P212" s="39">
        <v>1</v>
      </c>
      <c r="Q212" s="4"/>
      <c r="R212" s="6">
        <f t="shared" si="58"/>
        <v>3.8533333333333335</v>
      </c>
      <c r="S212" s="6">
        <f>R212</f>
        <v>3.8533333333333335</v>
      </c>
      <c r="T212" s="6"/>
      <c r="U212" s="6"/>
      <c r="V212" s="6"/>
      <c r="W212" s="74" t="s">
        <v>114</v>
      </c>
      <c r="X212" s="20" t="str">
        <f t="shared" si="59"/>
        <v>KIT-W/U-B26-Lshelf</v>
      </c>
      <c r="Y212" s="7">
        <f t="shared" si="57"/>
        <v>3.8533333333333335</v>
      </c>
      <c r="AA212"/>
      <c r="AE212"/>
    </row>
    <row r="213" spans="1:31" x14ac:dyDescent="0.3">
      <c r="A213" s="4">
        <f t="shared" si="60"/>
        <v>209</v>
      </c>
      <c r="B213" s="46" t="s">
        <v>192</v>
      </c>
      <c r="C213" s="23">
        <v>660</v>
      </c>
      <c r="D213" s="23">
        <v>200</v>
      </c>
      <c r="E213" s="23">
        <v>320</v>
      </c>
      <c r="F213" s="40" t="s">
        <v>28</v>
      </c>
      <c r="G213" s="4">
        <f>C213</f>
        <v>660</v>
      </c>
      <c r="H213" s="4">
        <f>E213</f>
        <v>320</v>
      </c>
      <c r="I213" s="4">
        <v>1</v>
      </c>
      <c r="J213" s="85" t="s">
        <v>119</v>
      </c>
      <c r="K213" s="39"/>
      <c r="L213" s="39"/>
      <c r="M213" s="4">
        <v>3</v>
      </c>
      <c r="N213" s="4">
        <v>3</v>
      </c>
      <c r="O213" s="4">
        <v>3</v>
      </c>
      <c r="P213" s="4">
        <v>3</v>
      </c>
      <c r="Q213" s="4" t="s">
        <v>64</v>
      </c>
      <c r="R213" s="6">
        <f t="shared" si="58"/>
        <v>6.5333333333333332</v>
      </c>
      <c r="S213" s="6"/>
      <c r="T213" s="6">
        <f t="shared" ref="T213:T216" si="64">R213</f>
        <v>6.5333333333333332</v>
      </c>
      <c r="U213" s="6"/>
      <c r="V213" s="6"/>
      <c r="W213" s="74" t="s">
        <v>192</v>
      </c>
      <c r="X213" s="20" t="str">
        <f t="shared" si="59"/>
        <v>KIT-W/U-B27-Open-LHS</v>
      </c>
      <c r="Y213" s="7">
        <f t="shared" si="57"/>
        <v>6.5333333333333332</v>
      </c>
      <c r="AA213"/>
      <c r="AE213"/>
    </row>
    <row r="214" spans="1:31" x14ac:dyDescent="0.3">
      <c r="A214" s="4">
        <f t="shared" si="60"/>
        <v>210</v>
      </c>
      <c r="B214" s="49" t="s">
        <v>117</v>
      </c>
      <c r="C214" s="39"/>
      <c r="D214" s="39"/>
      <c r="E214" s="39"/>
      <c r="F214" s="17" t="s">
        <v>29</v>
      </c>
      <c r="G214" s="4">
        <f>G213</f>
        <v>660</v>
      </c>
      <c r="H214" s="4">
        <f>H213</f>
        <v>320</v>
      </c>
      <c r="I214" s="4">
        <v>1</v>
      </c>
      <c r="J214" s="85" t="s">
        <v>119</v>
      </c>
      <c r="K214" s="39"/>
      <c r="L214" s="39"/>
      <c r="M214" s="4">
        <v>3</v>
      </c>
      <c r="N214" s="4">
        <v>3</v>
      </c>
      <c r="O214" s="4">
        <v>3</v>
      </c>
      <c r="P214" s="4">
        <v>3</v>
      </c>
      <c r="Q214" s="4" t="s">
        <v>64</v>
      </c>
      <c r="R214" s="6">
        <f t="shared" si="58"/>
        <v>6.5333333333333332</v>
      </c>
      <c r="S214" s="6"/>
      <c r="T214" s="6">
        <f t="shared" si="64"/>
        <v>6.5333333333333332</v>
      </c>
      <c r="U214" s="6"/>
      <c r="V214" s="6"/>
      <c r="W214" s="74" t="s">
        <v>192</v>
      </c>
      <c r="X214" s="20" t="str">
        <f t="shared" si="59"/>
        <v>KIT-W/U-B27-Open-RHS</v>
      </c>
      <c r="Y214" s="7">
        <f t="shared" si="57"/>
        <v>6.5333333333333332</v>
      </c>
      <c r="AA214"/>
      <c r="AE214"/>
    </row>
    <row r="215" spans="1:31" x14ac:dyDescent="0.3">
      <c r="A215" s="4">
        <f t="shared" si="60"/>
        <v>211</v>
      </c>
      <c r="B215" s="4"/>
      <c r="C215" s="39"/>
      <c r="D215" s="39"/>
      <c r="E215" s="39"/>
      <c r="F215" s="17" t="s">
        <v>30</v>
      </c>
      <c r="G215" s="4">
        <f>D213-36</f>
        <v>164</v>
      </c>
      <c r="H215" s="4">
        <f>H214</f>
        <v>320</v>
      </c>
      <c r="I215" s="4">
        <v>1</v>
      </c>
      <c r="J215" s="85" t="s">
        <v>119</v>
      </c>
      <c r="K215" s="39"/>
      <c r="L215" s="39"/>
      <c r="M215" s="4">
        <v>3</v>
      </c>
      <c r="N215" s="4">
        <v>3</v>
      </c>
      <c r="O215" s="4">
        <v>3</v>
      </c>
      <c r="P215" s="4">
        <v>3</v>
      </c>
      <c r="Q215" s="4" t="s">
        <v>64</v>
      </c>
      <c r="R215" s="6">
        <f t="shared" si="58"/>
        <v>3.2266666666666666</v>
      </c>
      <c r="S215" s="6"/>
      <c r="T215" s="6">
        <f t="shared" si="64"/>
        <v>3.2266666666666666</v>
      </c>
      <c r="U215" s="6"/>
      <c r="V215" s="6"/>
      <c r="W215" s="74" t="s">
        <v>192</v>
      </c>
      <c r="X215" s="20" t="str">
        <f t="shared" si="59"/>
        <v>KIT-W/U-B27-Open-TOP</v>
      </c>
      <c r="Y215" s="7">
        <f t="shared" si="57"/>
        <v>3.2266666666666666</v>
      </c>
      <c r="AA215"/>
      <c r="AE215"/>
    </row>
    <row r="216" spans="1:31" x14ac:dyDescent="0.3">
      <c r="A216" s="4">
        <f t="shared" si="60"/>
        <v>212</v>
      </c>
      <c r="B216" s="4"/>
      <c r="C216" s="39"/>
      <c r="D216" s="39"/>
      <c r="E216" s="39"/>
      <c r="F216" s="17" t="s">
        <v>31</v>
      </c>
      <c r="G216" s="4">
        <f>G215</f>
        <v>164</v>
      </c>
      <c r="H216" s="4">
        <f>H215</f>
        <v>320</v>
      </c>
      <c r="I216" s="4">
        <v>1</v>
      </c>
      <c r="J216" s="85" t="s">
        <v>119</v>
      </c>
      <c r="K216" s="39"/>
      <c r="L216" s="39"/>
      <c r="M216" s="4">
        <v>3</v>
      </c>
      <c r="N216" s="4">
        <v>3</v>
      </c>
      <c r="O216" s="4">
        <v>3</v>
      </c>
      <c r="P216" s="4">
        <v>3</v>
      </c>
      <c r="Q216" s="4" t="s">
        <v>64</v>
      </c>
      <c r="R216" s="6">
        <f t="shared" si="58"/>
        <v>3.2266666666666666</v>
      </c>
      <c r="S216" s="6"/>
      <c r="T216" s="6">
        <f t="shared" si="64"/>
        <v>3.2266666666666666</v>
      </c>
      <c r="U216" s="6"/>
      <c r="V216" s="6"/>
      <c r="W216" s="74" t="s">
        <v>192</v>
      </c>
      <c r="X216" s="20" t="str">
        <f t="shared" si="59"/>
        <v>KIT-W/U-B27-Open-BTM</v>
      </c>
      <c r="Y216" s="7">
        <f t="shared" si="57"/>
        <v>3.2266666666666666</v>
      </c>
      <c r="AA216"/>
      <c r="AE216"/>
    </row>
    <row r="217" spans="1:31" x14ac:dyDescent="0.3">
      <c r="A217" s="4">
        <f t="shared" si="60"/>
        <v>213</v>
      </c>
      <c r="B217" s="4"/>
      <c r="C217" s="39"/>
      <c r="D217" s="39"/>
      <c r="E217" s="39"/>
      <c r="F217" s="17" t="s">
        <v>32</v>
      </c>
      <c r="G217" s="4">
        <f>C213-36+16</f>
        <v>640</v>
      </c>
      <c r="H217" s="4">
        <f>D213-36+16</f>
        <v>180</v>
      </c>
      <c r="I217" s="4">
        <v>1</v>
      </c>
      <c r="J217" s="85" t="s">
        <v>121</v>
      </c>
      <c r="K217" s="5"/>
      <c r="L217" s="4"/>
      <c r="M217" s="4"/>
      <c r="N217" s="4"/>
      <c r="O217" s="4"/>
      <c r="P217" s="4"/>
      <c r="Q217" s="4" t="s">
        <v>64</v>
      </c>
      <c r="R217" s="6">
        <f t="shared" si="58"/>
        <v>5.4666666666666668</v>
      </c>
      <c r="S217" s="6"/>
      <c r="T217" s="6"/>
      <c r="U217" s="6"/>
      <c r="V217" s="6"/>
      <c r="W217" s="74" t="s">
        <v>192</v>
      </c>
      <c r="X217" s="20" t="str">
        <f t="shared" si="59"/>
        <v>KIT-W/U-B27-Open-BACK UP</v>
      </c>
      <c r="Y217" s="7">
        <f t="shared" si="57"/>
        <v>5.4666666666666668</v>
      </c>
      <c r="AA217"/>
      <c r="AE217"/>
    </row>
    <row r="218" spans="1:31" x14ac:dyDescent="0.3">
      <c r="A218" s="4">
        <f t="shared" si="60"/>
        <v>214</v>
      </c>
      <c r="B218" s="4"/>
      <c r="C218" s="4"/>
      <c r="D218" s="4"/>
      <c r="E218" s="4"/>
      <c r="F218" s="17" t="s">
        <v>38</v>
      </c>
      <c r="G218" s="4">
        <f>D213-36</f>
        <v>164</v>
      </c>
      <c r="H218" s="4">
        <f>E213-20</f>
        <v>300</v>
      </c>
      <c r="I218" s="4">
        <v>1</v>
      </c>
      <c r="J218" s="83" t="s">
        <v>122</v>
      </c>
      <c r="K218" s="39"/>
      <c r="L218" s="39"/>
      <c r="M218" s="4">
        <v>3</v>
      </c>
      <c r="N218" s="4">
        <v>3</v>
      </c>
      <c r="O218" s="4">
        <v>3</v>
      </c>
      <c r="P218" s="4">
        <v>3</v>
      </c>
      <c r="Q218" s="4" t="s">
        <v>64</v>
      </c>
      <c r="R218" s="6">
        <f t="shared" si="58"/>
        <v>3.0933333333333333</v>
      </c>
      <c r="S218" s="6"/>
      <c r="T218" s="6">
        <f>R218</f>
        <v>3.0933333333333333</v>
      </c>
      <c r="U218" s="6"/>
      <c r="V218" s="6"/>
      <c r="W218" s="74" t="s">
        <v>192</v>
      </c>
      <c r="X218" s="20" t="str">
        <f t="shared" si="59"/>
        <v>KIT-W/U-B27-Open-Fshelf</v>
      </c>
      <c r="Y218" s="7">
        <f t="shared" si="57"/>
        <v>3.0933333333333333</v>
      </c>
      <c r="AA218"/>
      <c r="AE218"/>
    </row>
    <row r="219" spans="1:31" x14ac:dyDescent="0.3">
      <c r="A219" s="4">
        <f t="shared" si="60"/>
        <v>215</v>
      </c>
      <c r="B219" s="46" t="s">
        <v>193</v>
      </c>
      <c r="C219" s="23">
        <v>660</v>
      </c>
      <c r="D219" s="23">
        <f>320+405</f>
        <v>725</v>
      </c>
      <c r="E219" s="23">
        <v>300</v>
      </c>
      <c r="F219" s="17" t="s">
        <v>28</v>
      </c>
      <c r="G219" s="39">
        <f>C219</f>
        <v>660</v>
      </c>
      <c r="H219" s="39">
        <f>E219</f>
        <v>300</v>
      </c>
      <c r="I219" s="39">
        <v>1</v>
      </c>
      <c r="J219" s="62" t="s">
        <v>34</v>
      </c>
      <c r="K219" s="17" t="s">
        <v>15</v>
      </c>
      <c r="L219" s="39"/>
      <c r="M219" s="39">
        <v>1</v>
      </c>
      <c r="N219" s="39">
        <v>1</v>
      </c>
      <c r="O219" s="39">
        <v>1</v>
      </c>
      <c r="P219" s="39">
        <v>1</v>
      </c>
      <c r="Q219" s="4"/>
      <c r="R219" s="6">
        <f t="shared" si="58"/>
        <v>6.4</v>
      </c>
      <c r="S219" s="6">
        <f t="shared" ref="S219:S222" si="65">R219</f>
        <v>6.4</v>
      </c>
      <c r="T219" s="6"/>
      <c r="U219" s="6"/>
      <c r="V219" s="6"/>
      <c r="W219" s="74" t="s">
        <v>193</v>
      </c>
      <c r="X219" s="20" t="str">
        <f t="shared" si="59"/>
        <v>KIT-W/U-B28-LHS</v>
      </c>
      <c r="Y219" s="7">
        <f t="shared" si="57"/>
        <v>6.4</v>
      </c>
      <c r="AA219"/>
      <c r="AE219"/>
    </row>
    <row r="220" spans="1:31" x14ac:dyDescent="0.3">
      <c r="A220" s="4">
        <f t="shared" si="60"/>
        <v>216</v>
      </c>
      <c r="B220" s="49" t="s">
        <v>93</v>
      </c>
      <c r="C220" s="39"/>
      <c r="D220" s="39"/>
      <c r="E220" s="39"/>
      <c r="F220" s="17" t="s">
        <v>29</v>
      </c>
      <c r="G220" s="39">
        <f>G219</f>
        <v>660</v>
      </c>
      <c r="H220" s="39">
        <f>H219</f>
        <v>300</v>
      </c>
      <c r="I220" s="39">
        <v>1</v>
      </c>
      <c r="J220" s="62" t="s">
        <v>34</v>
      </c>
      <c r="K220" s="17" t="s">
        <v>15</v>
      </c>
      <c r="L220" s="39"/>
      <c r="M220" s="39">
        <v>1</v>
      </c>
      <c r="N220" s="39">
        <v>1</v>
      </c>
      <c r="O220" s="39">
        <v>1</v>
      </c>
      <c r="P220" s="39">
        <v>1</v>
      </c>
      <c r="Q220" s="4"/>
      <c r="R220" s="6">
        <f t="shared" si="58"/>
        <v>6.4</v>
      </c>
      <c r="S220" s="6">
        <f t="shared" si="65"/>
        <v>6.4</v>
      </c>
      <c r="T220" s="6"/>
      <c r="U220" s="6"/>
      <c r="V220" s="6"/>
      <c r="W220" s="74" t="s">
        <v>193</v>
      </c>
      <c r="X220" s="20" t="str">
        <f t="shared" si="59"/>
        <v>KIT-W/U-B28-RHS</v>
      </c>
      <c r="Y220" s="7">
        <f t="shared" si="57"/>
        <v>6.4</v>
      </c>
      <c r="AA220"/>
      <c r="AE220"/>
    </row>
    <row r="221" spans="1:31" x14ac:dyDescent="0.3">
      <c r="A221" s="4">
        <f t="shared" si="60"/>
        <v>217</v>
      </c>
      <c r="B221" s="4"/>
      <c r="C221" s="39"/>
      <c r="D221" s="39"/>
      <c r="E221" s="39"/>
      <c r="F221" s="17" t="s">
        <v>30</v>
      </c>
      <c r="G221" s="39">
        <f>D219-36</f>
        <v>689</v>
      </c>
      <c r="H221" s="39">
        <f>H220</f>
        <v>300</v>
      </c>
      <c r="I221" s="39">
        <v>1</v>
      </c>
      <c r="J221" s="62" t="s">
        <v>34</v>
      </c>
      <c r="K221" s="17" t="s">
        <v>15</v>
      </c>
      <c r="L221" s="39"/>
      <c r="M221" s="39">
        <v>1</v>
      </c>
      <c r="N221" s="39">
        <v>1</v>
      </c>
      <c r="O221" s="39">
        <v>1</v>
      </c>
      <c r="P221" s="39">
        <v>1</v>
      </c>
      <c r="Q221" s="4"/>
      <c r="R221" s="6">
        <f t="shared" si="58"/>
        <v>6.5933333333333337</v>
      </c>
      <c r="S221" s="6">
        <f t="shared" si="65"/>
        <v>6.5933333333333337</v>
      </c>
      <c r="T221" s="6"/>
      <c r="U221" s="6"/>
      <c r="V221" s="6"/>
      <c r="W221" s="74" t="s">
        <v>193</v>
      </c>
      <c r="X221" s="20" t="str">
        <f t="shared" si="59"/>
        <v>KIT-W/U-B28-TOP</v>
      </c>
      <c r="Y221" s="7">
        <f t="shared" si="57"/>
        <v>6.5933333333333337</v>
      </c>
      <c r="AA221"/>
      <c r="AE221"/>
    </row>
    <row r="222" spans="1:31" x14ac:dyDescent="0.3">
      <c r="A222" s="4">
        <f t="shared" si="60"/>
        <v>218</v>
      </c>
      <c r="B222" s="4"/>
      <c r="C222" s="39" t="s">
        <v>25</v>
      </c>
      <c r="D222" s="39"/>
      <c r="E222" s="39"/>
      <c r="F222" s="17" t="s">
        <v>31</v>
      </c>
      <c r="G222" s="39">
        <f>G221</f>
        <v>689</v>
      </c>
      <c r="H222" s="39">
        <f>H221</f>
        <v>300</v>
      </c>
      <c r="I222" s="39">
        <v>1</v>
      </c>
      <c r="J222" s="62" t="s">
        <v>34</v>
      </c>
      <c r="K222" s="17" t="s">
        <v>15</v>
      </c>
      <c r="L222" s="39"/>
      <c r="M222" s="39">
        <v>1</v>
      </c>
      <c r="N222" s="39">
        <v>1</v>
      </c>
      <c r="O222" s="39">
        <v>1</v>
      </c>
      <c r="P222" s="39">
        <v>1</v>
      </c>
      <c r="Q222" s="4"/>
      <c r="R222" s="6">
        <f t="shared" si="58"/>
        <v>6.5933333333333337</v>
      </c>
      <c r="S222" s="6">
        <f t="shared" si="65"/>
        <v>6.5933333333333337</v>
      </c>
      <c r="T222" s="6"/>
      <c r="U222" s="6"/>
      <c r="V222" s="6"/>
      <c r="W222" s="74" t="s">
        <v>193</v>
      </c>
      <c r="X222" s="20" t="str">
        <f t="shared" si="59"/>
        <v>KIT-W/U-B28-BTM</v>
      </c>
      <c r="Y222" s="7">
        <f t="shared" si="57"/>
        <v>6.5933333333333337</v>
      </c>
      <c r="AA222"/>
      <c r="AE222"/>
    </row>
    <row r="223" spans="1:31" x14ac:dyDescent="0.3">
      <c r="A223" s="4">
        <f t="shared" si="60"/>
        <v>219</v>
      </c>
      <c r="B223" s="4"/>
      <c r="C223" s="39"/>
      <c r="D223" s="39"/>
      <c r="E223" s="39"/>
      <c r="F223" s="17" t="s">
        <v>32</v>
      </c>
      <c r="G223" s="39">
        <f>C219-36+16</f>
        <v>640</v>
      </c>
      <c r="H223" s="39">
        <f>D219-36+16</f>
        <v>705</v>
      </c>
      <c r="I223" s="39">
        <v>1</v>
      </c>
      <c r="J223" s="62" t="s">
        <v>35</v>
      </c>
      <c r="K223" s="17" t="s">
        <v>15</v>
      </c>
      <c r="L223" s="17"/>
      <c r="M223" s="17"/>
      <c r="N223" s="17"/>
      <c r="O223" s="17"/>
      <c r="P223" s="17"/>
      <c r="Q223" s="4"/>
      <c r="R223" s="6">
        <f t="shared" si="58"/>
        <v>8.9666666666666668</v>
      </c>
      <c r="S223" s="6"/>
      <c r="T223" s="6"/>
      <c r="U223" s="6"/>
      <c r="V223" s="6"/>
      <c r="W223" s="74" t="s">
        <v>193</v>
      </c>
      <c r="X223" s="20" t="str">
        <f t="shared" si="59"/>
        <v>KIT-W/U-B28-BACK UP</v>
      </c>
      <c r="Y223" s="7">
        <f t="shared" si="57"/>
        <v>8.9666666666666668</v>
      </c>
      <c r="AA223"/>
      <c r="AE223"/>
    </row>
    <row r="224" spans="1:31" x14ac:dyDescent="0.3">
      <c r="A224" s="4">
        <f t="shared" si="60"/>
        <v>220</v>
      </c>
      <c r="B224" s="4"/>
      <c r="C224" s="4"/>
      <c r="D224" s="4"/>
      <c r="E224" s="4"/>
      <c r="F224" s="19" t="s">
        <v>33</v>
      </c>
      <c r="G224" s="39">
        <f>D219-36-1</f>
        <v>688</v>
      </c>
      <c r="H224" s="39">
        <f>E219-25</f>
        <v>275</v>
      </c>
      <c r="I224" s="39">
        <v>1</v>
      </c>
      <c r="J224" s="62" t="s">
        <v>34</v>
      </c>
      <c r="K224" s="17" t="s">
        <v>15</v>
      </c>
      <c r="L224" s="39"/>
      <c r="M224" s="39">
        <v>1</v>
      </c>
      <c r="N224" s="39">
        <v>1</v>
      </c>
      <c r="O224" s="39">
        <v>1</v>
      </c>
      <c r="P224" s="39">
        <v>1</v>
      </c>
      <c r="Q224" s="4"/>
      <c r="R224" s="6">
        <f t="shared" si="58"/>
        <v>6.42</v>
      </c>
      <c r="S224" s="6">
        <f t="shared" ref="S224:S225" si="66">R224</f>
        <v>6.42</v>
      </c>
      <c r="T224" s="6"/>
      <c r="U224" s="6"/>
      <c r="V224" s="6"/>
      <c r="W224" s="74" t="s">
        <v>193</v>
      </c>
      <c r="X224" s="20" t="str">
        <f t="shared" si="59"/>
        <v>KIT-W/U-B28-Lshelf</v>
      </c>
      <c r="Y224" s="7">
        <f t="shared" si="57"/>
        <v>6.42</v>
      </c>
      <c r="AA224"/>
      <c r="AE224"/>
    </row>
    <row r="225" spans="1:31" x14ac:dyDescent="0.3">
      <c r="A225" s="4">
        <f t="shared" si="60"/>
        <v>221</v>
      </c>
      <c r="B225" s="4"/>
      <c r="C225" s="4"/>
      <c r="D225" s="4"/>
      <c r="E225" s="4"/>
      <c r="F225" s="53" t="s">
        <v>96</v>
      </c>
      <c r="G225" s="38">
        <f>C219</f>
        <v>660</v>
      </c>
      <c r="H225" s="38">
        <f>E219+20</f>
        <v>320</v>
      </c>
      <c r="I225" s="39">
        <v>1</v>
      </c>
      <c r="J225" s="62" t="s">
        <v>34</v>
      </c>
      <c r="K225" s="17" t="s">
        <v>15</v>
      </c>
      <c r="L225" s="39"/>
      <c r="M225" s="39">
        <v>1</v>
      </c>
      <c r="N225" s="39">
        <v>1</v>
      </c>
      <c r="O225" s="39">
        <v>1</v>
      </c>
      <c r="P225" s="39">
        <v>1</v>
      </c>
      <c r="Q225" s="4"/>
      <c r="R225" s="6">
        <f t="shared" si="58"/>
        <v>6.5333333333333332</v>
      </c>
      <c r="S225" s="6">
        <f t="shared" si="66"/>
        <v>6.5333333333333332</v>
      </c>
      <c r="T225" s="6"/>
      <c r="U225" s="6"/>
      <c r="V225" s="6"/>
      <c r="W225" s="74" t="s">
        <v>193</v>
      </c>
      <c r="X225" s="20" t="str">
        <f t="shared" si="59"/>
        <v>KIT-W/U-B28-INNER PLANK</v>
      </c>
      <c r="Y225" s="7">
        <f t="shared" si="57"/>
        <v>6.5333333333333332</v>
      </c>
      <c r="AA225"/>
      <c r="AE225"/>
    </row>
    <row r="226" spans="1:31" x14ac:dyDescent="0.3">
      <c r="A226" s="4">
        <f t="shared" si="60"/>
        <v>222</v>
      </c>
      <c r="B226" s="4"/>
      <c r="C226" s="4"/>
      <c r="D226" s="4"/>
      <c r="E226" s="4"/>
      <c r="F226" s="19" t="s">
        <v>36</v>
      </c>
      <c r="G226" s="39">
        <f>C219-2</f>
        <v>658</v>
      </c>
      <c r="H226" s="39">
        <f>D219-E219-2</f>
        <v>423</v>
      </c>
      <c r="I226" s="39">
        <v>1</v>
      </c>
      <c r="J226" s="61" t="s">
        <v>119</v>
      </c>
      <c r="K226" s="5"/>
      <c r="L226" s="4"/>
      <c r="M226" s="4">
        <v>3</v>
      </c>
      <c r="N226" s="4">
        <v>3</v>
      </c>
      <c r="O226" s="4">
        <v>3</v>
      </c>
      <c r="P226" s="4">
        <v>3</v>
      </c>
      <c r="Q226" s="4" t="s">
        <v>64</v>
      </c>
      <c r="R226" s="6">
        <f t="shared" si="58"/>
        <v>7.206666666666667</v>
      </c>
      <c r="S226" s="6"/>
      <c r="T226" s="6">
        <f>R226</f>
        <v>7.206666666666667</v>
      </c>
      <c r="U226" s="6"/>
      <c r="V226" s="6"/>
      <c r="W226" s="74" t="s">
        <v>193</v>
      </c>
      <c r="X226" s="20" t="str">
        <f t="shared" si="59"/>
        <v>KIT-W/U-B28-SHUTTER</v>
      </c>
      <c r="Y226" s="7">
        <f t="shared" si="57"/>
        <v>7.206666666666667</v>
      </c>
      <c r="AA226"/>
      <c r="AE226"/>
    </row>
    <row r="227" spans="1:31" x14ac:dyDescent="0.3">
      <c r="A227" s="4">
        <f t="shared" si="60"/>
        <v>223</v>
      </c>
      <c r="B227" s="46" t="s">
        <v>118</v>
      </c>
      <c r="C227" s="23">
        <v>660</v>
      </c>
      <c r="D227" s="23">
        <v>810</v>
      </c>
      <c r="E227" s="23">
        <v>300</v>
      </c>
      <c r="F227" s="40" t="s">
        <v>28</v>
      </c>
      <c r="G227" s="4">
        <f>C227</f>
        <v>660</v>
      </c>
      <c r="H227" s="4">
        <f>E227</f>
        <v>300</v>
      </c>
      <c r="I227" s="4">
        <v>1</v>
      </c>
      <c r="J227" s="62" t="s">
        <v>34</v>
      </c>
      <c r="K227" s="17" t="s">
        <v>15</v>
      </c>
      <c r="L227" s="39"/>
      <c r="M227" s="39">
        <v>1</v>
      </c>
      <c r="N227" s="39">
        <v>1</v>
      </c>
      <c r="O227" s="39">
        <v>1</v>
      </c>
      <c r="P227" s="39">
        <v>1</v>
      </c>
      <c r="Q227" s="4"/>
      <c r="R227" s="6">
        <f t="shared" si="58"/>
        <v>6.4</v>
      </c>
      <c r="S227" s="6">
        <f t="shared" ref="S227:S230" si="67">R227</f>
        <v>6.4</v>
      </c>
      <c r="T227" s="6"/>
      <c r="U227" s="6"/>
      <c r="V227" s="6"/>
      <c r="W227" s="74" t="s">
        <v>118</v>
      </c>
      <c r="X227" s="20" t="str">
        <f t="shared" si="59"/>
        <v>KIT-W/U-B29-LHS</v>
      </c>
      <c r="Y227" s="7">
        <f t="shared" si="57"/>
        <v>6.4</v>
      </c>
      <c r="AA227"/>
      <c r="AE227"/>
    </row>
    <row r="228" spans="1:31" x14ac:dyDescent="0.3">
      <c r="A228" s="4">
        <f t="shared" si="60"/>
        <v>224</v>
      </c>
      <c r="B228" s="49" t="s">
        <v>103</v>
      </c>
      <c r="C228" s="39"/>
      <c r="D228" s="39"/>
      <c r="E228" s="39"/>
      <c r="F228" s="17" t="s">
        <v>29</v>
      </c>
      <c r="G228" s="4">
        <f>G227</f>
        <v>660</v>
      </c>
      <c r="H228" s="4">
        <f>H227</f>
        <v>300</v>
      </c>
      <c r="I228" s="4">
        <v>1</v>
      </c>
      <c r="J228" s="62" t="s">
        <v>34</v>
      </c>
      <c r="K228" s="17" t="s">
        <v>15</v>
      </c>
      <c r="L228" s="39"/>
      <c r="M228" s="39">
        <v>1</v>
      </c>
      <c r="N228" s="39">
        <v>1</v>
      </c>
      <c r="O228" s="39">
        <v>1</v>
      </c>
      <c r="P228" s="39">
        <v>1</v>
      </c>
      <c r="Q228" s="4"/>
      <c r="R228" s="6">
        <f t="shared" si="58"/>
        <v>6.4</v>
      </c>
      <c r="S228" s="6">
        <f t="shared" si="67"/>
        <v>6.4</v>
      </c>
      <c r="T228" s="6"/>
      <c r="U228" s="6"/>
      <c r="V228" s="6"/>
      <c r="W228" s="74" t="s">
        <v>118</v>
      </c>
      <c r="X228" s="20" t="str">
        <f t="shared" si="59"/>
        <v>KIT-W/U-B29-RHS</v>
      </c>
      <c r="Y228" s="7">
        <f t="shared" si="57"/>
        <v>6.4</v>
      </c>
      <c r="AA228"/>
      <c r="AE228"/>
    </row>
    <row r="229" spans="1:31" x14ac:dyDescent="0.3">
      <c r="A229" s="4">
        <f t="shared" si="60"/>
        <v>225</v>
      </c>
      <c r="B229" s="4"/>
      <c r="C229" s="39"/>
      <c r="D229" s="39"/>
      <c r="E229" s="39"/>
      <c r="F229" s="17" t="s">
        <v>30</v>
      </c>
      <c r="G229" s="4">
        <f>D227-36</f>
        <v>774</v>
      </c>
      <c r="H229" s="4">
        <f>H228</f>
        <v>300</v>
      </c>
      <c r="I229" s="4">
        <v>1</v>
      </c>
      <c r="J229" s="62" t="s">
        <v>34</v>
      </c>
      <c r="K229" s="17" t="s">
        <v>15</v>
      </c>
      <c r="L229" s="39"/>
      <c r="M229" s="39">
        <v>1</v>
      </c>
      <c r="N229" s="39">
        <v>1</v>
      </c>
      <c r="O229" s="39">
        <v>1</v>
      </c>
      <c r="P229" s="39">
        <v>1</v>
      </c>
      <c r="Q229" s="4"/>
      <c r="R229" s="6">
        <f t="shared" si="58"/>
        <v>7.16</v>
      </c>
      <c r="S229" s="6">
        <f t="shared" si="67"/>
        <v>7.16</v>
      </c>
      <c r="T229" s="6"/>
      <c r="U229" s="6"/>
      <c r="V229" s="6"/>
      <c r="W229" s="74" t="s">
        <v>118</v>
      </c>
      <c r="X229" s="20" t="str">
        <f t="shared" si="59"/>
        <v>KIT-W/U-B29-TOP</v>
      </c>
      <c r="Y229" s="7">
        <f t="shared" si="57"/>
        <v>7.16</v>
      </c>
      <c r="AA229"/>
      <c r="AE229"/>
    </row>
    <row r="230" spans="1:31" x14ac:dyDescent="0.3">
      <c r="A230" s="4">
        <f t="shared" si="60"/>
        <v>226</v>
      </c>
      <c r="B230" s="4"/>
      <c r="C230" s="103" t="s">
        <v>62</v>
      </c>
      <c r="D230" s="104"/>
      <c r="E230" s="105"/>
      <c r="F230" s="17" t="s">
        <v>31</v>
      </c>
      <c r="G230" s="4">
        <f>G229</f>
        <v>774</v>
      </c>
      <c r="H230" s="4">
        <f>H229</f>
        <v>300</v>
      </c>
      <c r="I230" s="4">
        <v>1</v>
      </c>
      <c r="J230" s="62" t="s">
        <v>34</v>
      </c>
      <c r="K230" s="17" t="s">
        <v>15</v>
      </c>
      <c r="L230" s="39"/>
      <c r="M230" s="39">
        <v>1</v>
      </c>
      <c r="N230" s="39">
        <v>1</v>
      </c>
      <c r="O230" s="39">
        <v>1</v>
      </c>
      <c r="P230" s="39">
        <v>1</v>
      </c>
      <c r="Q230" s="4"/>
      <c r="R230" s="6">
        <f t="shared" si="58"/>
        <v>7.16</v>
      </c>
      <c r="S230" s="6">
        <f t="shared" si="67"/>
        <v>7.16</v>
      </c>
      <c r="T230" s="6"/>
      <c r="U230" s="6"/>
      <c r="V230" s="6"/>
      <c r="W230" s="74" t="s">
        <v>118</v>
      </c>
      <c r="X230" s="20" t="str">
        <f t="shared" si="59"/>
        <v>KIT-W/U-B29-BTM</v>
      </c>
      <c r="Y230" s="7">
        <f t="shared" si="57"/>
        <v>7.16</v>
      </c>
      <c r="AA230"/>
      <c r="AE230"/>
    </row>
    <row r="231" spans="1:31" x14ac:dyDescent="0.3">
      <c r="A231" s="4">
        <f t="shared" si="60"/>
        <v>227</v>
      </c>
      <c r="B231" s="4"/>
      <c r="C231" s="39"/>
      <c r="D231" s="39"/>
      <c r="E231" s="39"/>
      <c r="F231" s="17" t="s">
        <v>32</v>
      </c>
      <c r="G231" s="4">
        <f>C227-36+16</f>
        <v>640</v>
      </c>
      <c r="H231" s="4">
        <f>D227-36+16</f>
        <v>790</v>
      </c>
      <c r="I231" s="4">
        <v>1</v>
      </c>
      <c r="J231" s="62" t="s">
        <v>35</v>
      </c>
      <c r="K231" s="17" t="s">
        <v>15</v>
      </c>
      <c r="L231" s="4"/>
      <c r="M231" s="4"/>
      <c r="N231" s="4"/>
      <c r="O231" s="4"/>
      <c r="P231" s="4"/>
      <c r="Q231" s="4"/>
      <c r="R231" s="6">
        <f t="shared" si="58"/>
        <v>9.5333333333333332</v>
      </c>
      <c r="S231" s="6"/>
      <c r="T231" s="6"/>
      <c r="U231" s="6"/>
      <c r="V231" s="6"/>
      <c r="W231" s="74" t="s">
        <v>118</v>
      </c>
      <c r="X231" s="20" t="str">
        <f t="shared" si="59"/>
        <v>KIT-W/U-B29-BACK UP</v>
      </c>
      <c r="Y231" s="7">
        <f t="shared" si="57"/>
        <v>9.5333333333333332</v>
      </c>
      <c r="AA231"/>
      <c r="AE231"/>
    </row>
    <row r="232" spans="1:31" x14ac:dyDescent="0.3">
      <c r="A232" s="4">
        <f t="shared" si="60"/>
        <v>228</v>
      </c>
      <c r="B232" s="4"/>
      <c r="C232" s="4"/>
      <c r="D232" s="4"/>
      <c r="E232" s="4"/>
      <c r="F232" s="19" t="s">
        <v>33</v>
      </c>
      <c r="G232" s="4">
        <f>D227-36-1</f>
        <v>773</v>
      </c>
      <c r="H232" s="4">
        <f>E227-25</f>
        <v>275</v>
      </c>
      <c r="I232" s="4">
        <v>1</v>
      </c>
      <c r="J232" s="62" t="s">
        <v>34</v>
      </c>
      <c r="K232" s="17" t="s">
        <v>15</v>
      </c>
      <c r="L232" s="39"/>
      <c r="M232" s="39">
        <v>1</v>
      </c>
      <c r="N232" s="39">
        <v>1</v>
      </c>
      <c r="O232" s="39">
        <v>1</v>
      </c>
      <c r="P232" s="39">
        <v>1</v>
      </c>
      <c r="Q232" s="4"/>
      <c r="R232" s="6">
        <f t="shared" si="58"/>
        <v>6.9866666666666664</v>
      </c>
      <c r="S232" s="6">
        <f t="shared" ref="S232:S233" si="68">R232</f>
        <v>6.9866666666666664</v>
      </c>
      <c r="T232" s="6"/>
      <c r="U232" s="6"/>
      <c r="V232" s="6"/>
      <c r="W232" s="74" t="s">
        <v>118</v>
      </c>
      <c r="X232" s="20" t="str">
        <f t="shared" si="59"/>
        <v>KIT-W/U-B29-Lshelf</v>
      </c>
      <c r="Y232" s="7">
        <f t="shared" si="57"/>
        <v>6.9866666666666664</v>
      </c>
      <c r="AA232"/>
      <c r="AE232"/>
    </row>
    <row r="233" spans="1:31" x14ac:dyDescent="0.3">
      <c r="A233" s="4">
        <f t="shared" si="60"/>
        <v>229</v>
      </c>
      <c r="B233" s="46" t="s">
        <v>123</v>
      </c>
      <c r="C233" s="23">
        <v>660</v>
      </c>
      <c r="D233" s="23">
        <v>810</v>
      </c>
      <c r="E233" s="23">
        <v>300</v>
      </c>
      <c r="F233" s="40" t="s">
        <v>28</v>
      </c>
      <c r="G233" s="4">
        <f>C233</f>
        <v>660</v>
      </c>
      <c r="H233" s="4">
        <f>E233</f>
        <v>300</v>
      </c>
      <c r="I233" s="4">
        <v>1</v>
      </c>
      <c r="J233" s="62" t="s">
        <v>34</v>
      </c>
      <c r="K233" s="17" t="s">
        <v>15</v>
      </c>
      <c r="L233" s="39"/>
      <c r="M233" s="39">
        <v>1</v>
      </c>
      <c r="N233" s="39">
        <v>1</v>
      </c>
      <c r="O233" s="39">
        <v>1</v>
      </c>
      <c r="P233" s="39">
        <v>1</v>
      </c>
      <c r="Q233" s="4"/>
      <c r="R233" s="6">
        <f t="shared" si="58"/>
        <v>6.4</v>
      </c>
      <c r="S233" s="6">
        <f t="shared" si="68"/>
        <v>6.4</v>
      </c>
      <c r="T233" s="6"/>
      <c r="U233" s="6"/>
      <c r="V233" s="6"/>
      <c r="W233" s="74" t="s">
        <v>123</v>
      </c>
      <c r="X233" s="20" t="str">
        <f t="shared" si="59"/>
        <v>KIT-W/U-B30-LHS</v>
      </c>
      <c r="Y233" s="7">
        <f t="shared" si="57"/>
        <v>6.4</v>
      </c>
      <c r="AA233"/>
      <c r="AE233"/>
    </row>
    <row r="234" spans="1:31" x14ac:dyDescent="0.3">
      <c r="A234" s="4">
        <f t="shared" si="60"/>
        <v>230</v>
      </c>
      <c r="B234" s="49" t="s">
        <v>103</v>
      </c>
      <c r="C234" s="39"/>
      <c r="D234" s="39"/>
      <c r="E234" s="39"/>
      <c r="F234" s="17" t="s">
        <v>29</v>
      </c>
      <c r="G234" s="4">
        <f>G233</f>
        <v>660</v>
      </c>
      <c r="H234" s="4">
        <f>H233</f>
        <v>300</v>
      </c>
      <c r="I234" s="4">
        <v>1</v>
      </c>
      <c r="J234" s="61" t="s">
        <v>119</v>
      </c>
      <c r="K234" s="5"/>
      <c r="L234" s="4"/>
      <c r="M234" s="4">
        <v>3</v>
      </c>
      <c r="N234" s="4">
        <v>3</v>
      </c>
      <c r="O234" s="4">
        <v>3</v>
      </c>
      <c r="P234" s="4">
        <v>3</v>
      </c>
      <c r="Q234" s="4" t="s">
        <v>64</v>
      </c>
      <c r="R234" s="6">
        <f t="shared" si="58"/>
        <v>6.4</v>
      </c>
      <c r="S234" s="6"/>
      <c r="T234" s="6">
        <f>R234</f>
        <v>6.4</v>
      </c>
      <c r="U234" s="6"/>
      <c r="V234" s="6"/>
      <c r="W234" s="74" t="s">
        <v>123</v>
      </c>
      <c r="X234" s="20" t="str">
        <f t="shared" si="59"/>
        <v>KIT-W/U-B30-RHS</v>
      </c>
      <c r="Y234" s="7">
        <f t="shared" si="57"/>
        <v>6.4</v>
      </c>
      <c r="AA234"/>
      <c r="AE234"/>
    </row>
    <row r="235" spans="1:31" x14ac:dyDescent="0.3">
      <c r="A235" s="4">
        <f t="shared" si="60"/>
        <v>231</v>
      </c>
      <c r="B235" s="4"/>
      <c r="C235" s="39"/>
      <c r="D235" s="39"/>
      <c r="E235" s="39"/>
      <c r="F235" s="17" t="s">
        <v>30</v>
      </c>
      <c r="G235" s="4">
        <f>D233-36</f>
        <v>774</v>
      </c>
      <c r="H235" s="4">
        <f>H234</f>
        <v>300</v>
      </c>
      <c r="I235" s="4">
        <v>1</v>
      </c>
      <c r="J235" s="62" t="s">
        <v>34</v>
      </c>
      <c r="K235" s="17" t="s">
        <v>15</v>
      </c>
      <c r="L235" s="39"/>
      <c r="M235" s="39">
        <v>1</v>
      </c>
      <c r="N235" s="39">
        <v>1</v>
      </c>
      <c r="O235" s="39">
        <v>1</v>
      </c>
      <c r="P235" s="39">
        <v>1</v>
      </c>
      <c r="Q235" s="4"/>
      <c r="R235" s="6">
        <f t="shared" si="58"/>
        <v>7.16</v>
      </c>
      <c r="S235" s="6">
        <f t="shared" ref="S235:S236" si="69">R235</f>
        <v>7.16</v>
      </c>
      <c r="T235" s="6"/>
      <c r="U235" s="6"/>
      <c r="V235" s="6"/>
      <c r="W235" s="74" t="s">
        <v>123</v>
      </c>
      <c r="X235" s="20" t="str">
        <f t="shared" si="59"/>
        <v>KIT-W/U-B30-TOP</v>
      </c>
      <c r="Y235" s="7">
        <f t="shared" si="57"/>
        <v>7.16</v>
      </c>
      <c r="AA235"/>
      <c r="AE235"/>
    </row>
    <row r="236" spans="1:31" x14ac:dyDescent="0.3">
      <c r="A236" s="4">
        <f t="shared" si="60"/>
        <v>232</v>
      </c>
      <c r="B236" s="4"/>
      <c r="C236" s="39"/>
      <c r="D236" s="39"/>
      <c r="E236" s="39"/>
      <c r="F236" s="17" t="s">
        <v>31</v>
      </c>
      <c r="G236" s="4">
        <f>G235</f>
        <v>774</v>
      </c>
      <c r="H236" s="4">
        <f>H235</f>
        <v>300</v>
      </c>
      <c r="I236" s="4">
        <v>1</v>
      </c>
      <c r="J236" s="62" t="s">
        <v>34</v>
      </c>
      <c r="K236" s="17" t="s">
        <v>15</v>
      </c>
      <c r="L236" s="39"/>
      <c r="M236" s="39">
        <v>1</v>
      </c>
      <c r="N236" s="39">
        <v>1</v>
      </c>
      <c r="O236" s="39">
        <v>1</v>
      </c>
      <c r="P236" s="39">
        <v>1</v>
      </c>
      <c r="Q236" s="4"/>
      <c r="R236" s="6">
        <f t="shared" si="58"/>
        <v>7.16</v>
      </c>
      <c r="S236" s="6">
        <f t="shared" si="69"/>
        <v>7.16</v>
      </c>
      <c r="T236" s="6"/>
      <c r="U236" s="6"/>
      <c r="V236" s="6"/>
      <c r="W236" s="74" t="s">
        <v>123</v>
      </c>
      <c r="X236" s="20" t="str">
        <f t="shared" si="59"/>
        <v>KIT-W/U-B30-BTM</v>
      </c>
      <c r="Y236" s="7">
        <f t="shared" si="57"/>
        <v>7.16</v>
      </c>
      <c r="AA236"/>
      <c r="AE236"/>
    </row>
    <row r="237" spans="1:31" x14ac:dyDescent="0.3">
      <c r="A237" s="4">
        <f t="shared" si="60"/>
        <v>233</v>
      </c>
      <c r="B237" s="4"/>
      <c r="C237" s="39"/>
      <c r="D237" s="39"/>
      <c r="E237" s="39"/>
      <c r="F237" s="17" t="s">
        <v>32</v>
      </c>
      <c r="G237" s="4">
        <f>C233-36+16</f>
        <v>640</v>
      </c>
      <c r="H237" s="4">
        <f>D233-36+16</f>
        <v>790</v>
      </c>
      <c r="I237" s="4">
        <v>1</v>
      </c>
      <c r="J237" s="62" t="s">
        <v>35</v>
      </c>
      <c r="K237" s="17" t="s">
        <v>15</v>
      </c>
      <c r="L237" s="4"/>
      <c r="M237" s="4"/>
      <c r="N237" s="4"/>
      <c r="O237" s="4"/>
      <c r="P237" s="4"/>
      <c r="Q237" s="4"/>
      <c r="R237" s="6">
        <f t="shared" si="58"/>
        <v>9.5333333333333332</v>
      </c>
      <c r="S237" s="6"/>
      <c r="T237" s="6"/>
      <c r="U237" s="6"/>
      <c r="V237" s="6"/>
      <c r="W237" s="74" t="s">
        <v>123</v>
      </c>
      <c r="X237" s="20" t="str">
        <f t="shared" si="59"/>
        <v>KIT-W/U-B30-BACK UP</v>
      </c>
      <c r="Y237" s="7">
        <f t="shared" si="57"/>
        <v>9.5333333333333332</v>
      </c>
      <c r="AA237"/>
      <c r="AE237"/>
    </row>
    <row r="238" spans="1:31" x14ac:dyDescent="0.3">
      <c r="A238" s="4">
        <f t="shared" si="60"/>
        <v>234</v>
      </c>
      <c r="B238" s="4"/>
      <c r="C238" s="4"/>
      <c r="D238" s="4"/>
      <c r="E238" s="4"/>
      <c r="F238" s="19" t="s">
        <v>33</v>
      </c>
      <c r="G238" s="4">
        <f>D233-36-1</f>
        <v>773</v>
      </c>
      <c r="H238" s="4">
        <f>E233-25</f>
        <v>275</v>
      </c>
      <c r="I238" s="4">
        <v>1</v>
      </c>
      <c r="J238" s="62" t="s">
        <v>34</v>
      </c>
      <c r="K238" s="17" t="s">
        <v>15</v>
      </c>
      <c r="L238" s="39"/>
      <c r="M238" s="39">
        <v>1</v>
      </c>
      <c r="N238" s="39">
        <v>1</v>
      </c>
      <c r="O238" s="39">
        <v>1</v>
      </c>
      <c r="P238" s="39">
        <v>1</v>
      </c>
      <c r="Q238" s="4"/>
      <c r="R238" s="6">
        <f t="shared" si="58"/>
        <v>6.9866666666666664</v>
      </c>
      <c r="S238" s="6">
        <f>R238</f>
        <v>6.9866666666666664</v>
      </c>
      <c r="T238" s="6"/>
      <c r="U238" s="6"/>
      <c r="V238" s="6"/>
      <c r="W238" s="74" t="s">
        <v>123</v>
      </c>
      <c r="X238" s="20" t="str">
        <f t="shared" si="59"/>
        <v>KIT-W/U-B30-Lshelf</v>
      </c>
      <c r="Y238" s="7">
        <f t="shared" si="57"/>
        <v>6.9866666666666664</v>
      </c>
      <c r="AA238"/>
      <c r="AE238"/>
    </row>
    <row r="239" spans="1:31" x14ac:dyDescent="0.3">
      <c r="A239" s="4">
        <f t="shared" si="60"/>
        <v>235</v>
      </c>
      <c r="B239" s="4"/>
      <c r="C239" s="4"/>
      <c r="D239" s="4"/>
      <c r="E239" s="4"/>
      <c r="F239" s="19" t="s">
        <v>120</v>
      </c>
      <c r="G239" s="4">
        <f>C233-2</f>
        <v>658</v>
      </c>
      <c r="H239" s="4">
        <f>D233/2-2</f>
        <v>403</v>
      </c>
      <c r="I239" s="4">
        <v>2</v>
      </c>
      <c r="J239" s="61" t="s">
        <v>119</v>
      </c>
      <c r="K239" s="5"/>
      <c r="L239" s="4"/>
      <c r="M239" s="4">
        <v>3</v>
      </c>
      <c r="N239" s="4">
        <v>3</v>
      </c>
      <c r="O239" s="4">
        <v>3</v>
      </c>
      <c r="P239" s="4">
        <v>3</v>
      </c>
      <c r="Q239" s="4" t="s">
        <v>64</v>
      </c>
      <c r="R239" s="6">
        <f t="shared" si="58"/>
        <v>14.146666666666667</v>
      </c>
      <c r="S239" s="6"/>
      <c r="T239" s="6">
        <f t="shared" ref="T239:T243" si="70">R239</f>
        <v>14.146666666666667</v>
      </c>
      <c r="U239" s="6"/>
      <c r="V239" s="6"/>
      <c r="W239" s="74" t="s">
        <v>123</v>
      </c>
      <c r="X239" s="20" t="str">
        <f t="shared" si="59"/>
        <v>KIT-W/U-B30-SHUTERS</v>
      </c>
      <c r="Y239" s="7">
        <f t="shared" si="57"/>
        <v>14.146666666666667</v>
      </c>
      <c r="AA239"/>
      <c r="AE239"/>
    </row>
    <row r="240" spans="1:31" x14ac:dyDescent="0.3">
      <c r="A240" s="4">
        <f t="shared" si="60"/>
        <v>236</v>
      </c>
      <c r="B240" s="46" t="s">
        <v>194</v>
      </c>
      <c r="C240" s="23">
        <v>200</v>
      </c>
      <c r="D240" s="23">
        <f>433+433</f>
        <v>866</v>
      </c>
      <c r="E240" s="23">
        <v>200</v>
      </c>
      <c r="F240" s="40" t="s">
        <v>28</v>
      </c>
      <c r="G240" s="4">
        <f>C240</f>
        <v>200</v>
      </c>
      <c r="H240" s="4">
        <f>E240</f>
        <v>200</v>
      </c>
      <c r="I240" s="4">
        <v>1</v>
      </c>
      <c r="J240" s="85" t="s">
        <v>119</v>
      </c>
      <c r="K240" s="39"/>
      <c r="L240" s="39"/>
      <c r="M240" s="4">
        <v>3</v>
      </c>
      <c r="N240" s="4">
        <v>3</v>
      </c>
      <c r="O240" s="4">
        <v>3</v>
      </c>
      <c r="P240" s="4">
        <v>3</v>
      </c>
      <c r="Q240" s="4" t="s">
        <v>64</v>
      </c>
      <c r="R240" s="6">
        <f t="shared" si="58"/>
        <v>2.6666666666666665</v>
      </c>
      <c r="S240" s="6"/>
      <c r="T240" s="6">
        <f t="shared" si="70"/>
        <v>2.6666666666666665</v>
      </c>
      <c r="U240" s="6"/>
      <c r="V240" s="6"/>
      <c r="W240" s="74" t="s">
        <v>194</v>
      </c>
      <c r="X240" s="20" t="str">
        <f t="shared" si="59"/>
        <v>KIT-W/U-B31-Open-LHS</v>
      </c>
      <c r="Y240" s="7">
        <f t="shared" si="57"/>
        <v>2.6666666666666665</v>
      </c>
      <c r="AA240"/>
      <c r="AE240"/>
    </row>
    <row r="241" spans="1:31" x14ac:dyDescent="0.3">
      <c r="A241" s="4">
        <f t="shared" si="60"/>
        <v>237</v>
      </c>
      <c r="B241" s="49" t="s">
        <v>117</v>
      </c>
      <c r="C241" s="39"/>
      <c r="D241" s="39"/>
      <c r="E241" s="39"/>
      <c r="F241" s="17" t="s">
        <v>29</v>
      </c>
      <c r="G241" s="4">
        <f>G240</f>
        <v>200</v>
      </c>
      <c r="H241" s="4">
        <f>H240</f>
        <v>200</v>
      </c>
      <c r="I241" s="4">
        <v>1</v>
      </c>
      <c r="J241" s="85" t="s">
        <v>119</v>
      </c>
      <c r="K241" s="39"/>
      <c r="L241" s="39"/>
      <c r="M241" s="4">
        <v>3</v>
      </c>
      <c r="N241" s="4">
        <v>3</v>
      </c>
      <c r="O241" s="4">
        <v>3</v>
      </c>
      <c r="P241" s="4">
        <v>3</v>
      </c>
      <c r="Q241" s="4" t="s">
        <v>64</v>
      </c>
      <c r="R241" s="6">
        <f t="shared" si="58"/>
        <v>2.6666666666666665</v>
      </c>
      <c r="S241" s="6"/>
      <c r="T241" s="6">
        <f t="shared" si="70"/>
        <v>2.6666666666666665</v>
      </c>
      <c r="U241" s="6"/>
      <c r="V241" s="6"/>
      <c r="W241" s="74" t="s">
        <v>194</v>
      </c>
      <c r="X241" s="20" t="str">
        <f t="shared" si="59"/>
        <v>KIT-W/U-B31-Open-RHS</v>
      </c>
      <c r="Y241" s="7">
        <f t="shared" si="57"/>
        <v>2.6666666666666665</v>
      </c>
      <c r="AA241"/>
      <c r="AE241"/>
    </row>
    <row r="242" spans="1:31" x14ac:dyDescent="0.3">
      <c r="A242" s="4">
        <f t="shared" si="60"/>
        <v>238</v>
      </c>
      <c r="B242" s="4"/>
      <c r="C242" s="39"/>
      <c r="D242" s="39"/>
      <c r="E242" s="39"/>
      <c r="F242" s="17" t="s">
        <v>30</v>
      </c>
      <c r="G242" s="4">
        <f>D240-36</f>
        <v>830</v>
      </c>
      <c r="H242" s="4">
        <f>H241</f>
        <v>200</v>
      </c>
      <c r="I242" s="4">
        <v>1</v>
      </c>
      <c r="J242" s="85" t="s">
        <v>119</v>
      </c>
      <c r="K242" s="39"/>
      <c r="L242" s="39"/>
      <c r="M242" s="4">
        <v>3</v>
      </c>
      <c r="N242" s="4">
        <v>3</v>
      </c>
      <c r="O242" s="4">
        <v>3</v>
      </c>
      <c r="P242" s="4">
        <v>3</v>
      </c>
      <c r="Q242" s="4" t="s">
        <v>64</v>
      </c>
      <c r="R242" s="6">
        <f t="shared" si="58"/>
        <v>6.8666666666666663</v>
      </c>
      <c r="S242" s="6"/>
      <c r="T242" s="6">
        <f t="shared" si="70"/>
        <v>6.8666666666666663</v>
      </c>
      <c r="U242" s="6"/>
      <c r="V242" s="6"/>
      <c r="W242" s="74" t="s">
        <v>194</v>
      </c>
      <c r="X242" s="20" t="str">
        <f t="shared" si="59"/>
        <v>KIT-W/U-B31-Open-TOP</v>
      </c>
      <c r="Y242" s="7">
        <f t="shared" si="57"/>
        <v>6.8666666666666663</v>
      </c>
      <c r="AA242"/>
      <c r="AE242"/>
    </row>
    <row r="243" spans="1:31" x14ac:dyDescent="0.3">
      <c r="A243" s="4">
        <f t="shared" si="60"/>
        <v>239</v>
      </c>
      <c r="B243" s="4"/>
      <c r="C243" s="39"/>
      <c r="D243" s="39"/>
      <c r="E243" s="39"/>
      <c r="F243" s="17" t="s">
        <v>31</v>
      </c>
      <c r="G243" s="4">
        <f>G242</f>
        <v>830</v>
      </c>
      <c r="H243" s="4">
        <f>H242</f>
        <v>200</v>
      </c>
      <c r="I243" s="4">
        <v>1</v>
      </c>
      <c r="J243" s="85" t="s">
        <v>119</v>
      </c>
      <c r="K243" s="39"/>
      <c r="L243" s="39"/>
      <c r="M243" s="4">
        <v>3</v>
      </c>
      <c r="N243" s="4">
        <v>3</v>
      </c>
      <c r="O243" s="4">
        <v>3</v>
      </c>
      <c r="P243" s="4">
        <v>3</v>
      </c>
      <c r="Q243" s="4" t="s">
        <v>64</v>
      </c>
      <c r="R243" s="6">
        <f t="shared" si="58"/>
        <v>6.8666666666666663</v>
      </c>
      <c r="S243" s="6"/>
      <c r="T243" s="6">
        <f t="shared" si="70"/>
        <v>6.8666666666666663</v>
      </c>
      <c r="U243" s="6"/>
      <c r="V243" s="6"/>
      <c r="W243" s="74" t="s">
        <v>194</v>
      </c>
      <c r="X243" s="20" t="str">
        <f t="shared" si="59"/>
        <v>KIT-W/U-B31-Open-BTM</v>
      </c>
      <c r="Y243" s="7">
        <f t="shared" si="57"/>
        <v>6.8666666666666663</v>
      </c>
      <c r="AA243"/>
      <c r="AE243"/>
    </row>
    <row r="244" spans="1:31" x14ac:dyDescent="0.3">
      <c r="A244" s="4">
        <f t="shared" si="60"/>
        <v>240</v>
      </c>
      <c r="B244" s="4"/>
      <c r="C244" s="39"/>
      <c r="D244" s="39"/>
      <c r="E244" s="39"/>
      <c r="F244" s="17" t="s">
        <v>32</v>
      </c>
      <c r="G244" s="4">
        <f>C240-36+16</f>
        <v>180</v>
      </c>
      <c r="H244" s="4">
        <f>D240-36+16</f>
        <v>846</v>
      </c>
      <c r="I244" s="4">
        <v>1</v>
      </c>
      <c r="J244" s="85" t="s">
        <v>121</v>
      </c>
      <c r="K244" s="5"/>
      <c r="L244" s="4"/>
      <c r="M244" s="4"/>
      <c r="N244" s="4"/>
      <c r="O244" s="4"/>
      <c r="P244" s="4"/>
      <c r="Q244" s="4" t="s">
        <v>64</v>
      </c>
      <c r="R244" s="6">
        <f t="shared" si="58"/>
        <v>6.84</v>
      </c>
      <c r="S244" s="6"/>
      <c r="T244" s="6"/>
      <c r="U244" s="6"/>
      <c r="V244" s="6"/>
      <c r="W244" s="74" t="s">
        <v>194</v>
      </c>
      <c r="X244" s="20" t="str">
        <f t="shared" si="59"/>
        <v>KIT-W/U-B31-Open-BACK UP</v>
      </c>
      <c r="Y244" s="7">
        <f t="shared" si="57"/>
        <v>6.84</v>
      </c>
      <c r="AA244"/>
      <c r="AE244"/>
    </row>
    <row r="245" spans="1:31" x14ac:dyDescent="0.3">
      <c r="A245" s="4">
        <f t="shared" si="60"/>
        <v>241</v>
      </c>
      <c r="B245" s="46" t="s">
        <v>195</v>
      </c>
      <c r="C245" s="23">
        <f>1076</f>
        <v>1076</v>
      </c>
      <c r="D245" s="23">
        <f>433+433</f>
        <v>866</v>
      </c>
      <c r="E245" s="23">
        <v>300</v>
      </c>
      <c r="F245" s="40" t="s">
        <v>28</v>
      </c>
      <c r="G245" s="4">
        <f>C245</f>
        <v>1076</v>
      </c>
      <c r="H245" s="4">
        <f>E245</f>
        <v>300</v>
      </c>
      <c r="I245" s="4">
        <v>1</v>
      </c>
      <c r="J245" s="62" t="s">
        <v>34</v>
      </c>
      <c r="K245" s="17" t="s">
        <v>15</v>
      </c>
      <c r="L245" s="39"/>
      <c r="M245" s="39">
        <v>1</v>
      </c>
      <c r="N245" s="39">
        <v>1</v>
      </c>
      <c r="O245" s="39">
        <v>1</v>
      </c>
      <c r="P245" s="39">
        <v>1</v>
      </c>
      <c r="Q245" s="4"/>
      <c r="R245" s="6">
        <f t="shared" si="58"/>
        <v>9.1733333333333338</v>
      </c>
      <c r="S245" s="6">
        <f t="shared" ref="S245:S248" si="71">R245</f>
        <v>9.1733333333333338</v>
      </c>
      <c r="T245" s="6"/>
      <c r="U245" s="6"/>
      <c r="V245" s="6"/>
      <c r="W245" s="74" t="s">
        <v>195</v>
      </c>
      <c r="X245" s="20" t="str">
        <f t="shared" si="59"/>
        <v>KIT-W/U-B32-LHS</v>
      </c>
      <c r="Y245" s="7">
        <f t="shared" si="57"/>
        <v>9.1733333333333338</v>
      </c>
      <c r="AA245"/>
      <c r="AE245"/>
    </row>
    <row r="246" spans="1:31" x14ac:dyDescent="0.3">
      <c r="A246" s="4">
        <f t="shared" si="60"/>
        <v>242</v>
      </c>
      <c r="B246" s="49" t="s">
        <v>103</v>
      </c>
      <c r="C246" s="39"/>
      <c r="D246" s="39"/>
      <c r="E246" s="39"/>
      <c r="F246" s="17" t="s">
        <v>29</v>
      </c>
      <c r="G246" s="4">
        <f>G245</f>
        <v>1076</v>
      </c>
      <c r="H246" s="4">
        <f>H245</f>
        <v>300</v>
      </c>
      <c r="I246" s="4">
        <v>1</v>
      </c>
      <c r="J246" s="62" t="s">
        <v>34</v>
      </c>
      <c r="K246" s="17" t="s">
        <v>15</v>
      </c>
      <c r="L246" s="39"/>
      <c r="M246" s="39">
        <v>1</v>
      </c>
      <c r="N246" s="39">
        <v>1</v>
      </c>
      <c r="O246" s="39">
        <v>1</v>
      </c>
      <c r="P246" s="39">
        <v>1</v>
      </c>
      <c r="Q246" s="4"/>
      <c r="R246" s="6">
        <f t="shared" si="58"/>
        <v>9.1733333333333338</v>
      </c>
      <c r="S246" s="6">
        <f t="shared" si="71"/>
        <v>9.1733333333333338</v>
      </c>
      <c r="T246" s="6"/>
      <c r="U246" s="6"/>
      <c r="V246" s="6"/>
      <c r="W246" s="74" t="s">
        <v>195</v>
      </c>
      <c r="X246" s="20" t="str">
        <f t="shared" si="59"/>
        <v>KIT-W/U-B32-RHS</v>
      </c>
      <c r="Y246" s="7">
        <f t="shared" si="57"/>
        <v>9.1733333333333338</v>
      </c>
      <c r="AA246"/>
      <c r="AE246"/>
    </row>
    <row r="247" spans="1:31" x14ac:dyDescent="0.3">
      <c r="A247" s="4">
        <f t="shared" si="60"/>
        <v>243</v>
      </c>
      <c r="B247" s="4"/>
      <c r="C247" s="39"/>
      <c r="D247" s="39"/>
      <c r="E247" s="39"/>
      <c r="F247" s="17" t="s">
        <v>30</v>
      </c>
      <c r="G247" s="4">
        <f>D245-36</f>
        <v>830</v>
      </c>
      <c r="H247" s="4">
        <f>H246</f>
        <v>300</v>
      </c>
      <c r="I247" s="4">
        <v>1</v>
      </c>
      <c r="J247" s="62" t="s">
        <v>34</v>
      </c>
      <c r="K247" s="17" t="s">
        <v>15</v>
      </c>
      <c r="L247" s="39"/>
      <c r="M247" s="39">
        <v>1</v>
      </c>
      <c r="N247" s="39">
        <v>1</v>
      </c>
      <c r="O247" s="39">
        <v>1</v>
      </c>
      <c r="P247" s="39">
        <v>1</v>
      </c>
      <c r="Q247" s="4"/>
      <c r="R247" s="6">
        <f t="shared" si="58"/>
        <v>7.5333333333333332</v>
      </c>
      <c r="S247" s="6">
        <f t="shared" si="71"/>
        <v>7.5333333333333332</v>
      </c>
      <c r="T247" s="6"/>
      <c r="U247" s="6"/>
      <c r="V247" s="6"/>
      <c r="W247" s="74" t="s">
        <v>195</v>
      </c>
      <c r="X247" s="20" t="str">
        <f t="shared" si="59"/>
        <v>KIT-W/U-B32-TOP</v>
      </c>
      <c r="Y247" s="7">
        <f t="shared" si="57"/>
        <v>7.5333333333333332</v>
      </c>
      <c r="AA247"/>
      <c r="AE247"/>
    </row>
    <row r="248" spans="1:31" x14ac:dyDescent="0.3">
      <c r="A248" s="4">
        <f t="shared" si="60"/>
        <v>244</v>
      </c>
      <c r="B248" s="4"/>
      <c r="C248" s="39"/>
      <c r="D248" s="39"/>
      <c r="E248" s="39"/>
      <c r="F248" s="17" t="s">
        <v>31</v>
      </c>
      <c r="G248" s="4">
        <f>G247</f>
        <v>830</v>
      </c>
      <c r="H248" s="4">
        <f>H247</f>
        <v>300</v>
      </c>
      <c r="I248" s="4">
        <v>1</v>
      </c>
      <c r="J248" s="62" t="s">
        <v>34</v>
      </c>
      <c r="K248" s="17" t="s">
        <v>15</v>
      </c>
      <c r="L248" s="39"/>
      <c r="M248" s="39">
        <v>1</v>
      </c>
      <c r="N248" s="39">
        <v>1</v>
      </c>
      <c r="O248" s="39">
        <v>1</v>
      </c>
      <c r="P248" s="39">
        <v>1</v>
      </c>
      <c r="Q248" s="4"/>
      <c r="R248" s="6">
        <f t="shared" si="58"/>
        <v>7.5333333333333332</v>
      </c>
      <c r="S248" s="6">
        <f t="shared" si="71"/>
        <v>7.5333333333333332</v>
      </c>
      <c r="T248" s="6"/>
      <c r="U248" s="6"/>
      <c r="V248" s="6"/>
      <c r="W248" s="74" t="s">
        <v>195</v>
      </c>
      <c r="X248" s="20" t="str">
        <f t="shared" si="59"/>
        <v>KIT-W/U-B32-BTM</v>
      </c>
      <c r="Y248" s="7">
        <f t="shared" si="57"/>
        <v>7.5333333333333332</v>
      </c>
      <c r="AA248"/>
      <c r="AE248"/>
    </row>
    <row r="249" spans="1:31" x14ac:dyDescent="0.3">
      <c r="A249" s="4">
        <f t="shared" si="60"/>
        <v>245</v>
      </c>
      <c r="B249" s="4"/>
      <c r="C249" s="39"/>
      <c r="D249" s="39"/>
      <c r="E249" s="39"/>
      <c r="F249" s="17" t="s">
        <v>32</v>
      </c>
      <c r="G249" s="4">
        <f>C245-36+16</f>
        <v>1056</v>
      </c>
      <c r="H249" s="4">
        <f>D245-36+16</f>
        <v>846</v>
      </c>
      <c r="I249" s="4">
        <v>1</v>
      </c>
      <c r="J249" s="62" t="s">
        <v>35</v>
      </c>
      <c r="K249" s="17" t="s">
        <v>15</v>
      </c>
      <c r="L249" s="4"/>
      <c r="M249" s="4"/>
      <c r="N249" s="4"/>
      <c r="O249" s="4"/>
      <c r="P249" s="4"/>
      <c r="Q249" s="4"/>
      <c r="R249" s="6">
        <f t="shared" si="58"/>
        <v>12.68</v>
      </c>
      <c r="S249" s="6"/>
      <c r="T249" s="6"/>
      <c r="U249" s="6"/>
      <c r="V249" s="6"/>
      <c r="W249" s="74" t="s">
        <v>195</v>
      </c>
      <c r="X249" s="20" t="str">
        <f t="shared" si="59"/>
        <v>KIT-W/U-B32-BACK UP</v>
      </c>
      <c r="Y249" s="7">
        <f t="shared" si="57"/>
        <v>12.68</v>
      </c>
      <c r="AA249"/>
      <c r="AE249"/>
    </row>
    <row r="250" spans="1:31" x14ac:dyDescent="0.3">
      <c r="A250" s="4">
        <f t="shared" si="60"/>
        <v>246</v>
      </c>
      <c r="B250" s="4"/>
      <c r="C250" s="4"/>
      <c r="D250" s="4"/>
      <c r="E250" s="4"/>
      <c r="F250" s="19" t="s">
        <v>33</v>
      </c>
      <c r="G250" s="4">
        <f>D245-36-1</f>
        <v>829</v>
      </c>
      <c r="H250" s="4">
        <f>E245-25</f>
        <v>275</v>
      </c>
      <c r="I250" s="4">
        <v>1</v>
      </c>
      <c r="J250" s="62" t="s">
        <v>34</v>
      </c>
      <c r="K250" s="17" t="s">
        <v>15</v>
      </c>
      <c r="L250" s="39"/>
      <c r="M250" s="39">
        <v>1</v>
      </c>
      <c r="N250" s="39">
        <v>1</v>
      </c>
      <c r="O250" s="39">
        <v>1</v>
      </c>
      <c r="P250" s="39">
        <v>1</v>
      </c>
      <c r="Q250" s="4"/>
      <c r="R250" s="6">
        <f t="shared" si="58"/>
        <v>7.36</v>
      </c>
      <c r="S250" s="6">
        <f>R250</f>
        <v>7.36</v>
      </c>
      <c r="T250" s="6"/>
      <c r="U250" s="6"/>
      <c r="V250" s="6"/>
      <c r="W250" s="74" t="s">
        <v>195</v>
      </c>
      <c r="X250" s="20" t="str">
        <f t="shared" si="59"/>
        <v>KIT-W/U-B32-Lshelf</v>
      </c>
      <c r="Y250" s="7">
        <f t="shared" si="57"/>
        <v>7.36</v>
      </c>
      <c r="AA250"/>
      <c r="AE250"/>
    </row>
    <row r="251" spans="1:31" x14ac:dyDescent="0.3">
      <c r="A251" s="4">
        <f t="shared" si="60"/>
        <v>247</v>
      </c>
      <c r="B251" s="4"/>
      <c r="C251" s="4"/>
      <c r="D251" s="4"/>
      <c r="E251" s="4"/>
      <c r="F251" s="19" t="s">
        <v>120</v>
      </c>
      <c r="G251" s="4">
        <f>C245-2</f>
        <v>1074</v>
      </c>
      <c r="H251" s="4">
        <f>D245/2-2</f>
        <v>431</v>
      </c>
      <c r="I251" s="4">
        <v>2</v>
      </c>
      <c r="J251" s="82" t="s">
        <v>116</v>
      </c>
      <c r="K251" s="5" t="s">
        <v>15</v>
      </c>
      <c r="L251" s="4"/>
      <c r="M251" s="4">
        <v>3</v>
      </c>
      <c r="N251" s="4">
        <v>3</v>
      </c>
      <c r="O251" s="4">
        <v>3</v>
      </c>
      <c r="P251" s="4">
        <v>3</v>
      </c>
      <c r="Q251" s="4"/>
      <c r="R251" s="6">
        <f t="shared" si="58"/>
        <v>20.066666666666666</v>
      </c>
      <c r="S251" s="6"/>
      <c r="T251" s="6">
        <f t="shared" ref="T251:T252" si="72">R251</f>
        <v>20.066666666666666</v>
      </c>
      <c r="U251" s="6"/>
      <c r="V251" s="6"/>
      <c r="W251" s="74" t="s">
        <v>195</v>
      </c>
      <c r="X251" s="20" t="str">
        <f t="shared" si="59"/>
        <v>KIT-W/U-B32-SHUTERS</v>
      </c>
      <c r="Y251" s="7">
        <f t="shared" si="57"/>
        <v>20.066666666666666</v>
      </c>
      <c r="AA251"/>
      <c r="AE251"/>
    </row>
    <row r="252" spans="1:31" x14ac:dyDescent="0.3">
      <c r="A252" s="4">
        <f t="shared" si="60"/>
        <v>248</v>
      </c>
      <c r="B252" s="4"/>
      <c r="C252" s="4"/>
      <c r="D252" s="4"/>
      <c r="E252" s="4"/>
      <c r="F252" s="19" t="s">
        <v>55</v>
      </c>
      <c r="G252" s="4">
        <v>1300</v>
      </c>
      <c r="H252" s="4">
        <v>100</v>
      </c>
      <c r="I252" s="4">
        <v>1</v>
      </c>
      <c r="J252" s="82" t="s">
        <v>116</v>
      </c>
      <c r="K252" s="5" t="s">
        <v>15</v>
      </c>
      <c r="L252" s="4"/>
      <c r="M252" s="4">
        <v>3</v>
      </c>
      <c r="N252" s="4">
        <v>3</v>
      </c>
      <c r="O252" s="4">
        <v>3</v>
      </c>
      <c r="P252" s="4">
        <v>3</v>
      </c>
      <c r="Q252" s="4"/>
      <c r="R252" s="6">
        <f t="shared" si="58"/>
        <v>9.3333333333333339</v>
      </c>
      <c r="S252" s="6"/>
      <c r="T252" s="6">
        <f t="shared" si="72"/>
        <v>9.3333333333333339</v>
      </c>
      <c r="U252" s="6"/>
      <c r="V252" s="6"/>
      <c r="W252" s="74" t="s">
        <v>195</v>
      </c>
      <c r="X252" s="20" t="str">
        <f t="shared" si="59"/>
        <v>KIT-W/U-B32-FILLERS</v>
      </c>
      <c r="Y252" s="7">
        <f t="shared" si="57"/>
        <v>9.3333333333333339</v>
      </c>
      <c r="AA252"/>
      <c r="AE252"/>
    </row>
    <row r="253" spans="1:31" x14ac:dyDescent="0.3">
      <c r="A253" s="4">
        <f t="shared" si="60"/>
        <v>249</v>
      </c>
      <c r="B253" s="46" t="s">
        <v>124</v>
      </c>
      <c r="C253" s="23">
        <v>1276</v>
      </c>
      <c r="D253" s="23">
        <f>433+433</f>
        <v>866</v>
      </c>
      <c r="E253" s="23">
        <v>300</v>
      </c>
      <c r="F253" s="40" t="s">
        <v>28</v>
      </c>
      <c r="G253" s="4">
        <f>C253</f>
        <v>1276</v>
      </c>
      <c r="H253" s="4">
        <f>E253</f>
        <v>300</v>
      </c>
      <c r="I253" s="4">
        <v>1</v>
      </c>
      <c r="J253" s="62" t="s">
        <v>34</v>
      </c>
      <c r="K253" s="17" t="s">
        <v>15</v>
      </c>
      <c r="L253" s="39"/>
      <c r="M253" s="39">
        <v>1</v>
      </c>
      <c r="N253" s="39">
        <v>1</v>
      </c>
      <c r="O253" s="39">
        <v>1</v>
      </c>
      <c r="P253" s="39">
        <v>1</v>
      </c>
      <c r="Q253" s="4"/>
      <c r="R253" s="6">
        <f t="shared" si="58"/>
        <v>10.506666666666666</v>
      </c>
      <c r="S253" s="6">
        <f t="shared" ref="S253:S256" si="73">R253</f>
        <v>10.506666666666666</v>
      </c>
      <c r="T253" s="6"/>
      <c r="U253" s="6"/>
      <c r="V253" s="6"/>
      <c r="W253" s="74" t="s">
        <v>124</v>
      </c>
      <c r="X253" s="20" t="str">
        <f t="shared" si="59"/>
        <v>KIT-W/U-B33-LHS</v>
      </c>
      <c r="Y253" s="7">
        <f t="shared" si="57"/>
        <v>10.506666666666666</v>
      </c>
      <c r="AA253"/>
      <c r="AE253"/>
    </row>
    <row r="254" spans="1:31" x14ac:dyDescent="0.3">
      <c r="A254" s="4">
        <f t="shared" si="60"/>
        <v>250</v>
      </c>
      <c r="B254" s="49" t="s">
        <v>103</v>
      </c>
      <c r="C254" s="39"/>
      <c r="D254" s="39"/>
      <c r="E254" s="39"/>
      <c r="F254" s="17" t="s">
        <v>29</v>
      </c>
      <c r="G254" s="4">
        <f>G253</f>
        <v>1276</v>
      </c>
      <c r="H254" s="4">
        <f>H253</f>
        <v>300</v>
      </c>
      <c r="I254" s="4">
        <v>1</v>
      </c>
      <c r="J254" s="62" t="s">
        <v>34</v>
      </c>
      <c r="K254" s="17" t="s">
        <v>15</v>
      </c>
      <c r="L254" s="39"/>
      <c r="M254" s="39">
        <v>1</v>
      </c>
      <c r="N254" s="39">
        <v>1</v>
      </c>
      <c r="O254" s="39">
        <v>1</v>
      </c>
      <c r="P254" s="39">
        <v>1</v>
      </c>
      <c r="Q254" s="4"/>
      <c r="R254" s="6">
        <f t="shared" si="58"/>
        <v>10.506666666666666</v>
      </c>
      <c r="S254" s="6">
        <f t="shared" si="73"/>
        <v>10.506666666666666</v>
      </c>
      <c r="T254" s="6"/>
      <c r="U254" s="6"/>
      <c r="V254" s="6"/>
      <c r="W254" s="74" t="s">
        <v>124</v>
      </c>
      <c r="X254" s="20" t="str">
        <f t="shared" si="59"/>
        <v>KIT-W/U-B33-RHS</v>
      </c>
      <c r="Y254" s="7">
        <f t="shared" si="57"/>
        <v>10.506666666666666</v>
      </c>
      <c r="AA254"/>
      <c r="AE254"/>
    </row>
    <row r="255" spans="1:31" x14ac:dyDescent="0.3">
      <c r="A255" s="4">
        <f t="shared" si="60"/>
        <v>251</v>
      </c>
      <c r="B255" s="4"/>
      <c r="C255" s="39"/>
      <c r="D255" s="39"/>
      <c r="E255" s="39"/>
      <c r="F255" s="17" t="s">
        <v>30</v>
      </c>
      <c r="G255" s="4">
        <f>D253-36</f>
        <v>830</v>
      </c>
      <c r="H255" s="4">
        <f>H254</f>
        <v>300</v>
      </c>
      <c r="I255" s="4">
        <v>1</v>
      </c>
      <c r="J255" s="62" t="s">
        <v>34</v>
      </c>
      <c r="K255" s="17" t="s">
        <v>15</v>
      </c>
      <c r="L255" s="39"/>
      <c r="M255" s="39">
        <v>1</v>
      </c>
      <c r="N255" s="39">
        <v>1</v>
      </c>
      <c r="O255" s="39">
        <v>1</v>
      </c>
      <c r="P255" s="39">
        <v>1</v>
      </c>
      <c r="Q255" s="4"/>
      <c r="R255" s="6">
        <f t="shared" si="58"/>
        <v>7.5333333333333332</v>
      </c>
      <c r="S255" s="6">
        <f t="shared" si="73"/>
        <v>7.5333333333333332</v>
      </c>
      <c r="T255" s="6"/>
      <c r="U255" s="6"/>
      <c r="V255" s="6"/>
      <c r="W255" s="74" t="s">
        <v>124</v>
      </c>
      <c r="X255" s="20" t="str">
        <f t="shared" si="59"/>
        <v>KIT-W/U-B33-TOP</v>
      </c>
      <c r="Y255" s="7">
        <f t="shared" si="57"/>
        <v>7.5333333333333332</v>
      </c>
      <c r="AA255"/>
      <c r="AE255"/>
    </row>
    <row r="256" spans="1:31" x14ac:dyDescent="0.3">
      <c r="A256" s="4">
        <f t="shared" si="60"/>
        <v>252</v>
      </c>
      <c r="B256" s="4"/>
      <c r="C256" s="103" t="s">
        <v>62</v>
      </c>
      <c r="D256" s="104"/>
      <c r="E256" s="105"/>
      <c r="F256" s="17" t="s">
        <v>31</v>
      </c>
      <c r="G256" s="4">
        <f>G255</f>
        <v>830</v>
      </c>
      <c r="H256" s="4">
        <f>H255</f>
        <v>300</v>
      </c>
      <c r="I256" s="4">
        <v>1</v>
      </c>
      <c r="J256" s="62" t="s">
        <v>34</v>
      </c>
      <c r="K256" s="17" t="s">
        <v>15</v>
      </c>
      <c r="L256" s="39"/>
      <c r="M256" s="39">
        <v>1</v>
      </c>
      <c r="N256" s="39">
        <v>1</v>
      </c>
      <c r="O256" s="39">
        <v>1</v>
      </c>
      <c r="P256" s="39">
        <v>1</v>
      </c>
      <c r="Q256" s="4"/>
      <c r="R256" s="6">
        <f t="shared" si="58"/>
        <v>7.5333333333333332</v>
      </c>
      <c r="S256" s="6">
        <f t="shared" si="73"/>
        <v>7.5333333333333332</v>
      </c>
      <c r="T256" s="6"/>
      <c r="U256" s="6"/>
      <c r="V256" s="6"/>
      <c r="W256" s="74" t="s">
        <v>124</v>
      </c>
      <c r="X256" s="20" t="str">
        <f t="shared" si="59"/>
        <v>KIT-W/U-B33-BTM</v>
      </c>
      <c r="Y256" s="7">
        <f t="shared" si="57"/>
        <v>7.5333333333333332</v>
      </c>
      <c r="AA256"/>
      <c r="AE256"/>
    </row>
    <row r="257" spans="1:31" x14ac:dyDescent="0.3">
      <c r="A257" s="4">
        <f t="shared" si="60"/>
        <v>253</v>
      </c>
      <c r="B257" s="4"/>
      <c r="C257" s="39"/>
      <c r="D257" s="39"/>
      <c r="E257" s="39"/>
      <c r="F257" s="17" t="s">
        <v>32</v>
      </c>
      <c r="G257" s="4">
        <f>C253-36+16</f>
        <v>1256</v>
      </c>
      <c r="H257" s="4">
        <f>D253-36+16</f>
        <v>846</v>
      </c>
      <c r="I257" s="4">
        <v>1</v>
      </c>
      <c r="J257" s="62" t="s">
        <v>35</v>
      </c>
      <c r="K257" s="17" t="s">
        <v>15</v>
      </c>
      <c r="L257" s="4"/>
      <c r="M257" s="4"/>
      <c r="N257" s="4"/>
      <c r="O257" s="4"/>
      <c r="P257" s="4"/>
      <c r="Q257" s="4"/>
      <c r="R257" s="6">
        <f t="shared" si="58"/>
        <v>14.013333333333334</v>
      </c>
      <c r="S257" s="6"/>
      <c r="T257" s="6"/>
      <c r="U257" s="6"/>
      <c r="V257" s="6"/>
      <c r="W257" s="74" t="s">
        <v>124</v>
      </c>
      <c r="X257" s="20" t="str">
        <f t="shared" si="59"/>
        <v>KIT-W/U-B33-BACK UP</v>
      </c>
      <c r="Y257" s="7">
        <f t="shared" si="57"/>
        <v>14.013333333333334</v>
      </c>
      <c r="AA257"/>
      <c r="AE257"/>
    </row>
    <row r="258" spans="1:31" x14ac:dyDescent="0.3">
      <c r="A258" s="4">
        <f t="shared" si="60"/>
        <v>254</v>
      </c>
      <c r="B258" s="4"/>
      <c r="C258" s="4"/>
      <c r="D258" s="4"/>
      <c r="E258" s="4"/>
      <c r="F258" s="19" t="s">
        <v>33</v>
      </c>
      <c r="G258" s="4">
        <f>D253-36-1</f>
        <v>829</v>
      </c>
      <c r="H258" s="4">
        <f>E253-25</f>
        <v>275</v>
      </c>
      <c r="I258" s="4">
        <v>3</v>
      </c>
      <c r="J258" s="62" t="s">
        <v>34</v>
      </c>
      <c r="K258" s="17" t="s">
        <v>15</v>
      </c>
      <c r="L258" s="39"/>
      <c r="M258" s="39">
        <v>1</v>
      </c>
      <c r="N258" s="39">
        <v>1</v>
      </c>
      <c r="O258" s="39">
        <v>1</v>
      </c>
      <c r="P258" s="39">
        <v>1</v>
      </c>
      <c r="Q258" s="4"/>
      <c r="R258" s="6">
        <f t="shared" si="58"/>
        <v>22.08</v>
      </c>
      <c r="S258" s="6">
        <f t="shared" ref="S258:S259" si="74">R258</f>
        <v>22.08</v>
      </c>
      <c r="T258" s="6"/>
      <c r="U258" s="6"/>
      <c r="V258" s="6"/>
      <c r="W258" s="74" t="s">
        <v>124</v>
      </c>
      <c r="X258" s="20" t="str">
        <f t="shared" si="59"/>
        <v>KIT-W/U-B33-Lshelf</v>
      </c>
      <c r="Y258" s="7">
        <f t="shared" si="57"/>
        <v>22.08</v>
      </c>
      <c r="AA258"/>
      <c r="AE258"/>
    </row>
    <row r="259" spans="1:31" x14ac:dyDescent="0.3">
      <c r="A259" s="4">
        <f t="shared" si="60"/>
        <v>255</v>
      </c>
      <c r="B259" s="4"/>
      <c r="C259" s="106" t="s">
        <v>44</v>
      </c>
      <c r="D259" s="107"/>
      <c r="E259" s="108"/>
      <c r="F259" s="19" t="s">
        <v>45</v>
      </c>
      <c r="G259" s="4">
        <f>2400</f>
        <v>2400</v>
      </c>
      <c r="H259" s="4">
        <v>100</v>
      </c>
      <c r="I259" s="4">
        <v>11</v>
      </c>
      <c r="J259" s="62" t="s">
        <v>34</v>
      </c>
      <c r="K259" s="17" t="s">
        <v>15</v>
      </c>
      <c r="L259" s="39"/>
      <c r="M259" s="39">
        <v>1</v>
      </c>
      <c r="N259" s="39">
        <v>1</v>
      </c>
      <c r="O259" s="39">
        <v>1</v>
      </c>
      <c r="P259" s="39">
        <v>1</v>
      </c>
      <c r="Q259" s="4"/>
      <c r="R259" s="6">
        <f t="shared" si="58"/>
        <v>183.33333333333334</v>
      </c>
      <c r="S259" s="6">
        <f t="shared" si="74"/>
        <v>183.33333333333334</v>
      </c>
      <c r="T259" s="6"/>
      <c r="U259" s="6"/>
      <c r="V259" s="6"/>
      <c r="W259" s="74" t="s">
        <v>124</v>
      </c>
      <c r="X259" s="20" t="str">
        <f t="shared" si="59"/>
        <v>KIT-W/U-B33-LOFT FRAMES</v>
      </c>
      <c r="Y259" s="7">
        <f t="shared" si="57"/>
        <v>183.33333333333334</v>
      </c>
      <c r="AA259"/>
      <c r="AE259"/>
    </row>
    <row r="260" spans="1:31" x14ac:dyDescent="0.3">
      <c r="A260" s="4">
        <f t="shared" si="60"/>
        <v>256</v>
      </c>
      <c r="B260" s="4"/>
      <c r="C260" s="4"/>
      <c r="D260" s="4"/>
      <c r="E260" s="4"/>
      <c r="F260" s="19" t="s">
        <v>46</v>
      </c>
      <c r="G260" s="4">
        <f>2400</f>
        <v>2400</v>
      </c>
      <c r="H260" s="4">
        <v>100</v>
      </c>
      <c r="I260" s="4">
        <v>6</v>
      </c>
      <c r="J260" s="82" t="s">
        <v>116</v>
      </c>
      <c r="K260" s="5" t="s">
        <v>15</v>
      </c>
      <c r="L260" s="4"/>
      <c r="M260" s="4">
        <v>3</v>
      </c>
      <c r="N260" s="4">
        <v>3</v>
      </c>
      <c r="O260" s="4">
        <v>3</v>
      </c>
      <c r="P260" s="4">
        <v>3</v>
      </c>
      <c r="Q260" s="4"/>
      <c r="R260" s="6">
        <f t="shared" si="58"/>
        <v>100</v>
      </c>
      <c r="S260" s="6"/>
      <c r="T260" s="6">
        <f t="shared" ref="T260:T272" si="75">R260</f>
        <v>100</v>
      </c>
      <c r="U260" s="6"/>
      <c r="V260" s="6"/>
      <c r="W260" s="74" t="s">
        <v>124</v>
      </c>
      <c r="X260" s="20" t="str">
        <f t="shared" si="59"/>
        <v>KIT-W/U-B33-LOFT FILLERS</v>
      </c>
      <c r="Y260" s="7">
        <f t="shared" si="57"/>
        <v>100</v>
      </c>
      <c r="AA260"/>
      <c r="AE260"/>
    </row>
    <row r="261" spans="1:31" x14ac:dyDescent="0.3">
      <c r="A261" s="4">
        <f t="shared" si="60"/>
        <v>257</v>
      </c>
      <c r="B261" s="4"/>
      <c r="C261" s="4"/>
      <c r="D261" s="4"/>
      <c r="E261" s="4"/>
      <c r="F261" s="19" t="s">
        <v>125</v>
      </c>
      <c r="G261" s="4">
        <v>2200</v>
      </c>
      <c r="H261" s="4">
        <v>420</v>
      </c>
      <c r="I261" s="4">
        <v>1</v>
      </c>
      <c r="J261" s="82" t="s">
        <v>116</v>
      </c>
      <c r="K261" s="5" t="s">
        <v>15</v>
      </c>
      <c r="L261" s="4"/>
      <c r="M261" s="4">
        <v>3</v>
      </c>
      <c r="N261" s="4">
        <v>3</v>
      </c>
      <c r="O261" s="4">
        <v>3</v>
      </c>
      <c r="P261" s="4">
        <v>3</v>
      </c>
      <c r="Q261" s="4"/>
      <c r="R261" s="6">
        <f t="shared" si="58"/>
        <v>17.466666666666665</v>
      </c>
      <c r="S261" s="6"/>
      <c r="T261" s="6">
        <f t="shared" si="75"/>
        <v>17.466666666666665</v>
      </c>
      <c r="U261" s="6"/>
      <c r="V261" s="6"/>
      <c r="W261" s="74" t="s">
        <v>124</v>
      </c>
      <c r="X261" s="20" t="str">
        <f t="shared" si="59"/>
        <v>KIT-W/U-B33-LOFT BTM PANEL</v>
      </c>
      <c r="Y261" s="7">
        <f t="shared" ref="Y261:Y324" si="76">(G261+H261)*2*I261/300</f>
        <v>17.466666666666665</v>
      </c>
      <c r="AA261"/>
      <c r="AE261"/>
    </row>
    <row r="262" spans="1:31" x14ac:dyDescent="0.3">
      <c r="A262" s="4">
        <f t="shared" si="60"/>
        <v>258</v>
      </c>
      <c r="B262" s="4"/>
      <c r="C262" s="4"/>
      <c r="D262" s="4"/>
      <c r="E262" s="4"/>
      <c r="F262" s="19" t="s">
        <v>125</v>
      </c>
      <c r="G262" s="4">
        <v>2400</v>
      </c>
      <c r="H262" s="4">
        <v>420</v>
      </c>
      <c r="I262" s="4">
        <v>1</v>
      </c>
      <c r="J262" s="82" t="s">
        <v>116</v>
      </c>
      <c r="K262" s="5" t="s">
        <v>15</v>
      </c>
      <c r="L262" s="4"/>
      <c r="M262" s="4">
        <v>3</v>
      </c>
      <c r="N262" s="4">
        <v>3</v>
      </c>
      <c r="O262" s="4">
        <v>3</v>
      </c>
      <c r="P262" s="4">
        <v>3</v>
      </c>
      <c r="Q262" s="4"/>
      <c r="R262" s="6">
        <f t="shared" ref="R262:R326" si="77">(G262+H262)*2*I262/300</f>
        <v>18.8</v>
      </c>
      <c r="S262" s="6"/>
      <c r="T262" s="6">
        <f t="shared" si="75"/>
        <v>18.8</v>
      </c>
      <c r="U262" s="6"/>
      <c r="V262" s="6"/>
      <c r="W262" s="74" t="s">
        <v>124</v>
      </c>
      <c r="X262" s="20" t="str">
        <f t="shared" ref="X262:X326" si="78">W262&amp;"-"&amp;F262</f>
        <v>KIT-W/U-B33-LOFT BTM PANEL</v>
      </c>
      <c r="Y262" s="7">
        <f t="shared" si="76"/>
        <v>18.8</v>
      </c>
      <c r="AA262"/>
      <c r="AE262"/>
    </row>
    <row r="263" spans="1:31" x14ac:dyDescent="0.3">
      <c r="A263" s="4">
        <f t="shared" ref="A263:A327" si="79">A262+1</f>
        <v>259</v>
      </c>
      <c r="B263" s="4"/>
      <c r="C263" s="4"/>
      <c r="D263" s="4"/>
      <c r="E263" s="4"/>
      <c r="F263" s="19" t="s">
        <v>125</v>
      </c>
      <c r="G263" s="4">
        <v>2400</v>
      </c>
      <c r="H263" s="4">
        <v>420</v>
      </c>
      <c r="I263" s="4">
        <v>1</v>
      </c>
      <c r="J263" s="82" t="s">
        <v>116</v>
      </c>
      <c r="K263" s="5" t="s">
        <v>15</v>
      </c>
      <c r="L263" s="4"/>
      <c r="M263" s="4">
        <v>3</v>
      </c>
      <c r="N263" s="4">
        <v>3</v>
      </c>
      <c r="O263" s="4">
        <v>3</v>
      </c>
      <c r="P263" s="4">
        <v>3</v>
      </c>
      <c r="Q263" s="4"/>
      <c r="R263" s="6">
        <f t="shared" si="77"/>
        <v>18.8</v>
      </c>
      <c r="S263" s="6"/>
      <c r="T263" s="6">
        <f t="shared" si="75"/>
        <v>18.8</v>
      </c>
      <c r="U263" s="6"/>
      <c r="V263" s="6"/>
      <c r="W263" s="74" t="s">
        <v>124</v>
      </c>
      <c r="X263" s="20" t="str">
        <f t="shared" si="78"/>
        <v>KIT-W/U-B33-LOFT BTM PANEL</v>
      </c>
      <c r="Y263" s="7">
        <f t="shared" si="76"/>
        <v>18.8</v>
      </c>
      <c r="AA263"/>
      <c r="AE263"/>
    </row>
    <row r="264" spans="1:31" x14ac:dyDescent="0.3">
      <c r="A264" s="4">
        <f t="shared" si="79"/>
        <v>260</v>
      </c>
      <c r="B264" s="4"/>
      <c r="C264" s="4"/>
      <c r="D264" s="4"/>
      <c r="E264" s="4"/>
      <c r="F264" s="19" t="s">
        <v>47</v>
      </c>
      <c r="G264" s="4">
        <v>600</v>
      </c>
      <c r="H264" s="4">
        <v>420</v>
      </c>
      <c r="I264" s="4">
        <v>1</v>
      </c>
      <c r="J264" s="82" t="s">
        <v>116</v>
      </c>
      <c r="K264" s="5" t="s">
        <v>15</v>
      </c>
      <c r="L264" s="4"/>
      <c r="M264" s="4">
        <v>3</v>
      </c>
      <c r="N264" s="4">
        <v>3</v>
      </c>
      <c r="O264" s="4">
        <v>3</v>
      </c>
      <c r="P264" s="4">
        <v>3</v>
      </c>
      <c r="Q264" s="4"/>
      <c r="R264" s="6">
        <f t="shared" si="77"/>
        <v>6.8</v>
      </c>
      <c r="S264" s="6"/>
      <c r="T264" s="6">
        <f t="shared" si="75"/>
        <v>6.8</v>
      </c>
      <c r="U264" s="6"/>
      <c r="V264" s="6"/>
      <c r="W264" s="74" t="s">
        <v>124</v>
      </c>
      <c r="X264" s="20" t="str">
        <f t="shared" si="78"/>
        <v>KIT-W/U-B33-LOFT END PANEL</v>
      </c>
      <c r="Y264" s="7">
        <f t="shared" si="76"/>
        <v>6.8</v>
      </c>
      <c r="AA264"/>
      <c r="AE264"/>
    </row>
    <row r="265" spans="1:31" x14ac:dyDescent="0.3">
      <c r="A265" s="4">
        <f t="shared" si="79"/>
        <v>261</v>
      </c>
      <c r="B265" s="4"/>
      <c r="C265" s="4"/>
      <c r="D265" s="4"/>
      <c r="E265" s="4"/>
      <c r="F265" s="19" t="s">
        <v>47</v>
      </c>
      <c r="G265" s="4">
        <v>650</v>
      </c>
      <c r="H265" s="4">
        <v>420</v>
      </c>
      <c r="I265" s="4">
        <v>1</v>
      </c>
      <c r="J265" s="82" t="s">
        <v>116</v>
      </c>
      <c r="K265" s="5" t="s">
        <v>15</v>
      </c>
      <c r="L265" s="4"/>
      <c r="M265" s="4">
        <v>3</v>
      </c>
      <c r="N265" s="4">
        <v>3</v>
      </c>
      <c r="O265" s="4">
        <v>3</v>
      </c>
      <c r="P265" s="4">
        <v>3</v>
      </c>
      <c r="Q265" s="4"/>
      <c r="R265" s="6">
        <f t="shared" si="77"/>
        <v>7.1333333333333337</v>
      </c>
      <c r="S265" s="6"/>
      <c r="T265" s="6">
        <f t="shared" si="75"/>
        <v>7.1333333333333337</v>
      </c>
      <c r="U265" s="6"/>
      <c r="V265" s="6"/>
      <c r="W265" s="74" t="s">
        <v>124</v>
      </c>
      <c r="X265" s="20" t="str">
        <f t="shared" si="78"/>
        <v>KIT-W/U-B33-LOFT END PANEL</v>
      </c>
      <c r="Y265" s="7">
        <f t="shared" si="76"/>
        <v>7.1333333333333337</v>
      </c>
      <c r="AA265"/>
      <c r="AE265"/>
    </row>
    <row r="266" spans="1:31" x14ac:dyDescent="0.3">
      <c r="A266" s="4">
        <f t="shared" si="79"/>
        <v>262</v>
      </c>
      <c r="B266" s="4"/>
      <c r="C266" s="100" t="s">
        <v>128</v>
      </c>
      <c r="D266" s="101"/>
      <c r="E266" s="102"/>
      <c r="F266" s="19" t="s">
        <v>48</v>
      </c>
      <c r="G266" s="4">
        <f>430-2</f>
        <v>428</v>
      </c>
      <c r="H266" s="4">
        <f>380-2</f>
        <v>378</v>
      </c>
      <c r="I266" s="4">
        <v>2</v>
      </c>
      <c r="J266" s="82" t="s">
        <v>116</v>
      </c>
      <c r="K266" s="5" t="s">
        <v>15</v>
      </c>
      <c r="L266" s="4"/>
      <c r="M266" s="4">
        <v>3</v>
      </c>
      <c r="N266" s="4">
        <v>3</v>
      </c>
      <c r="O266" s="4">
        <v>3</v>
      </c>
      <c r="P266" s="4">
        <v>3</v>
      </c>
      <c r="Q266" s="4"/>
      <c r="R266" s="6">
        <f t="shared" si="77"/>
        <v>10.746666666666666</v>
      </c>
      <c r="S266" s="6"/>
      <c r="T266" s="6">
        <f t="shared" si="75"/>
        <v>10.746666666666666</v>
      </c>
      <c r="U266" s="6"/>
      <c r="V266" s="6"/>
      <c r="W266" s="74" t="s">
        <v>124</v>
      </c>
      <c r="X266" s="20" t="str">
        <f t="shared" si="78"/>
        <v>KIT-W/U-B33-LOFT SHUTTERS</v>
      </c>
      <c r="Y266" s="7">
        <f t="shared" si="76"/>
        <v>10.746666666666666</v>
      </c>
      <c r="AA266"/>
      <c r="AE266"/>
    </row>
    <row r="267" spans="1:31" x14ac:dyDescent="0.3">
      <c r="A267" s="4">
        <f t="shared" si="79"/>
        <v>263</v>
      </c>
      <c r="B267" s="4"/>
      <c r="C267" s="100" t="s">
        <v>129</v>
      </c>
      <c r="D267" s="101"/>
      <c r="E267" s="102"/>
      <c r="F267" s="19" t="s">
        <v>48</v>
      </c>
      <c r="G267" s="4">
        <f>430-2</f>
        <v>428</v>
      </c>
      <c r="H267" s="4">
        <f>450-2</f>
        <v>448</v>
      </c>
      <c r="I267" s="4">
        <v>2</v>
      </c>
      <c r="J267" s="82" t="s">
        <v>116</v>
      </c>
      <c r="K267" s="5" t="s">
        <v>15</v>
      </c>
      <c r="L267" s="4"/>
      <c r="M267" s="4">
        <v>3</v>
      </c>
      <c r="N267" s="4">
        <v>3</v>
      </c>
      <c r="O267" s="4">
        <v>3</v>
      </c>
      <c r="P267" s="4">
        <v>3</v>
      </c>
      <c r="Q267" s="4"/>
      <c r="R267" s="6">
        <f t="shared" si="77"/>
        <v>11.68</v>
      </c>
      <c r="S267" s="6"/>
      <c r="T267" s="6">
        <f t="shared" si="75"/>
        <v>11.68</v>
      </c>
      <c r="U267" s="6"/>
      <c r="V267" s="6"/>
      <c r="W267" s="74" t="s">
        <v>124</v>
      </c>
      <c r="X267" s="20" t="str">
        <f t="shared" si="78"/>
        <v>KIT-W/U-B33-LOFT SHUTTERS</v>
      </c>
      <c r="Y267" s="7">
        <f t="shared" si="76"/>
        <v>11.68</v>
      </c>
      <c r="AA267"/>
      <c r="AE267"/>
    </row>
    <row r="268" spans="1:31" x14ac:dyDescent="0.3">
      <c r="A268" s="4">
        <f t="shared" si="79"/>
        <v>264</v>
      </c>
      <c r="B268" s="4"/>
      <c r="C268" s="100" t="s">
        <v>130</v>
      </c>
      <c r="D268" s="101"/>
      <c r="E268" s="102"/>
      <c r="F268" s="19" t="s">
        <v>48</v>
      </c>
      <c r="G268" s="4">
        <f>430-2</f>
        <v>428</v>
      </c>
      <c r="H268" s="4">
        <f>440-2</f>
        <v>438</v>
      </c>
      <c r="I268" s="4">
        <v>1</v>
      </c>
      <c r="J268" s="82" t="s">
        <v>116</v>
      </c>
      <c r="K268" s="5" t="s">
        <v>15</v>
      </c>
      <c r="L268" s="4"/>
      <c r="M268" s="4">
        <v>3</v>
      </c>
      <c r="N268" s="4">
        <v>3</v>
      </c>
      <c r="O268" s="4">
        <v>3</v>
      </c>
      <c r="P268" s="4">
        <v>3</v>
      </c>
      <c r="Q268" s="4"/>
      <c r="R268" s="6">
        <f t="shared" si="77"/>
        <v>5.7733333333333334</v>
      </c>
      <c r="S268" s="6"/>
      <c r="T268" s="6">
        <f t="shared" si="75"/>
        <v>5.7733333333333334</v>
      </c>
      <c r="U268" s="6"/>
      <c r="V268" s="6"/>
      <c r="W268" s="74" t="s">
        <v>124</v>
      </c>
      <c r="X268" s="20" t="str">
        <f t="shared" si="78"/>
        <v>KIT-W/U-B33-LOFT SHUTTERS</v>
      </c>
      <c r="Y268" s="7">
        <f t="shared" si="76"/>
        <v>5.7733333333333334</v>
      </c>
      <c r="AA268"/>
      <c r="AE268"/>
    </row>
    <row r="269" spans="1:31" x14ac:dyDescent="0.3">
      <c r="A269" s="4">
        <f t="shared" si="79"/>
        <v>265</v>
      </c>
      <c r="B269" s="4"/>
      <c r="C269" s="100" t="s">
        <v>131</v>
      </c>
      <c r="D269" s="101"/>
      <c r="E269" s="102"/>
      <c r="F269" s="19" t="s">
        <v>48</v>
      </c>
      <c r="G269" s="4">
        <f t="shared" ref="G269:G272" si="80">430-2</f>
        <v>428</v>
      </c>
      <c r="H269" s="4">
        <f>481-2</f>
        <v>479</v>
      </c>
      <c r="I269" s="4">
        <v>4</v>
      </c>
      <c r="J269" s="82" t="s">
        <v>116</v>
      </c>
      <c r="K269" s="5" t="s">
        <v>15</v>
      </c>
      <c r="L269" s="4"/>
      <c r="M269" s="4">
        <v>3</v>
      </c>
      <c r="N269" s="4">
        <v>3</v>
      </c>
      <c r="O269" s="4">
        <v>3</v>
      </c>
      <c r="P269" s="4">
        <v>3</v>
      </c>
      <c r="Q269" s="4"/>
      <c r="R269" s="6">
        <f t="shared" si="77"/>
        <v>24.186666666666667</v>
      </c>
      <c r="S269" s="6"/>
      <c r="T269" s="6">
        <f t="shared" si="75"/>
        <v>24.186666666666667</v>
      </c>
      <c r="U269" s="6"/>
      <c r="V269" s="6"/>
      <c r="W269" s="74" t="s">
        <v>124</v>
      </c>
      <c r="X269" s="20" t="str">
        <f t="shared" si="78"/>
        <v>KIT-W/U-B33-LOFT SHUTTERS</v>
      </c>
      <c r="Y269" s="7">
        <f t="shared" si="76"/>
        <v>24.186666666666667</v>
      </c>
      <c r="AA269"/>
      <c r="AE269"/>
    </row>
    <row r="270" spans="1:31" x14ac:dyDescent="0.3">
      <c r="A270" s="4">
        <f t="shared" si="79"/>
        <v>266</v>
      </c>
      <c r="B270" s="4"/>
      <c r="C270" s="100" t="s">
        <v>132</v>
      </c>
      <c r="D270" s="101"/>
      <c r="E270" s="102"/>
      <c r="F270" s="19" t="s">
        <v>48</v>
      </c>
      <c r="G270" s="4">
        <f>485-2</f>
        <v>483</v>
      </c>
      <c r="H270" s="4">
        <f>600-2</f>
        <v>598</v>
      </c>
      <c r="I270" s="4">
        <v>2</v>
      </c>
      <c r="J270" s="82" t="s">
        <v>116</v>
      </c>
      <c r="K270" s="5" t="s">
        <v>15</v>
      </c>
      <c r="L270" s="4"/>
      <c r="M270" s="4">
        <v>3</v>
      </c>
      <c r="N270" s="4">
        <v>3</v>
      </c>
      <c r="O270" s="4">
        <v>3</v>
      </c>
      <c r="P270" s="4">
        <v>3</v>
      </c>
      <c r="Q270" s="4"/>
      <c r="R270" s="6">
        <f t="shared" si="77"/>
        <v>14.413333333333334</v>
      </c>
      <c r="S270" s="6"/>
      <c r="T270" s="6">
        <f t="shared" si="75"/>
        <v>14.413333333333334</v>
      </c>
      <c r="U270" s="6"/>
      <c r="V270" s="6"/>
      <c r="W270" s="74" t="s">
        <v>124</v>
      </c>
      <c r="X270" s="20" t="str">
        <f t="shared" si="78"/>
        <v>KIT-W/U-B33-LOFT SHUTTERS</v>
      </c>
      <c r="Y270" s="7">
        <f t="shared" si="76"/>
        <v>14.413333333333334</v>
      </c>
      <c r="AA270"/>
      <c r="AE270"/>
    </row>
    <row r="271" spans="1:31" x14ac:dyDescent="0.3">
      <c r="A271" s="4">
        <f t="shared" si="79"/>
        <v>267</v>
      </c>
      <c r="B271" s="4"/>
      <c r="C271" s="100" t="s">
        <v>133</v>
      </c>
      <c r="D271" s="101"/>
      <c r="E271" s="102"/>
      <c r="F271" s="19" t="s">
        <v>48</v>
      </c>
      <c r="G271" s="4">
        <f t="shared" si="80"/>
        <v>428</v>
      </c>
      <c r="H271" s="4">
        <f>365-2</f>
        <v>363</v>
      </c>
      <c r="I271" s="4">
        <v>1</v>
      </c>
      <c r="J271" s="82" t="s">
        <v>116</v>
      </c>
      <c r="K271" s="5" t="s">
        <v>15</v>
      </c>
      <c r="L271" s="4"/>
      <c r="M271" s="4">
        <v>3</v>
      </c>
      <c r="N271" s="4">
        <v>3</v>
      </c>
      <c r="O271" s="4">
        <v>3</v>
      </c>
      <c r="P271" s="4">
        <v>3</v>
      </c>
      <c r="Q271" s="4"/>
      <c r="R271" s="6">
        <f t="shared" si="77"/>
        <v>5.2733333333333334</v>
      </c>
      <c r="S271" s="6"/>
      <c r="T271" s="6">
        <f t="shared" si="75"/>
        <v>5.2733333333333334</v>
      </c>
      <c r="U271" s="6"/>
      <c r="V271" s="6"/>
      <c r="W271" s="74" t="s">
        <v>124</v>
      </c>
      <c r="X271" s="20" t="str">
        <f t="shared" si="78"/>
        <v>KIT-W/U-B33-LOFT SHUTTERS</v>
      </c>
      <c r="Y271" s="7">
        <f t="shared" si="76"/>
        <v>5.2733333333333334</v>
      </c>
      <c r="AA271"/>
      <c r="AE271"/>
    </row>
    <row r="272" spans="1:31" x14ac:dyDescent="0.3">
      <c r="A272" s="4">
        <f t="shared" si="79"/>
        <v>268</v>
      </c>
      <c r="B272" s="4"/>
      <c r="C272" s="100" t="s">
        <v>134</v>
      </c>
      <c r="D272" s="101"/>
      <c r="E272" s="102"/>
      <c r="F272" s="19" t="s">
        <v>48</v>
      </c>
      <c r="G272" s="4">
        <f t="shared" si="80"/>
        <v>428</v>
      </c>
      <c r="H272" s="4">
        <f>465-2</f>
        <v>463</v>
      </c>
      <c r="I272" s="4">
        <v>1</v>
      </c>
      <c r="J272" s="82" t="s">
        <v>116</v>
      </c>
      <c r="K272" s="5" t="s">
        <v>15</v>
      </c>
      <c r="L272" s="4"/>
      <c r="M272" s="4">
        <v>3</v>
      </c>
      <c r="N272" s="4">
        <v>3</v>
      </c>
      <c r="O272" s="4">
        <v>3</v>
      </c>
      <c r="P272" s="4">
        <v>3</v>
      </c>
      <c r="Q272" s="4"/>
      <c r="R272" s="6">
        <f t="shared" si="77"/>
        <v>5.94</v>
      </c>
      <c r="S272" s="6"/>
      <c r="T272" s="6">
        <f t="shared" si="75"/>
        <v>5.94</v>
      </c>
      <c r="U272" s="6"/>
      <c r="V272" s="6"/>
      <c r="W272" s="74" t="s">
        <v>124</v>
      </c>
      <c r="X272" s="20" t="str">
        <f t="shared" si="78"/>
        <v>KIT-W/U-B33-LOFT SHUTTERS</v>
      </c>
      <c r="Y272" s="7">
        <f t="shared" si="76"/>
        <v>5.94</v>
      </c>
      <c r="AA272"/>
      <c r="AE272"/>
    </row>
    <row r="273" spans="1:31" x14ac:dyDescent="0.3">
      <c r="A273" s="4">
        <f t="shared" si="79"/>
        <v>269</v>
      </c>
      <c r="B273" s="46" t="s">
        <v>196</v>
      </c>
      <c r="C273" s="23">
        <v>1040</v>
      </c>
      <c r="D273" s="23">
        <f>1630-100</f>
        <v>1530</v>
      </c>
      <c r="E273" s="23">
        <v>300</v>
      </c>
      <c r="F273" s="17" t="s">
        <v>28</v>
      </c>
      <c r="G273" s="4">
        <f>C273</f>
        <v>1040</v>
      </c>
      <c r="H273" s="4">
        <f>E273</f>
        <v>300</v>
      </c>
      <c r="I273" s="4">
        <v>1</v>
      </c>
      <c r="J273" s="62" t="s">
        <v>34</v>
      </c>
      <c r="K273" s="17" t="s">
        <v>15</v>
      </c>
      <c r="L273" s="39"/>
      <c r="M273" s="39">
        <v>1</v>
      </c>
      <c r="N273" s="39">
        <v>1</v>
      </c>
      <c r="O273" s="39">
        <v>1</v>
      </c>
      <c r="P273" s="39">
        <v>1</v>
      </c>
      <c r="Q273" s="4"/>
      <c r="R273" s="6">
        <f t="shared" si="77"/>
        <v>8.9333333333333336</v>
      </c>
      <c r="S273" s="6">
        <f t="shared" ref="S273:S276" si="81">R273</f>
        <v>8.9333333333333336</v>
      </c>
      <c r="T273" s="6"/>
      <c r="U273" s="6"/>
      <c r="V273" s="6"/>
      <c r="W273" s="74" t="s">
        <v>196</v>
      </c>
      <c r="X273" s="20" t="str">
        <f t="shared" si="78"/>
        <v>KIT-UTILITY-B34-LHS</v>
      </c>
      <c r="Y273" s="7">
        <f t="shared" si="76"/>
        <v>8.9333333333333336</v>
      </c>
      <c r="AA273"/>
      <c r="AE273"/>
    </row>
    <row r="274" spans="1:31" x14ac:dyDescent="0.3">
      <c r="A274" s="4">
        <f t="shared" si="79"/>
        <v>270</v>
      </c>
      <c r="B274" s="4"/>
      <c r="C274" s="39"/>
      <c r="D274" s="39"/>
      <c r="E274" s="39"/>
      <c r="F274" s="17" t="s">
        <v>29</v>
      </c>
      <c r="G274" s="4">
        <f>G273</f>
        <v>1040</v>
      </c>
      <c r="H274" s="4">
        <f>H273</f>
        <v>300</v>
      </c>
      <c r="I274" s="4">
        <v>1</v>
      </c>
      <c r="J274" s="62" t="s">
        <v>34</v>
      </c>
      <c r="K274" s="17" t="s">
        <v>15</v>
      </c>
      <c r="L274" s="39"/>
      <c r="M274" s="39">
        <v>1</v>
      </c>
      <c r="N274" s="39">
        <v>1</v>
      </c>
      <c r="O274" s="39">
        <v>1</v>
      </c>
      <c r="P274" s="39">
        <v>1</v>
      </c>
      <c r="Q274" s="4"/>
      <c r="R274" s="6">
        <f t="shared" si="77"/>
        <v>8.9333333333333336</v>
      </c>
      <c r="S274" s="6">
        <f t="shared" si="81"/>
        <v>8.9333333333333336</v>
      </c>
      <c r="T274" s="6"/>
      <c r="U274" s="6"/>
      <c r="V274" s="6"/>
      <c r="W274" s="74" t="s">
        <v>196</v>
      </c>
      <c r="X274" s="20" t="str">
        <f t="shared" si="78"/>
        <v>KIT-UTILITY-B34-RHS</v>
      </c>
      <c r="Y274" s="7">
        <f t="shared" si="76"/>
        <v>8.9333333333333336</v>
      </c>
      <c r="AA274"/>
      <c r="AE274"/>
    </row>
    <row r="275" spans="1:31" x14ac:dyDescent="0.3">
      <c r="A275" s="4">
        <f t="shared" si="79"/>
        <v>271</v>
      </c>
      <c r="B275" s="4"/>
      <c r="C275" s="39"/>
      <c r="D275" s="39"/>
      <c r="E275" s="39"/>
      <c r="F275" s="17" t="s">
        <v>30</v>
      </c>
      <c r="G275" s="4">
        <f>D273-36</f>
        <v>1494</v>
      </c>
      <c r="H275" s="4">
        <f>H274</f>
        <v>300</v>
      </c>
      <c r="I275" s="4">
        <v>1</v>
      </c>
      <c r="J275" s="62" t="s">
        <v>34</v>
      </c>
      <c r="K275" s="17" t="s">
        <v>15</v>
      </c>
      <c r="L275" s="39"/>
      <c r="M275" s="39">
        <v>1</v>
      </c>
      <c r="N275" s="39">
        <v>1</v>
      </c>
      <c r="O275" s="39">
        <v>1</v>
      </c>
      <c r="P275" s="39">
        <v>1</v>
      </c>
      <c r="Q275" s="4"/>
      <c r="R275" s="6">
        <f t="shared" si="77"/>
        <v>11.96</v>
      </c>
      <c r="S275" s="6">
        <f t="shared" si="81"/>
        <v>11.96</v>
      </c>
      <c r="T275" s="6"/>
      <c r="U275" s="6"/>
      <c r="V275" s="6"/>
      <c r="W275" s="74" t="s">
        <v>196</v>
      </c>
      <c r="X275" s="20" t="str">
        <f t="shared" si="78"/>
        <v>KIT-UTILITY-B34-TOP</v>
      </c>
      <c r="Y275" s="7">
        <f t="shared" si="76"/>
        <v>11.96</v>
      </c>
      <c r="AA275"/>
      <c r="AE275"/>
    </row>
    <row r="276" spans="1:31" x14ac:dyDescent="0.3">
      <c r="A276" s="4">
        <f t="shared" si="79"/>
        <v>272</v>
      </c>
      <c r="B276" s="4"/>
      <c r="C276" s="39"/>
      <c r="D276" s="39"/>
      <c r="E276" s="39"/>
      <c r="F276" s="17" t="s">
        <v>31</v>
      </c>
      <c r="G276" s="4">
        <f>G275</f>
        <v>1494</v>
      </c>
      <c r="H276" s="4">
        <f>H275</f>
        <v>300</v>
      </c>
      <c r="I276" s="4">
        <v>1</v>
      </c>
      <c r="J276" s="62" t="s">
        <v>34</v>
      </c>
      <c r="K276" s="17" t="s">
        <v>15</v>
      </c>
      <c r="L276" s="39"/>
      <c r="M276" s="39">
        <v>1</v>
      </c>
      <c r="N276" s="39">
        <v>1</v>
      </c>
      <c r="O276" s="39">
        <v>1</v>
      </c>
      <c r="P276" s="39">
        <v>1</v>
      </c>
      <c r="Q276" s="4"/>
      <c r="R276" s="6">
        <f t="shared" si="77"/>
        <v>11.96</v>
      </c>
      <c r="S276" s="6">
        <f t="shared" si="81"/>
        <v>11.96</v>
      </c>
      <c r="T276" s="6"/>
      <c r="U276" s="6"/>
      <c r="V276" s="6"/>
      <c r="W276" s="74" t="s">
        <v>196</v>
      </c>
      <c r="X276" s="20" t="str">
        <f t="shared" si="78"/>
        <v>KIT-UTILITY-B34-BTM</v>
      </c>
      <c r="Y276" s="7">
        <f t="shared" si="76"/>
        <v>11.96</v>
      </c>
      <c r="AA276"/>
      <c r="AE276"/>
    </row>
    <row r="277" spans="1:31" x14ac:dyDescent="0.3">
      <c r="A277" s="4">
        <f t="shared" si="79"/>
        <v>273</v>
      </c>
      <c r="B277" s="4"/>
      <c r="C277" s="39"/>
      <c r="D277" s="39"/>
      <c r="E277" s="39"/>
      <c r="F277" s="17" t="s">
        <v>32</v>
      </c>
      <c r="G277" s="4">
        <f>C273-36+16</f>
        <v>1020</v>
      </c>
      <c r="H277" s="4">
        <f>D273-36+16</f>
        <v>1510</v>
      </c>
      <c r="I277" s="4">
        <v>1</v>
      </c>
      <c r="J277" s="62" t="s">
        <v>35</v>
      </c>
      <c r="K277" s="17" t="s">
        <v>15</v>
      </c>
      <c r="L277" s="4"/>
      <c r="M277" s="4"/>
      <c r="N277" s="4"/>
      <c r="O277" s="4"/>
      <c r="P277" s="4"/>
      <c r="Q277" s="4"/>
      <c r="R277" s="6">
        <f t="shared" si="77"/>
        <v>16.866666666666667</v>
      </c>
      <c r="S277" s="6"/>
      <c r="T277" s="6"/>
      <c r="U277" s="6"/>
      <c r="V277" s="6"/>
      <c r="W277" s="74" t="s">
        <v>196</v>
      </c>
      <c r="X277" s="20" t="str">
        <f t="shared" si="78"/>
        <v>KIT-UTILITY-B34-BACK UP</v>
      </c>
      <c r="Y277" s="7">
        <f t="shared" si="76"/>
        <v>16.866666666666667</v>
      </c>
      <c r="AA277"/>
      <c r="AE277"/>
    </row>
    <row r="278" spans="1:31" x14ac:dyDescent="0.3">
      <c r="A278" s="4">
        <f t="shared" si="79"/>
        <v>274</v>
      </c>
      <c r="B278" s="4"/>
      <c r="C278" s="4"/>
      <c r="D278" s="4"/>
      <c r="E278" s="4"/>
      <c r="F278" s="19" t="s">
        <v>43</v>
      </c>
      <c r="G278" s="4">
        <f>C273-36</f>
        <v>1004</v>
      </c>
      <c r="H278" s="4">
        <f>E273-20</f>
        <v>280</v>
      </c>
      <c r="I278" s="4">
        <v>1</v>
      </c>
      <c r="J278" s="62" t="s">
        <v>34</v>
      </c>
      <c r="K278" s="17" t="s">
        <v>15</v>
      </c>
      <c r="L278" s="39"/>
      <c r="M278" s="39">
        <v>1</v>
      </c>
      <c r="N278" s="39">
        <v>1</v>
      </c>
      <c r="O278" s="39">
        <v>1</v>
      </c>
      <c r="P278" s="39">
        <v>1</v>
      </c>
      <c r="Q278" s="4"/>
      <c r="R278" s="6">
        <f t="shared" si="77"/>
        <v>8.56</v>
      </c>
      <c r="S278" s="6">
        <f t="shared" ref="S278:S280" si="82">R278</f>
        <v>8.56</v>
      </c>
      <c r="T278" s="6"/>
      <c r="U278" s="6"/>
      <c r="V278" s="6"/>
      <c r="W278" s="74" t="s">
        <v>196</v>
      </c>
      <c r="X278" s="20" t="str">
        <f t="shared" si="78"/>
        <v>KIT-UTILITY-B34-C/V</v>
      </c>
      <c r="Y278" s="7">
        <f t="shared" si="76"/>
        <v>8.56</v>
      </c>
      <c r="AA278"/>
      <c r="AE278"/>
    </row>
    <row r="279" spans="1:31" x14ac:dyDescent="0.3">
      <c r="A279" s="4">
        <f t="shared" si="79"/>
        <v>275</v>
      </c>
      <c r="B279" s="4"/>
      <c r="C279" s="4"/>
      <c r="D279" s="4"/>
      <c r="E279" s="4"/>
      <c r="F279" s="19" t="s">
        <v>33</v>
      </c>
      <c r="G279" s="4">
        <f>D273/3-18-9-1</f>
        <v>482</v>
      </c>
      <c r="H279" s="4">
        <f>E273-25</f>
        <v>275</v>
      </c>
      <c r="I279" s="4">
        <v>2</v>
      </c>
      <c r="J279" s="62" t="s">
        <v>34</v>
      </c>
      <c r="K279" s="17" t="s">
        <v>15</v>
      </c>
      <c r="L279" s="39"/>
      <c r="M279" s="39">
        <v>1</v>
      </c>
      <c r="N279" s="39">
        <v>1</v>
      </c>
      <c r="O279" s="39">
        <v>1</v>
      </c>
      <c r="P279" s="39">
        <v>1</v>
      </c>
      <c r="Q279" s="4"/>
      <c r="R279" s="6">
        <f t="shared" si="77"/>
        <v>10.093333333333334</v>
      </c>
      <c r="S279" s="6">
        <f t="shared" si="82"/>
        <v>10.093333333333334</v>
      </c>
      <c r="T279" s="6"/>
      <c r="U279" s="6"/>
      <c r="V279" s="6"/>
      <c r="W279" s="74" t="s">
        <v>196</v>
      </c>
      <c r="X279" s="20" t="str">
        <f t="shared" si="78"/>
        <v>KIT-UTILITY-B34-Lshelf</v>
      </c>
      <c r="Y279" s="7">
        <f t="shared" si="76"/>
        <v>10.093333333333334</v>
      </c>
      <c r="AA279"/>
      <c r="AE279"/>
    </row>
    <row r="280" spans="1:31" x14ac:dyDescent="0.3">
      <c r="A280" s="4">
        <f t="shared" si="79"/>
        <v>276</v>
      </c>
      <c r="B280" s="4"/>
      <c r="C280" s="4"/>
      <c r="D280" s="4"/>
      <c r="E280" s="4"/>
      <c r="F280" s="19" t="s">
        <v>33</v>
      </c>
      <c r="G280" s="4">
        <f>D273-510-18-9-1</f>
        <v>992</v>
      </c>
      <c r="H280" s="4">
        <f>H279</f>
        <v>275</v>
      </c>
      <c r="I280" s="4">
        <v>2</v>
      </c>
      <c r="J280" s="62" t="s">
        <v>34</v>
      </c>
      <c r="K280" s="17" t="s">
        <v>15</v>
      </c>
      <c r="L280" s="39"/>
      <c r="M280" s="39">
        <v>1</v>
      </c>
      <c r="N280" s="39">
        <v>1</v>
      </c>
      <c r="O280" s="39">
        <v>1</v>
      </c>
      <c r="P280" s="39">
        <v>1</v>
      </c>
      <c r="Q280" s="4"/>
      <c r="R280" s="6">
        <f t="shared" si="77"/>
        <v>16.893333333333334</v>
      </c>
      <c r="S280" s="6">
        <f t="shared" si="82"/>
        <v>16.893333333333334</v>
      </c>
      <c r="T280" s="6"/>
      <c r="U280" s="6"/>
      <c r="V280" s="6"/>
      <c r="W280" s="74" t="s">
        <v>196</v>
      </c>
      <c r="X280" s="20" t="str">
        <f t="shared" si="78"/>
        <v>KIT-UTILITY-B34-Lshelf</v>
      </c>
      <c r="Y280" s="7">
        <f t="shared" si="76"/>
        <v>16.893333333333334</v>
      </c>
      <c r="AA280"/>
      <c r="AE280"/>
    </row>
    <row r="281" spans="1:31" x14ac:dyDescent="0.3">
      <c r="A281" s="4">
        <f t="shared" si="79"/>
        <v>277</v>
      </c>
      <c r="B281" s="4"/>
      <c r="C281" s="4"/>
      <c r="D281" s="4"/>
      <c r="E281" s="4"/>
      <c r="F281" s="19" t="s">
        <v>36</v>
      </c>
      <c r="G281" s="4">
        <f>C273-2</f>
        <v>1038</v>
      </c>
      <c r="H281" s="4">
        <f>D273/3-2</f>
        <v>508</v>
      </c>
      <c r="I281" s="4">
        <v>3</v>
      </c>
      <c r="J281" s="61" t="s">
        <v>119</v>
      </c>
      <c r="K281" s="5"/>
      <c r="L281" s="4"/>
      <c r="M281" s="4">
        <v>3</v>
      </c>
      <c r="N281" s="4">
        <v>3</v>
      </c>
      <c r="O281" s="4">
        <v>3</v>
      </c>
      <c r="P281" s="4">
        <v>3</v>
      </c>
      <c r="Q281" s="4" t="s">
        <v>64</v>
      </c>
      <c r="R281" s="6">
        <f t="shared" si="77"/>
        <v>30.92</v>
      </c>
      <c r="S281" s="6"/>
      <c r="T281" s="6">
        <f t="shared" ref="T281:T285" si="83">R281</f>
        <v>30.92</v>
      </c>
      <c r="U281" s="6"/>
      <c r="V281" s="6"/>
      <c r="W281" s="74" t="s">
        <v>196</v>
      </c>
      <c r="X281" s="20" t="str">
        <f t="shared" si="78"/>
        <v>KIT-UTILITY-B34-SHUTTER</v>
      </c>
      <c r="Y281" s="7">
        <f t="shared" si="76"/>
        <v>30.92</v>
      </c>
      <c r="AA281"/>
      <c r="AE281"/>
    </row>
    <row r="282" spans="1:31" x14ac:dyDescent="0.3">
      <c r="A282" s="4">
        <f t="shared" si="79"/>
        <v>278</v>
      </c>
      <c r="B282" s="4"/>
      <c r="C282" s="4"/>
      <c r="D282" s="4"/>
      <c r="E282" s="4"/>
      <c r="F282" s="19" t="s">
        <v>37</v>
      </c>
      <c r="G282" s="4">
        <f>C273+50</f>
        <v>1090</v>
      </c>
      <c r="H282" s="4">
        <v>100</v>
      </c>
      <c r="I282" s="4">
        <v>2</v>
      </c>
      <c r="J282" s="61" t="s">
        <v>119</v>
      </c>
      <c r="K282" s="5"/>
      <c r="L282" s="4"/>
      <c r="M282" s="4">
        <v>3</v>
      </c>
      <c r="N282" s="4">
        <v>3</v>
      </c>
      <c r="O282" s="4">
        <v>3</v>
      </c>
      <c r="P282" s="4">
        <v>3</v>
      </c>
      <c r="Q282" s="4" t="s">
        <v>64</v>
      </c>
      <c r="R282" s="6">
        <f t="shared" si="77"/>
        <v>15.866666666666667</v>
      </c>
      <c r="S282" s="6"/>
      <c r="T282" s="6">
        <f t="shared" si="83"/>
        <v>15.866666666666667</v>
      </c>
      <c r="U282" s="6"/>
      <c r="V282" s="6"/>
      <c r="W282" s="74" t="s">
        <v>196</v>
      </c>
      <c r="X282" s="20" t="str">
        <f t="shared" si="78"/>
        <v>KIT-UTILITY-B34-FILLER</v>
      </c>
      <c r="Y282" s="7">
        <f t="shared" si="76"/>
        <v>15.866666666666667</v>
      </c>
      <c r="AA282"/>
      <c r="AE282"/>
    </row>
    <row r="283" spans="1:31" x14ac:dyDescent="0.3">
      <c r="A283" s="4">
        <f t="shared" si="79"/>
        <v>279</v>
      </c>
      <c r="B283" s="4"/>
      <c r="C283" s="4"/>
      <c r="D283" s="4"/>
      <c r="E283" s="4"/>
      <c r="F283" s="19" t="s">
        <v>126</v>
      </c>
      <c r="G283" s="4">
        <f>1700</f>
        <v>1700</v>
      </c>
      <c r="H283" s="4">
        <v>100</v>
      </c>
      <c r="I283" s="4">
        <v>1</v>
      </c>
      <c r="J283" s="61" t="s">
        <v>119</v>
      </c>
      <c r="K283" s="5"/>
      <c r="L283" s="4"/>
      <c r="M283" s="4">
        <v>3</v>
      </c>
      <c r="N283" s="4">
        <v>3</v>
      </c>
      <c r="O283" s="4">
        <v>3</v>
      </c>
      <c r="P283" s="4">
        <v>3</v>
      </c>
      <c r="Q283" s="4" t="s">
        <v>64</v>
      </c>
      <c r="R283" s="6">
        <f t="shared" si="77"/>
        <v>12</v>
      </c>
      <c r="S283" s="6"/>
      <c r="T283" s="6">
        <f t="shared" si="83"/>
        <v>12</v>
      </c>
      <c r="U283" s="6"/>
      <c r="V283" s="6"/>
      <c r="W283" s="74" t="s">
        <v>196</v>
      </c>
      <c r="X283" s="20" t="str">
        <f t="shared" si="78"/>
        <v>KIT-UTILITY-B34-TOP FILLER</v>
      </c>
      <c r="Y283" s="7">
        <f t="shared" si="76"/>
        <v>12</v>
      </c>
      <c r="AA283"/>
      <c r="AE283"/>
    </row>
    <row r="284" spans="1:31" x14ac:dyDescent="0.3">
      <c r="A284" s="4">
        <f t="shared" si="79"/>
        <v>280</v>
      </c>
      <c r="B284" s="46" t="s">
        <v>183</v>
      </c>
      <c r="C284" s="23">
        <v>1500</v>
      </c>
      <c r="D284" s="23">
        <v>300</v>
      </c>
      <c r="E284" s="23">
        <v>180</v>
      </c>
      <c r="F284" s="17" t="s">
        <v>28</v>
      </c>
      <c r="G284" s="4">
        <f>C284</f>
        <v>1500</v>
      </c>
      <c r="H284" s="4">
        <f>E284</f>
        <v>180</v>
      </c>
      <c r="I284" s="4">
        <v>1</v>
      </c>
      <c r="J284" s="61" t="s">
        <v>119</v>
      </c>
      <c r="K284" s="5"/>
      <c r="L284" s="4"/>
      <c r="M284" s="4">
        <v>3</v>
      </c>
      <c r="N284" s="4">
        <v>3</v>
      </c>
      <c r="O284" s="4">
        <v>3</v>
      </c>
      <c r="P284" s="4">
        <v>3</v>
      </c>
      <c r="Q284" s="4" t="s">
        <v>64</v>
      </c>
      <c r="R284" s="6">
        <f t="shared" si="77"/>
        <v>11.2</v>
      </c>
      <c r="S284" s="6"/>
      <c r="T284" s="6">
        <f t="shared" si="83"/>
        <v>11.2</v>
      </c>
      <c r="U284" s="6"/>
      <c r="V284" s="6"/>
      <c r="W284" s="74" t="s">
        <v>183</v>
      </c>
      <c r="X284" s="20" t="str">
        <f t="shared" si="78"/>
        <v>KIT-UTILITY-B35-LHS</v>
      </c>
      <c r="Y284" s="7">
        <f t="shared" si="76"/>
        <v>11.2</v>
      </c>
      <c r="AA284"/>
      <c r="AE284"/>
    </row>
    <row r="285" spans="1:31" x14ac:dyDescent="0.3">
      <c r="A285" s="4">
        <f t="shared" si="79"/>
        <v>281</v>
      </c>
      <c r="B285" s="4"/>
      <c r="C285" s="39"/>
      <c r="D285" s="39"/>
      <c r="E285" s="39"/>
      <c r="F285" s="17" t="s">
        <v>29</v>
      </c>
      <c r="G285" s="4">
        <f>G284</f>
        <v>1500</v>
      </c>
      <c r="H285" s="4">
        <f>H284</f>
        <v>180</v>
      </c>
      <c r="I285" s="4">
        <v>1</v>
      </c>
      <c r="J285" s="61" t="s">
        <v>119</v>
      </c>
      <c r="K285" s="5"/>
      <c r="L285" s="4"/>
      <c r="M285" s="4">
        <v>3</v>
      </c>
      <c r="N285" s="4">
        <v>3</v>
      </c>
      <c r="O285" s="4">
        <v>3</v>
      </c>
      <c r="P285" s="4">
        <v>3</v>
      </c>
      <c r="Q285" s="4" t="s">
        <v>64</v>
      </c>
      <c r="R285" s="6">
        <f t="shared" si="77"/>
        <v>11.2</v>
      </c>
      <c r="S285" s="6"/>
      <c r="T285" s="6">
        <f t="shared" si="83"/>
        <v>11.2</v>
      </c>
      <c r="U285" s="6"/>
      <c r="V285" s="6"/>
      <c r="W285" s="74" t="s">
        <v>183</v>
      </c>
      <c r="X285" s="20" t="str">
        <f t="shared" si="78"/>
        <v>KIT-UTILITY-B35-RHS</v>
      </c>
      <c r="Y285" s="7">
        <f t="shared" si="76"/>
        <v>11.2</v>
      </c>
      <c r="AA285"/>
      <c r="AE285"/>
    </row>
    <row r="286" spans="1:31" x14ac:dyDescent="0.3">
      <c r="A286" s="4">
        <f t="shared" si="79"/>
        <v>282</v>
      </c>
      <c r="B286" s="4"/>
      <c r="C286" s="39"/>
      <c r="D286" s="39"/>
      <c r="E286" s="39"/>
      <c r="F286" s="17" t="s">
        <v>30</v>
      </c>
      <c r="G286" s="4">
        <f>D284-36</f>
        <v>264</v>
      </c>
      <c r="H286" s="4">
        <f>H285</f>
        <v>180</v>
      </c>
      <c r="I286" s="4">
        <v>1</v>
      </c>
      <c r="J286" s="62" t="s">
        <v>34</v>
      </c>
      <c r="K286" s="17" t="s">
        <v>15</v>
      </c>
      <c r="L286" s="39"/>
      <c r="M286" s="39">
        <v>1</v>
      </c>
      <c r="N286" s="39">
        <v>1</v>
      </c>
      <c r="O286" s="39">
        <v>1</v>
      </c>
      <c r="P286" s="39">
        <v>1</v>
      </c>
      <c r="Q286" s="4"/>
      <c r="R286" s="6">
        <f t="shared" si="77"/>
        <v>2.96</v>
      </c>
      <c r="S286" s="6">
        <f t="shared" ref="S286:S287" si="84">R286</f>
        <v>2.96</v>
      </c>
      <c r="T286" s="6"/>
      <c r="U286" s="6"/>
      <c r="V286" s="6"/>
      <c r="W286" s="74" t="s">
        <v>183</v>
      </c>
      <c r="X286" s="20" t="str">
        <f t="shared" si="78"/>
        <v>KIT-UTILITY-B35-TOP</v>
      </c>
      <c r="Y286" s="7">
        <f t="shared" si="76"/>
        <v>2.96</v>
      </c>
      <c r="AA286"/>
      <c r="AE286"/>
    </row>
    <row r="287" spans="1:31" x14ac:dyDescent="0.3">
      <c r="A287" s="4">
        <f t="shared" si="79"/>
        <v>283</v>
      </c>
      <c r="B287" s="4"/>
      <c r="C287" s="39"/>
      <c r="D287" s="39"/>
      <c r="E287" s="39"/>
      <c r="F287" s="17" t="s">
        <v>31</v>
      </c>
      <c r="G287" s="4">
        <f>G286</f>
        <v>264</v>
      </c>
      <c r="H287" s="4">
        <f>H286</f>
        <v>180</v>
      </c>
      <c r="I287" s="4">
        <v>1</v>
      </c>
      <c r="J287" s="62" t="s">
        <v>34</v>
      </c>
      <c r="K287" s="17" t="s">
        <v>15</v>
      </c>
      <c r="L287" s="39"/>
      <c r="M287" s="39">
        <v>1</v>
      </c>
      <c r="N287" s="39">
        <v>1</v>
      </c>
      <c r="O287" s="39">
        <v>1</v>
      </c>
      <c r="P287" s="39">
        <v>1</v>
      </c>
      <c r="Q287" s="4"/>
      <c r="R287" s="6">
        <f t="shared" si="77"/>
        <v>2.96</v>
      </c>
      <c r="S287" s="6">
        <f t="shared" si="84"/>
        <v>2.96</v>
      </c>
      <c r="T287" s="6"/>
      <c r="U287" s="6"/>
      <c r="V287" s="6"/>
      <c r="W287" s="74" t="s">
        <v>183</v>
      </c>
      <c r="X287" s="20" t="str">
        <f t="shared" si="78"/>
        <v>KIT-UTILITY-B35-BTM</v>
      </c>
      <c r="Y287" s="7">
        <f t="shared" si="76"/>
        <v>2.96</v>
      </c>
      <c r="AA287"/>
      <c r="AE287"/>
    </row>
    <row r="288" spans="1:31" x14ac:dyDescent="0.3">
      <c r="A288" s="4">
        <f t="shared" si="79"/>
        <v>284</v>
      </c>
      <c r="B288" s="4"/>
      <c r="C288" s="39"/>
      <c r="D288" s="39"/>
      <c r="E288" s="39"/>
      <c r="F288" s="17" t="s">
        <v>32</v>
      </c>
      <c r="G288" s="4">
        <f>C284-36+16</f>
        <v>1480</v>
      </c>
      <c r="H288" s="4">
        <f>D284-36+16</f>
        <v>280</v>
      </c>
      <c r="I288" s="4">
        <v>1</v>
      </c>
      <c r="J288" s="62" t="s">
        <v>35</v>
      </c>
      <c r="K288" s="17" t="s">
        <v>15</v>
      </c>
      <c r="L288" s="4"/>
      <c r="M288" s="4"/>
      <c r="N288" s="4"/>
      <c r="O288" s="4"/>
      <c r="P288" s="4"/>
      <c r="Q288" s="4"/>
      <c r="R288" s="6">
        <f t="shared" si="77"/>
        <v>11.733333333333333</v>
      </c>
      <c r="S288" s="6"/>
      <c r="T288" s="6"/>
      <c r="U288" s="6"/>
      <c r="V288" s="6"/>
      <c r="W288" s="74" t="s">
        <v>183</v>
      </c>
      <c r="X288" s="20" t="str">
        <f t="shared" si="78"/>
        <v>KIT-UTILITY-B35-BACK UP</v>
      </c>
      <c r="Y288" s="7">
        <f t="shared" si="76"/>
        <v>11.733333333333333</v>
      </c>
      <c r="AA288"/>
      <c r="AE288"/>
    </row>
    <row r="289" spans="1:31" x14ac:dyDescent="0.3">
      <c r="A289" s="4">
        <f t="shared" si="79"/>
        <v>285</v>
      </c>
      <c r="B289" s="4"/>
      <c r="C289" s="95" t="s">
        <v>258</v>
      </c>
      <c r="D289" s="96"/>
      <c r="E289" s="97"/>
      <c r="F289" s="88" t="s">
        <v>33</v>
      </c>
      <c r="G289" s="52">
        <f>D284-36-1</f>
        <v>263</v>
      </c>
      <c r="H289" s="52">
        <f>E284-25</f>
        <v>155</v>
      </c>
      <c r="I289" s="52">
        <v>3</v>
      </c>
      <c r="J289" s="89" t="s">
        <v>34</v>
      </c>
      <c r="K289" s="89" t="s">
        <v>15</v>
      </c>
      <c r="L289" s="64"/>
      <c r="M289" s="64">
        <v>1</v>
      </c>
      <c r="N289" s="64">
        <v>1</v>
      </c>
      <c r="O289" s="64">
        <v>1</v>
      </c>
      <c r="P289" s="64">
        <v>1</v>
      </c>
      <c r="Q289" s="4"/>
      <c r="R289" s="6">
        <f t="shared" si="77"/>
        <v>8.36</v>
      </c>
      <c r="S289" s="6">
        <f>R289</f>
        <v>8.36</v>
      </c>
      <c r="T289" s="6"/>
      <c r="U289" s="6"/>
      <c r="V289" s="6"/>
      <c r="W289" s="74" t="s">
        <v>183</v>
      </c>
      <c r="X289" s="20" t="str">
        <f t="shared" si="78"/>
        <v>KIT-UTILITY-B35-Lshelf</v>
      </c>
      <c r="Y289" s="7">
        <f t="shared" si="76"/>
        <v>8.36</v>
      </c>
      <c r="AA289"/>
      <c r="AE289"/>
    </row>
    <row r="290" spans="1:31" x14ac:dyDescent="0.3">
      <c r="A290" s="4">
        <f>A289+1</f>
        <v>286</v>
      </c>
      <c r="B290" s="4"/>
      <c r="C290" s="4"/>
      <c r="D290" s="4"/>
      <c r="E290" s="4"/>
      <c r="F290" s="19" t="s">
        <v>36</v>
      </c>
      <c r="G290" s="4">
        <f>C284-2</f>
        <v>1498</v>
      </c>
      <c r="H290" s="4">
        <f>D284-2</f>
        <v>298</v>
      </c>
      <c r="I290" s="4">
        <v>1</v>
      </c>
      <c r="J290" s="61" t="s">
        <v>119</v>
      </c>
      <c r="K290" s="5"/>
      <c r="L290" s="4"/>
      <c r="M290" s="4">
        <v>3</v>
      </c>
      <c r="N290" s="4">
        <v>3</v>
      </c>
      <c r="O290" s="4">
        <v>3</v>
      </c>
      <c r="P290" s="4">
        <v>3</v>
      </c>
      <c r="Q290" s="4" t="s">
        <v>64</v>
      </c>
      <c r="R290" s="6">
        <f t="shared" si="77"/>
        <v>11.973333333333333</v>
      </c>
      <c r="S290" s="6"/>
      <c r="T290" s="6">
        <f>R290</f>
        <v>11.973333333333333</v>
      </c>
      <c r="U290" s="6"/>
      <c r="V290" s="6"/>
      <c r="W290" s="74" t="s">
        <v>183</v>
      </c>
      <c r="X290" s="20" t="str">
        <f t="shared" si="78"/>
        <v>KIT-UTILITY-B35-SHUTTER</v>
      </c>
      <c r="Y290" s="7">
        <f t="shared" si="76"/>
        <v>11.973333333333333</v>
      </c>
      <c r="AA290"/>
      <c r="AE290"/>
    </row>
    <row r="291" spans="1:31" x14ac:dyDescent="0.3">
      <c r="A291" s="4">
        <f t="shared" si="79"/>
        <v>287</v>
      </c>
      <c r="B291" s="46" t="s">
        <v>197</v>
      </c>
      <c r="C291" s="23">
        <f>790+110</f>
        <v>900</v>
      </c>
      <c r="D291" s="23">
        <f>400+400+400</f>
        <v>1200</v>
      </c>
      <c r="E291" s="23">
        <f>400-20</f>
        <v>380</v>
      </c>
      <c r="F291" s="17" t="s">
        <v>28</v>
      </c>
      <c r="G291" s="4">
        <f>C291-18</f>
        <v>882</v>
      </c>
      <c r="H291" s="4">
        <f>E291</f>
        <v>380</v>
      </c>
      <c r="I291" s="4">
        <v>1</v>
      </c>
      <c r="J291" s="81" t="s">
        <v>72</v>
      </c>
      <c r="K291" s="39"/>
      <c r="L291" s="39"/>
      <c r="M291" s="39">
        <v>2</v>
      </c>
      <c r="N291" s="39">
        <v>2</v>
      </c>
      <c r="O291" s="39">
        <v>2</v>
      </c>
      <c r="P291" s="39">
        <v>2</v>
      </c>
      <c r="Q291" s="17" t="s">
        <v>64</v>
      </c>
      <c r="R291" s="6">
        <f t="shared" si="77"/>
        <v>8.413333333333334</v>
      </c>
      <c r="S291" s="6"/>
      <c r="T291" s="6"/>
      <c r="U291" s="6">
        <f t="shared" ref="U291:U293" si="85">R291</f>
        <v>8.413333333333334</v>
      </c>
      <c r="V291" s="6"/>
      <c r="W291" s="74" t="s">
        <v>197</v>
      </c>
      <c r="X291" s="20" t="str">
        <f t="shared" si="78"/>
        <v>SHOE RACK-B36-LHS</v>
      </c>
      <c r="Y291" s="7">
        <f t="shared" si="76"/>
        <v>8.413333333333334</v>
      </c>
      <c r="AA291"/>
      <c r="AE291"/>
    </row>
    <row r="292" spans="1:31" x14ac:dyDescent="0.3">
      <c r="A292" s="4">
        <f t="shared" si="79"/>
        <v>288</v>
      </c>
      <c r="B292" s="4"/>
      <c r="C292" s="39"/>
      <c r="D292" s="39"/>
      <c r="E292" s="39"/>
      <c r="F292" s="17" t="s">
        <v>29</v>
      </c>
      <c r="G292" s="4">
        <f>G291</f>
        <v>882</v>
      </c>
      <c r="H292" s="4">
        <f>H291</f>
        <v>380</v>
      </c>
      <c r="I292" s="4">
        <v>1</v>
      </c>
      <c r="J292" s="81" t="s">
        <v>72</v>
      </c>
      <c r="K292" s="39"/>
      <c r="L292" s="39"/>
      <c r="M292" s="39">
        <v>2</v>
      </c>
      <c r="N292" s="39">
        <v>2</v>
      </c>
      <c r="O292" s="39">
        <v>2</v>
      </c>
      <c r="P292" s="39">
        <v>2</v>
      </c>
      <c r="Q292" s="17" t="s">
        <v>64</v>
      </c>
      <c r="R292" s="6">
        <f t="shared" si="77"/>
        <v>8.413333333333334</v>
      </c>
      <c r="S292" s="6"/>
      <c r="T292" s="6"/>
      <c r="U292" s="6">
        <f t="shared" si="85"/>
        <v>8.413333333333334</v>
      </c>
      <c r="V292" s="6"/>
      <c r="W292" s="74" t="s">
        <v>197</v>
      </c>
      <c r="X292" s="20" t="str">
        <f t="shared" si="78"/>
        <v>SHOE RACK-B36-RHS</v>
      </c>
      <c r="Y292" s="7">
        <f t="shared" si="76"/>
        <v>8.413333333333334</v>
      </c>
      <c r="AA292"/>
      <c r="AE292"/>
    </row>
    <row r="293" spans="1:31" x14ac:dyDescent="0.3">
      <c r="A293" s="4">
        <f t="shared" si="79"/>
        <v>289</v>
      </c>
      <c r="B293" s="4"/>
      <c r="C293" s="39"/>
      <c r="D293" s="39"/>
      <c r="E293" s="39"/>
      <c r="F293" s="40" t="s">
        <v>30</v>
      </c>
      <c r="G293" s="48">
        <f>D291</f>
        <v>1200</v>
      </c>
      <c r="H293" s="48">
        <f>E291+20</f>
        <v>400</v>
      </c>
      <c r="I293" s="4">
        <v>1</v>
      </c>
      <c r="J293" s="81" t="s">
        <v>72</v>
      </c>
      <c r="K293" s="39"/>
      <c r="L293" s="39"/>
      <c r="M293" s="39">
        <v>2</v>
      </c>
      <c r="N293" s="39">
        <v>2</v>
      </c>
      <c r="O293" s="39">
        <v>2</v>
      </c>
      <c r="P293" s="39">
        <v>2</v>
      </c>
      <c r="Q293" s="17" t="s">
        <v>64</v>
      </c>
      <c r="R293" s="6">
        <f t="shared" si="77"/>
        <v>10.666666666666666</v>
      </c>
      <c r="S293" s="6"/>
      <c r="T293" s="6"/>
      <c r="U293" s="6">
        <f t="shared" si="85"/>
        <v>10.666666666666666</v>
      </c>
      <c r="V293" s="6"/>
      <c r="W293" s="74" t="s">
        <v>197</v>
      </c>
      <c r="X293" s="20" t="str">
        <f t="shared" si="78"/>
        <v>SHOE RACK-B36-TOP</v>
      </c>
      <c r="Y293" s="7">
        <f t="shared" si="76"/>
        <v>10.666666666666666</v>
      </c>
      <c r="AA293"/>
      <c r="AE293"/>
    </row>
    <row r="294" spans="1:31" x14ac:dyDescent="0.3">
      <c r="A294" s="4">
        <f t="shared" si="79"/>
        <v>290</v>
      </c>
      <c r="B294" s="4"/>
      <c r="C294" s="39"/>
      <c r="D294" s="39"/>
      <c r="E294" s="39"/>
      <c r="F294" s="17" t="s">
        <v>31</v>
      </c>
      <c r="G294" s="4">
        <f>D291-36</f>
        <v>1164</v>
      </c>
      <c r="H294" s="4">
        <f>H292</f>
        <v>380</v>
      </c>
      <c r="I294" s="4">
        <v>1</v>
      </c>
      <c r="J294" s="62" t="s">
        <v>34</v>
      </c>
      <c r="K294" s="17" t="s">
        <v>15</v>
      </c>
      <c r="L294" s="39"/>
      <c r="M294" s="39">
        <v>1</v>
      </c>
      <c r="N294" s="39">
        <v>1</v>
      </c>
      <c r="O294" s="39">
        <v>1</v>
      </c>
      <c r="P294" s="39">
        <v>1</v>
      </c>
      <c r="Q294" s="4"/>
      <c r="R294" s="6">
        <f t="shared" si="77"/>
        <v>10.293333333333333</v>
      </c>
      <c r="S294" s="6">
        <f>R294</f>
        <v>10.293333333333333</v>
      </c>
      <c r="T294" s="6"/>
      <c r="U294" s="6"/>
      <c r="V294" s="6"/>
      <c r="W294" s="74" t="s">
        <v>197</v>
      </c>
      <c r="X294" s="20" t="str">
        <f t="shared" si="78"/>
        <v>SHOE RACK-B36-BTM</v>
      </c>
      <c r="Y294" s="7">
        <f t="shared" si="76"/>
        <v>10.293333333333333</v>
      </c>
      <c r="AA294"/>
      <c r="AE294"/>
    </row>
    <row r="295" spans="1:31" x14ac:dyDescent="0.3">
      <c r="A295" s="4">
        <f t="shared" si="79"/>
        <v>291</v>
      </c>
      <c r="B295" s="4"/>
      <c r="C295" s="39"/>
      <c r="D295" s="39"/>
      <c r="E295" s="39"/>
      <c r="F295" s="17" t="s">
        <v>32</v>
      </c>
      <c r="G295" s="4">
        <f>C291-110-36+16</f>
        <v>770</v>
      </c>
      <c r="H295" s="4">
        <f>D291-36+16</f>
        <v>1180</v>
      </c>
      <c r="I295" s="4">
        <v>1</v>
      </c>
      <c r="J295" s="62" t="s">
        <v>35</v>
      </c>
      <c r="K295" s="17" t="s">
        <v>15</v>
      </c>
      <c r="L295" s="4"/>
      <c r="M295" s="4"/>
      <c r="N295" s="4"/>
      <c r="O295" s="4"/>
      <c r="P295" s="4"/>
      <c r="Q295" s="4"/>
      <c r="R295" s="6">
        <f t="shared" si="77"/>
        <v>13</v>
      </c>
      <c r="S295" s="6"/>
      <c r="T295" s="6"/>
      <c r="U295" s="6"/>
      <c r="V295" s="6"/>
      <c r="W295" s="74" t="s">
        <v>197</v>
      </c>
      <c r="X295" s="20" t="str">
        <f t="shared" si="78"/>
        <v>SHOE RACK-B36-BACK UP</v>
      </c>
      <c r="Y295" s="7">
        <f t="shared" si="76"/>
        <v>13</v>
      </c>
      <c r="AA295"/>
      <c r="AE295"/>
    </row>
    <row r="296" spans="1:31" x14ac:dyDescent="0.3">
      <c r="A296" s="4">
        <f t="shared" si="79"/>
        <v>292</v>
      </c>
      <c r="B296" s="4"/>
      <c r="C296" s="4"/>
      <c r="D296" s="4"/>
      <c r="E296" s="4"/>
      <c r="F296" s="19" t="s">
        <v>43</v>
      </c>
      <c r="G296" s="4">
        <f>C291-110-36</f>
        <v>754</v>
      </c>
      <c r="H296" s="4">
        <f>E291-20</f>
        <v>360</v>
      </c>
      <c r="I296" s="4">
        <v>1</v>
      </c>
      <c r="J296" s="62" t="s">
        <v>34</v>
      </c>
      <c r="K296" s="17" t="s">
        <v>15</v>
      </c>
      <c r="L296" s="39"/>
      <c r="M296" s="39">
        <v>1</v>
      </c>
      <c r="N296" s="39">
        <v>1</v>
      </c>
      <c r="O296" s="39">
        <v>1</v>
      </c>
      <c r="P296" s="39">
        <v>1</v>
      </c>
      <c r="Q296" s="4"/>
      <c r="R296" s="6">
        <f t="shared" si="77"/>
        <v>7.4266666666666667</v>
      </c>
      <c r="S296" s="6">
        <f t="shared" ref="S296:S298" si="86">R296</f>
        <v>7.4266666666666667</v>
      </c>
      <c r="T296" s="6"/>
      <c r="U296" s="6"/>
      <c r="V296" s="6"/>
      <c r="W296" s="74" t="s">
        <v>197</v>
      </c>
      <c r="X296" s="20" t="str">
        <f t="shared" si="78"/>
        <v>SHOE RACK-B36-C/V</v>
      </c>
      <c r="Y296" s="7">
        <f t="shared" si="76"/>
        <v>7.4266666666666667</v>
      </c>
      <c r="AA296"/>
      <c r="AE296"/>
    </row>
    <row r="297" spans="1:31" x14ac:dyDescent="0.3">
      <c r="A297" s="4">
        <f t="shared" si="79"/>
        <v>293</v>
      </c>
      <c r="B297" s="4"/>
      <c r="C297" s="4"/>
      <c r="D297" s="4"/>
      <c r="E297" s="4"/>
      <c r="F297" s="19" t="s">
        <v>33</v>
      </c>
      <c r="G297" s="4">
        <f>D291/3-18-9-1</f>
        <v>372</v>
      </c>
      <c r="H297" s="4">
        <f>E291-25</f>
        <v>355</v>
      </c>
      <c r="I297" s="4">
        <v>3</v>
      </c>
      <c r="J297" s="62" t="s">
        <v>34</v>
      </c>
      <c r="K297" s="17" t="s">
        <v>15</v>
      </c>
      <c r="L297" s="39"/>
      <c r="M297" s="39">
        <v>1</v>
      </c>
      <c r="N297" s="39">
        <v>1</v>
      </c>
      <c r="O297" s="39">
        <v>1</v>
      </c>
      <c r="P297" s="39">
        <v>1</v>
      </c>
      <c r="Q297" s="4"/>
      <c r="R297" s="6">
        <f t="shared" si="77"/>
        <v>14.54</v>
      </c>
      <c r="S297" s="6">
        <f t="shared" si="86"/>
        <v>14.54</v>
      </c>
      <c r="T297" s="6"/>
      <c r="U297" s="6"/>
      <c r="V297" s="6"/>
      <c r="W297" s="74" t="s">
        <v>197</v>
      </c>
      <c r="X297" s="20" t="str">
        <f t="shared" si="78"/>
        <v>SHOE RACK-B36-Lshelf</v>
      </c>
      <c r="Y297" s="7">
        <f t="shared" si="76"/>
        <v>14.54</v>
      </c>
      <c r="AA297"/>
      <c r="AE297"/>
    </row>
    <row r="298" spans="1:31" x14ac:dyDescent="0.3">
      <c r="A298" s="4">
        <f t="shared" si="79"/>
        <v>294</v>
      </c>
      <c r="B298" s="4"/>
      <c r="C298" s="4"/>
      <c r="D298" s="4"/>
      <c r="E298" s="4"/>
      <c r="F298" s="19" t="s">
        <v>33</v>
      </c>
      <c r="G298" s="4">
        <f>D291-400-18-9-1</f>
        <v>772</v>
      </c>
      <c r="H298" s="4">
        <f>H297</f>
        <v>355</v>
      </c>
      <c r="I298" s="4">
        <v>3</v>
      </c>
      <c r="J298" s="62" t="s">
        <v>34</v>
      </c>
      <c r="K298" s="17" t="s">
        <v>15</v>
      </c>
      <c r="L298" s="39"/>
      <c r="M298" s="39">
        <v>1</v>
      </c>
      <c r="N298" s="39">
        <v>1</v>
      </c>
      <c r="O298" s="39">
        <v>1</v>
      </c>
      <c r="P298" s="39">
        <v>1</v>
      </c>
      <c r="Q298" s="4"/>
      <c r="R298" s="6">
        <f t="shared" si="77"/>
        <v>22.54</v>
      </c>
      <c r="S298" s="6">
        <f t="shared" si="86"/>
        <v>22.54</v>
      </c>
      <c r="T298" s="6"/>
      <c r="U298" s="6"/>
      <c r="V298" s="6"/>
      <c r="W298" s="74" t="s">
        <v>197</v>
      </c>
      <c r="X298" s="20" t="str">
        <f t="shared" si="78"/>
        <v>SHOE RACK-B36-Lshelf</v>
      </c>
      <c r="Y298" s="7">
        <f t="shared" si="76"/>
        <v>22.54</v>
      </c>
      <c r="AA298"/>
      <c r="AE298"/>
    </row>
    <row r="299" spans="1:31" x14ac:dyDescent="0.3">
      <c r="A299" s="4">
        <f t="shared" si="79"/>
        <v>295</v>
      </c>
      <c r="B299" s="4"/>
      <c r="C299" s="4"/>
      <c r="D299" s="4"/>
      <c r="E299" s="4"/>
      <c r="F299" s="19" t="s">
        <v>36</v>
      </c>
      <c r="G299" s="4">
        <f>C291-110-18-2</f>
        <v>770</v>
      </c>
      <c r="H299" s="4">
        <f>D291/3-2</f>
        <v>398</v>
      </c>
      <c r="I299" s="4">
        <v>3</v>
      </c>
      <c r="J299" s="81" t="s">
        <v>127</v>
      </c>
      <c r="K299" s="39"/>
      <c r="L299" s="39"/>
      <c r="M299" s="39">
        <v>2</v>
      </c>
      <c r="N299" s="39">
        <v>2</v>
      </c>
      <c r="O299" s="39">
        <v>2</v>
      </c>
      <c r="P299" s="39">
        <v>2</v>
      </c>
      <c r="Q299" s="17" t="s">
        <v>64</v>
      </c>
      <c r="R299" s="6">
        <f t="shared" si="77"/>
        <v>23.36</v>
      </c>
      <c r="S299" s="6"/>
      <c r="T299" s="6"/>
      <c r="U299" s="6">
        <f>R299</f>
        <v>23.36</v>
      </c>
      <c r="V299" s="6"/>
      <c r="W299" s="74" t="s">
        <v>197</v>
      </c>
      <c r="X299" s="20" t="str">
        <f t="shared" si="78"/>
        <v>SHOE RACK-B36-SHUTTER</v>
      </c>
      <c r="Y299" s="7">
        <f t="shared" si="76"/>
        <v>23.36</v>
      </c>
      <c r="AA299"/>
      <c r="AE299"/>
    </row>
    <row r="300" spans="1:31" x14ac:dyDescent="0.3">
      <c r="A300" s="4">
        <f t="shared" si="79"/>
        <v>296</v>
      </c>
      <c r="B300" s="46" t="s">
        <v>184</v>
      </c>
      <c r="C300" s="23">
        <f>400+110</f>
        <v>510</v>
      </c>
      <c r="D300" s="23">
        <f>400+400</f>
        <v>800</v>
      </c>
      <c r="E300" s="23">
        <f>400-20</f>
        <v>380</v>
      </c>
      <c r="F300" s="17" t="s">
        <v>28</v>
      </c>
      <c r="G300" s="4">
        <f>C300-18</f>
        <v>492</v>
      </c>
      <c r="H300" s="4">
        <f>E300</f>
        <v>380</v>
      </c>
      <c r="I300" s="4">
        <v>1</v>
      </c>
      <c r="J300" s="62" t="s">
        <v>34</v>
      </c>
      <c r="K300" s="17" t="s">
        <v>15</v>
      </c>
      <c r="L300" s="39"/>
      <c r="M300" s="39">
        <v>1</v>
      </c>
      <c r="N300" s="39">
        <v>1</v>
      </c>
      <c r="O300" s="39">
        <v>1</v>
      </c>
      <c r="P300" s="39">
        <v>1</v>
      </c>
      <c r="Q300" s="4"/>
      <c r="R300" s="6">
        <f t="shared" si="77"/>
        <v>5.8133333333333335</v>
      </c>
      <c r="S300" s="6">
        <f>R300</f>
        <v>5.8133333333333335</v>
      </c>
      <c r="T300" s="6"/>
      <c r="U300" s="6"/>
      <c r="V300" s="6"/>
      <c r="W300" s="74" t="s">
        <v>184</v>
      </c>
      <c r="X300" s="20" t="str">
        <f t="shared" si="78"/>
        <v>SHOE RACK-B37-LHS</v>
      </c>
      <c r="Y300" s="7">
        <f t="shared" si="76"/>
        <v>5.8133333333333335</v>
      </c>
      <c r="AA300"/>
      <c r="AE300"/>
    </row>
    <row r="301" spans="1:31" x14ac:dyDescent="0.3">
      <c r="A301" s="4">
        <f t="shared" si="79"/>
        <v>297</v>
      </c>
      <c r="B301" s="4"/>
      <c r="C301" s="39"/>
      <c r="D301" s="39"/>
      <c r="E301" s="39"/>
      <c r="F301" s="17" t="s">
        <v>29</v>
      </c>
      <c r="G301" s="4">
        <f>G300</f>
        <v>492</v>
      </c>
      <c r="H301" s="4">
        <f>H300</f>
        <v>380</v>
      </c>
      <c r="I301" s="4">
        <v>1</v>
      </c>
      <c r="J301" s="81" t="s">
        <v>72</v>
      </c>
      <c r="K301" s="39"/>
      <c r="L301" s="39"/>
      <c r="M301" s="39">
        <v>2</v>
      </c>
      <c r="N301" s="39">
        <v>2</v>
      </c>
      <c r="O301" s="39">
        <v>2</v>
      </c>
      <c r="P301" s="39">
        <v>2</v>
      </c>
      <c r="Q301" s="17" t="s">
        <v>64</v>
      </c>
      <c r="R301" s="6">
        <f t="shared" si="77"/>
        <v>5.8133333333333335</v>
      </c>
      <c r="S301" s="6"/>
      <c r="T301" s="6"/>
      <c r="U301" s="6">
        <f t="shared" ref="U301:U302" si="87">R301</f>
        <v>5.8133333333333335</v>
      </c>
      <c r="V301" s="6"/>
      <c r="W301" s="74" t="s">
        <v>184</v>
      </c>
      <c r="X301" s="20" t="str">
        <f t="shared" si="78"/>
        <v>SHOE RACK-B37-RHS</v>
      </c>
      <c r="Y301" s="7">
        <f t="shared" si="76"/>
        <v>5.8133333333333335</v>
      </c>
      <c r="AA301"/>
      <c r="AE301"/>
    </row>
    <row r="302" spans="1:31" x14ac:dyDescent="0.3">
      <c r="A302" s="4">
        <f t="shared" si="79"/>
        <v>298</v>
      </c>
      <c r="B302" s="4"/>
      <c r="C302" s="39"/>
      <c r="D302" s="39"/>
      <c r="E302" s="39"/>
      <c r="F302" s="40" t="s">
        <v>30</v>
      </c>
      <c r="G302" s="48">
        <f>D300</f>
        <v>800</v>
      </c>
      <c r="H302" s="48">
        <f>E300+20</f>
        <v>400</v>
      </c>
      <c r="I302" s="4">
        <v>1</v>
      </c>
      <c r="J302" s="81" t="s">
        <v>72</v>
      </c>
      <c r="K302" s="39"/>
      <c r="L302" s="39"/>
      <c r="M302" s="39">
        <v>2</v>
      </c>
      <c r="N302" s="39">
        <v>2</v>
      </c>
      <c r="O302" s="39">
        <v>2</v>
      </c>
      <c r="P302" s="39">
        <v>2</v>
      </c>
      <c r="Q302" s="17" t="s">
        <v>64</v>
      </c>
      <c r="R302" s="6">
        <f t="shared" si="77"/>
        <v>8</v>
      </c>
      <c r="S302" s="6"/>
      <c r="T302" s="6"/>
      <c r="U302" s="6">
        <f t="shared" si="87"/>
        <v>8</v>
      </c>
      <c r="V302" s="6"/>
      <c r="W302" s="74" t="s">
        <v>184</v>
      </c>
      <c r="X302" s="20" t="str">
        <f t="shared" si="78"/>
        <v>SHOE RACK-B37-TOP</v>
      </c>
      <c r="Y302" s="7">
        <f t="shared" si="76"/>
        <v>8</v>
      </c>
      <c r="AA302"/>
      <c r="AE302"/>
    </row>
    <row r="303" spans="1:31" x14ac:dyDescent="0.3">
      <c r="A303" s="4">
        <f t="shared" si="79"/>
        <v>299</v>
      </c>
      <c r="B303" s="4"/>
      <c r="C303" s="39"/>
      <c r="D303" s="39"/>
      <c r="E303" s="39"/>
      <c r="F303" s="17" t="s">
        <v>31</v>
      </c>
      <c r="G303" s="4">
        <f>D300-36</f>
        <v>764</v>
      </c>
      <c r="H303" s="4">
        <f>H301</f>
        <v>380</v>
      </c>
      <c r="I303" s="4">
        <v>1</v>
      </c>
      <c r="J303" s="62" t="s">
        <v>34</v>
      </c>
      <c r="K303" s="17" t="s">
        <v>15</v>
      </c>
      <c r="L303" s="39"/>
      <c r="M303" s="39">
        <v>1</v>
      </c>
      <c r="N303" s="39">
        <v>1</v>
      </c>
      <c r="O303" s="39">
        <v>1</v>
      </c>
      <c r="P303" s="39">
        <v>1</v>
      </c>
      <c r="Q303" s="4"/>
      <c r="R303" s="6">
        <f t="shared" si="77"/>
        <v>7.6266666666666669</v>
      </c>
      <c r="S303" s="6">
        <f>R303</f>
        <v>7.6266666666666669</v>
      </c>
      <c r="T303" s="6"/>
      <c r="U303" s="6"/>
      <c r="V303" s="6"/>
      <c r="W303" s="74" t="s">
        <v>184</v>
      </c>
      <c r="X303" s="20" t="str">
        <f t="shared" si="78"/>
        <v>SHOE RACK-B37-BTM</v>
      </c>
      <c r="Y303" s="7">
        <f t="shared" si="76"/>
        <v>7.6266666666666669</v>
      </c>
      <c r="AA303"/>
      <c r="AE303"/>
    </row>
    <row r="304" spans="1:31" x14ac:dyDescent="0.3">
      <c r="A304" s="4">
        <f t="shared" si="79"/>
        <v>300</v>
      </c>
      <c r="B304" s="4"/>
      <c r="C304" s="39"/>
      <c r="D304" s="39"/>
      <c r="E304" s="39"/>
      <c r="F304" s="17" t="s">
        <v>32</v>
      </c>
      <c r="G304" s="4">
        <f>C300-110-36+16</f>
        <v>380</v>
      </c>
      <c r="H304" s="4">
        <f>D300-36+16</f>
        <v>780</v>
      </c>
      <c r="I304" s="4">
        <v>1</v>
      </c>
      <c r="J304" s="62" t="s">
        <v>35</v>
      </c>
      <c r="K304" s="17" t="s">
        <v>15</v>
      </c>
      <c r="L304" s="4"/>
      <c r="M304" s="4"/>
      <c r="N304" s="4"/>
      <c r="O304" s="4"/>
      <c r="P304" s="4"/>
      <c r="Q304" s="4"/>
      <c r="R304" s="6">
        <f t="shared" si="77"/>
        <v>7.7333333333333334</v>
      </c>
      <c r="S304" s="6"/>
      <c r="T304" s="6"/>
      <c r="U304" s="6"/>
      <c r="V304" s="6"/>
      <c r="W304" s="74" t="s">
        <v>184</v>
      </c>
      <c r="X304" s="20" t="str">
        <f t="shared" si="78"/>
        <v>SHOE RACK-B37-BACK UP</v>
      </c>
      <c r="Y304" s="7">
        <f t="shared" si="76"/>
        <v>7.7333333333333334</v>
      </c>
      <c r="AA304"/>
      <c r="AE304"/>
    </row>
    <row r="305" spans="1:31" x14ac:dyDescent="0.3">
      <c r="A305" s="4">
        <f t="shared" si="79"/>
        <v>301</v>
      </c>
      <c r="B305" s="4"/>
      <c r="C305" s="4"/>
      <c r="D305" s="4"/>
      <c r="E305" s="4"/>
      <c r="F305" s="19" t="s">
        <v>33</v>
      </c>
      <c r="G305" s="4">
        <f>D300-36-1</f>
        <v>763</v>
      </c>
      <c r="H305" s="4">
        <f>E300-25</f>
        <v>355</v>
      </c>
      <c r="I305" s="4">
        <v>1</v>
      </c>
      <c r="J305" s="62" t="s">
        <v>34</v>
      </c>
      <c r="K305" s="17" t="s">
        <v>15</v>
      </c>
      <c r="L305" s="39"/>
      <c r="M305" s="39">
        <v>1</v>
      </c>
      <c r="N305" s="39">
        <v>1</v>
      </c>
      <c r="O305" s="39">
        <v>1</v>
      </c>
      <c r="P305" s="39">
        <v>1</v>
      </c>
      <c r="Q305" s="4"/>
      <c r="R305" s="6">
        <f t="shared" si="77"/>
        <v>7.4533333333333331</v>
      </c>
      <c r="S305" s="6">
        <f>R305</f>
        <v>7.4533333333333331</v>
      </c>
      <c r="T305" s="6"/>
      <c r="U305" s="6"/>
      <c r="V305" s="6"/>
      <c r="W305" s="74" t="s">
        <v>184</v>
      </c>
      <c r="X305" s="20" t="str">
        <f t="shared" si="78"/>
        <v>SHOE RACK-B37-Lshelf</v>
      </c>
      <c r="Y305" s="7">
        <f t="shared" si="76"/>
        <v>7.4533333333333331</v>
      </c>
      <c r="AA305"/>
      <c r="AE305"/>
    </row>
    <row r="306" spans="1:31" x14ac:dyDescent="0.3">
      <c r="A306" s="98">
        <f t="shared" si="79"/>
        <v>302</v>
      </c>
      <c r="B306" s="4"/>
      <c r="C306" s="4"/>
      <c r="D306" s="4"/>
      <c r="E306" s="4"/>
      <c r="F306" s="19" t="s">
        <v>36</v>
      </c>
      <c r="G306" s="4">
        <f>C300-110-18-2</f>
        <v>380</v>
      </c>
      <c r="H306" s="4">
        <f>D300/2-2</f>
        <v>398</v>
      </c>
      <c r="I306" s="4">
        <v>2</v>
      </c>
      <c r="J306" s="81" t="s">
        <v>127</v>
      </c>
      <c r="K306" s="39"/>
      <c r="L306" s="39"/>
      <c r="M306" s="39">
        <v>2</v>
      </c>
      <c r="N306" s="39">
        <v>2</v>
      </c>
      <c r="O306" s="39">
        <v>2</v>
      </c>
      <c r="P306" s="39">
        <v>2</v>
      </c>
      <c r="Q306" s="17" t="s">
        <v>64</v>
      </c>
      <c r="R306" s="6">
        <f t="shared" si="77"/>
        <v>10.373333333333333</v>
      </c>
      <c r="S306" s="6"/>
      <c r="T306" s="6"/>
      <c r="U306" s="6">
        <f>R306</f>
        <v>10.373333333333333</v>
      </c>
      <c r="V306" s="6"/>
      <c r="W306" s="74" t="s">
        <v>184</v>
      </c>
      <c r="X306" s="20" t="str">
        <f t="shared" si="78"/>
        <v>SHOE RACK-B37-SHUTTER</v>
      </c>
      <c r="Y306" s="7">
        <f t="shared" si="76"/>
        <v>10.373333333333333</v>
      </c>
      <c r="AA306"/>
      <c r="AE306"/>
    </row>
    <row r="307" spans="1:31" x14ac:dyDescent="0.3">
      <c r="A307" s="99"/>
      <c r="B307" s="4"/>
      <c r="C307" s="4"/>
      <c r="D307" s="4"/>
      <c r="E307" s="4"/>
      <c r="F307" s="19" t="s">
        <v>49</v>
      </c>
      <c r="G307" s="4">
        <f>1200+800</f>
        <v>2000</v>
      </c>
      <c r="H307" s="4">
        <v>110</v>
      </c>
      <c r="I307" s="4">
        <v>1</v>
      </c>
      <c r="J307" s="81" t="s">
        <v>127</v>
      </c>
      <c r="K307" s="39"/>
      <c r="L307" s="39"/>
      <c r="M307" s="39">
        <v>2</v>
      </c>
      <c r="N307" s="39">
        <v>2</v>
      </c>
      <c r="O307" s="39">
        <v>2</v>
      </c>
      <c r="P307" s="39">
        <v>2</v>
      </c>
      <c r="Q307" s="17" t="s">
        <v>64</v>
      </c>
      <c r="R307" s="6">
        <f t="shared" ref="R307" si="88">(G307+H307)*2*I307/300</f>
        <v>14.066666666666666</v>
      </c>
      <c r="S307" s="6"/>
      <c r="T307" s="6"/>
      <c r="U307" s="6">
        <f>R307</f>
        <v>14.066666666666666</v>
      </c>
      <c r="V307" s="6"/>
      <c r="W307" s="74"/>
      <c r="Y307" s="7">
        <f t="shared" si="76"/>
        <v>14.066666666666666</v>
      </c>
      <c r="AA307"/>
      <c r="AE307"/>
    </row>
    <row r="308" spans="1:31" x14ac:dyDescent="0.3">
      <c r="A308" s="4">
        <f>A306+1</f>
        <v>303</v>
      </c>
      <c r="B308" s="46" t="s">
        <v>198</v>
      </c>
      <c r="C308" s="23">
        <v>580</v>
      </c>
      <c r="D308" s="23">
        <f>550+550</f>
        <v>1100</v>
      </c>
      <c r="E308" s="23">
        <f>430</f>
        <v>430</v>
      </c>
      <c r="F308" s="17" t="s">
        <v>28</v>
      </c>
      <c r="G308" s="4">
        <f>C308</f>
        <v>580</v>
      </c>
      <c r="H308" s="4">
        <f>E308</f>
        <v>430</v>
      </c>
      <c r="I308" s="4">
        <v>1</v>
      </c>
      <c r="J308" s="62" t="s">
        <v>34</v>
      </c>
      <c r="K308" s="17" t="s">
        <v>15</v>
      </c>
      <c r="L308" s="39"/>
      <c r="M308" s="39">
        <v>1</v>
      </c>
      <c r="N308" s="39">
        <v>1</v>
      </c>
      <c r="O308" s="39">
        <v>1</v>
      </c>
      <c r="P308" s="39">
        <v>1</v>
      </c>
      <c r="Q308" s="4"/>
      <c r="R308" s="6">
        <f t="shared" si="77"/>
        <v>6.7333333333333334</v>
      </c>
      <c r="S308" s="6">
        <f t="shared" ref="S308:S311" si="89">R308</f>
        <v>6.7333333333333334</v>
      </c>
      <c r="T308" s="6"/>
      <c r="U308" s="6"/>
      <c r="V308" s="6"/>
      <c r="W308" s="74" t="s">
        <v>198</v>
      </c>
      <c r="X308" s="20" t="str">
        <f t="shared" si="78"/>
        <v>PUJA-B38-LHS</v>
      </c>
      <c r="Y308" s="7">
        <f t="shared" si="76"/>
        <v>6.7333333333333334</v>
      </c>
      <c r="AA308"/>
      <c r="AE308"/>
    </row>
    <row r="309" spans="1:31" x14ac:dyDescent="0.3">
      <c r="A309" s="4">
        <f t="shared" si="79"/>
        <v>304</v>
      </c>
      <c r="B309" s="4"/>
      <c r="C309" s="39"/>
      <c r="D309" s="39"/>
      <c r="E309" s="39"/>
      <c r="F309" s="17" t="s">
        <v>29</v>
      </c>
      <c r="G309" s="4">
        <f>G308</f>
        <v>580</v>
      </c>
      <c r="H309" s="4">
        <f>H308</f>
        <v>430</v>
      </c>
      <c r="I309" s="4">
        <v>1</v>
      </c>
      <c r="J309" s="62" t="s">
        <v>34</v>
      </c>
      <c r="K309" s="17" t="s">
        <v>15</v>
      </c>
      <c r="L309" s="39"/>
      <c r="M309" s="39">
        <v>1</v>
      </c>
      <c r="N309" s="39">
        <v>1</v>
      </c>
      <c r="O309" s="39">
        <v>1</v>
      </c>
      <c r="P309" s="39">
        <v>1</v>
      </c>
      <c r="Q309" s="4"/>
      <c r="R309" s="6">
        <f t="shared" si="77"/>
        <v>6.7333333333333334</v>
      </c>
      <c r="S309" s="6">
        <f t="shared" si="89"/>
        <v>6.7333333333333334</v>
      </c>
      <c r="T309" s="6"/>
      <c r="U309" s="6"/>
      <c r="V309" s="6"/>
      <c r="W309" s="74" t="s">
        <v>198</v>
      </c>
      <c r="X309" s="20" t="str">
        <f t="shared" si="78"/>
        <v>PUJA-B38-RHS</v>
      </c>
      <c r="Y309" s="7">
        <f t="shared" si="76"/>
        <v>6.7333333333333334</v>
      </c>
      <c r="AA309"/>
      <c r="AE309"/>
    </row>
    <row r="310" spans="1:31" x14ac:dyDescent="0.3">
      <c r="A310" s="4">
        <f t="shared" si="79"/>
        <v>305</v>
      </c>
      <c r="B310" s="4"/>
      <c r="C310" s="39"/>
      <c r="D310" s="39"/>
      <c r="E310" s="39"/>
      <c r="F310" s="40" t="s">
        <v>30</v>
      </c>
      <c r="G310" s="4">
        <f>D308-36</f>
        <v>1064</v>
      </c>
      <c r="H310" s="4">
        <f>H309</f>
        <v>430</v>
      </c>
      <c r="I310" s="4">
        <v>1</v>
      </c>
      <c r="J310" s="62" t="s">
        <v>34</v>
      </c>
      <c r="K310" s="17" t="s">
        <v>15</v>
      </c>
      <c r="L310" s="39"/>
      <c r="M310" s="39">
        <v>1</v>
      </c>
      <c r="N310" s="39">
        <v>1</v>
      </c>
      <c r="O310" s="39">
        <v>1</v>
      </c>
      <c r="P310" s="39">
        <v>1</v>
      </c>
      <c r="Q310" s="4"/>
      <c r="R310" s="6">
        <f t="shared" si="77"/>
        <v>9.9600000000000009</v>
      </c>
      <c r="S310" s="6">
        <f t="shared" si="89"/>
        <v>9.9600000000000009</v>
      </c>
      <c r="T310" s="6"/>
      <c r="U310" s="6"/>
      <c r="V310" s="6"/>
      <c r="W310" s="74" t="s">
        <v>198</v>
      </c>
      <c r="X310" s="20" t="str">
        <f t="shared" si="78"/>
        <v>PUJA-B38-TOP</v>
      </c>
      <c r="Y310" s="7">
        <f t="shared" si="76"/>
        <v>9.9600000000000009</v>
      </c>
      <c r="AA310"/>
      <c r="AE310"/>
    </row>
    <row r="311" spans="1:31" x14ac:dyDescent="0.3">
      <c r="A311" s="4">
        <f t="shared" si="79"/>
        <v>306</v>
      </c>
      <c r="B311" s="4"/>
      <c r="C311" s="39"/>
      <c r="D311" s="39"/>
      <c r="E311" s="39"/>
      <c r="F311" s="17" t="s">
        <v>31</v>
      </c>
      <c r="G311" s="4">
        <f>G310</f>
        <v>1064</v>
      </c>
      <c r="H311" s="4">
        <f>H310</f>
        <v>430</v>
      </c>
      <c r="I311" s="4">
        <v>1</v>
      </c>
      <c r="J311" s="62" t="s">
        <v>34</v>
      </c>
      <c r="K311" s="17" t="s">
        <v>15</v>
      </c>
      <c r="L311" s="39"/>
      <c r="M311" s="39">
        <v>1</v>
      </c>
      <c r="N311" s="39">
        <v>1</v>
      </c>
      <c r="O311" s="39">
        <v>1</v>
      </c>
      <c r="P311" s="39">
        <v>1</v>
      </c>
      <c r="Q311" s="4"/>
      <c r="R311" s="6">
        <f t="shared" si="77"/>
        <v>9.9600000000000009</v>
      </c>
      <c r="S311" s="6">
        <f t="shared" si="89"/>
        <v>9.9600000000000009</v>
      </c>
      <c r="T311" s="6"/>
      <c r="U311" s="6"/>
      <c r="V311" s="6"/>
      <c r="W311" s="74" t="s">
        <v>198</v>
      </c>
      <c r="X311" s="20" t="str">
        <f t="shared" si="78"/>
        <v>PUJA-B38-BTM</v>
      </c>
      <c r="Y311" s="7">
        <f t="shared" si="76"/>
        <v>9.9600000000000009</v>
      </c>
      <c r="AA311"/>
      <c r="AE311"/>
    </row>
    <row r="312" spans="1:31" x14ac:dyDescent="0.3">
      <c r="A312" s="4">
        <f t="shared" si="79"/>
        <v>307</v>
      </c>
      <c r="B312" s="4"/>
      <c r="C312" s="39"/>
      <c r="D312" s="39"/>
      <c r="E312" s="39"/>
      <c r="F312" s="17" t="s">
        <v>32</v>
      </c>
      <c r="G312" s="4">
        <f>C308-36+16</f>
        <v>560</v>
      </c>
      <c r="H312" s="4">
        <f>D308-36+16</f>
        <v>1080</v>
      </c>
      <c r="I312" s="4">
        <v>1</v>
      </c>
      <c r="J312" s="62" t="s">
        <v>35</v>
      </c>
      <c r="K312" s="17" t="s">
        <v>15</v>
      </c>
      <c r="L312" s="4"/>
      <c r="M312" s="4"/>
      <c r="N312" s="4"/>
      <c r="O312" s="4"/>
      <c r="P312" s="4"/>
      <c r="Q312" s="4"/>
      <c r="R312" s="6">
        <f t="shared" si="77"/>
        <v>10.933333333333334</v>
      </c>
      <c r="S312" s="6"/>
      <c r="T312" s="6"/>
      <c r="U312" s="6"/>
      <c r="V312" s="6"/>
      <c r="W312" s="74" t="s">
        <v>198</v>
      </c>
      <c r="X312" s="20" t="str">
        <f t="shared" si="78"/>
        <v>PUJA-B38-BACK UP</v>
      </c>
      <c r="Y312" s="7">
        <f t="shared" si="76"/>
        <v>10.933333333333334</v>
      </c>
      <c r="AA312"/>
      <c r="AE312"/>
    </row>
    <row r="313" spans="1:31" x14ac:dyDescent="0.3">
      <c r="A313" s="4">
        <f t="shared" si="79"/>
        <v>308</v>
      </c>
      <c r="B313" s="4"/>
      <c r="C313" s="4"/>
      <c r="D313" s="4"/>
      <c r="E313" s="4"/>
      <c r="F313" s="19" t="s">
        <v>43</v>
      </c>
      <c r="G313" s="49">
        <f>C308-100-18-9</f>
        <v>453</v>
      </c>
      <c r="H313" s="4">
        <f>E308-20</f>
        <v>410</v>
      </c>
      <c r="I313" s="4">
        <v>1</v>
      </c>
      <c r="J313" s="62" t="s">
        <v>34</v>
      </c>
      <c r="K313" s="17" t="s">
        <v>15</v>
      </c>
      <c r="L313" s="39"/>
      <c r="M313" s="39">
        <v>1</v>
      </c>
      <c r="N313" s="39">
        <v>1</v>
      </c>
      <c r="O313" s="39">
        <v>1</v>
      </c>
      <c r="P313" s="39">
        <v>1</v>
      </c>
      <c r="Q313" s="4"/>
      <c r="R313" s="6">
        <f t="shared" si="77"/>
        <v>5.753333333333333</v>
      </c>
      <c r="S313" s="6">
        <f t="shared" ref="S313:S316" si="90">R313</f>
        <v>5.753333333333333</v>
      </c>
      <c r="T313" s="6"/>
      <c r="U313" s="6"/>
      <c r="V313" s="6"/>
      <c r="W313" s="74" t="s">
        <v>198</v>
      </c>
      <c r="X313" s="20" t="str">
        <f t="shared" si="78"/>
        <v>PUJA-B38-C/V</v>
      </c>
      <c r="Y313" s="7">
        <f t="shared" si="76"/>
        <v>5.753333333333333</v>
      </c>
      <c r="AA313"/>
      <c r="AE313"/>
    </row>
    <row r="314" spans="1:31" x14ac:dyDescent="0.3">
      <c r="A314" s="4">
        <f t="shared" si="79"/>
        <v>309</v>
      </c>
      <c r="B314" s="4"/>
      <c r="C314" s="4"/>
      <c r="D314" s="4"/>
      <c r="E314" s="4"/>
      <c r="F314" s="19" t="s">
        <v>38</v>
      </c>
      <c r="G314" s="4">
        <f>D308-36</f>
        <v>1064</v>
      </c>
      <c r="H314" s="4">
        <f>E308-20</f>
        <v>410</v>
      </c>
      <c r="I314" s="4">
        <v>1</v>
      </c>
      <c r="J314" s="62" t="s">
        <v>34</v>
      </c>
      <c r="K314" s="17" t="s">
        <v>15</v>
      </c>
      <c r="L314" s="39"/>
      <c r="M314" s="39">
        <v>1</v>
      </c>
      <c r="N314" s="39">
        <v>1</v>
      </c>
      <c r="O314" s="39">
        <v>1</v>
      </c>
      <c r="P314" s="39">
        <v>1</v>
      </c>
      <c r="Q314" s="4"/>
      <c r="R314" s="6">
        <f t="shared" si="77"/>
        <v>9.8266666666666662</v>
      </c>
      <c r="S314" s="6">
        <f t="shared" si="90"/>
        <v>9.8266666666666662</v>
      </c>
      <c r="T314" s="6"/>
      <c r="U314" s="6"/>
      <c r="V314" s="6"/>
      <c r="W314" s="74" t="s">
        <v>198</v>
      </c>
      <c r="X314" s="20" t="str">
        <f t="shared" si="78"/>
        <v>PUJA-B38-Fshelf</v>
      </c>
      <c r="Y314" s="7">
        <f t="shared" si="76"/>
        <v>9.8266666666666662</v>
      </c>
      <c r="AA314"/>
      <c r="AE314"/>
    </row>
    <row r="315" spans="1:31" x14ac:dyDescent="0.3">
      <c r="A315" s="4">
        <f t="shared" si="79"/>
        <v>310</v>
      </c>
      <c r="B315" s="4"/>
      <c r="C315" s="4"/>
      <c r="D315" s="4"/>
      <c r="E315" s="4"/>
      <c r="F315" s="19" t="s">
        <v>39</v>
      </c>
      <c r="G315" s="4">
        <v>160</v>
      </c>
      <c r="H315" s="4">
        <f>350</f>
        <v>350</v>
      </c>
      <c r="I315" s="4">
        <v>4</v>
      </c>
      <c r="J315" s="62" t="s">
        <v>34</v>
      </c>
      <c r="K315" s="17" t="s">
        <v>15</v>
      </c>
      <c r="L315" s="39"/>
      <c r="M315" s="39">
        <v>1</v>
      </c>
      <c r="N315" s="39">
        <v>1</v>
      </c>
      <c r="O315" s="39">
        <v>1</v>
      </c>
      <c r="P315" s="39">
        <v>1</v>
      </c>
      <c r="Q315" s="4"/>
      <c r="R315" s="6">
        <f t="shared" si="77"/>
        <v>13.6</v>
      </c>
      <c r="S315" s="6">
        <f t="shared" si="90"/>
        <v>13.6</v>
      </c>
      <c r="T315" s="6"/>
      <c r="U315" s="6"/>
      <c r="V315" s="6"/>
      <c r="W315" s="74" t="s">
        <v>198</v>
      </c>
      <c r="X315" s="20" t="str">
        <f t="shared" si="78"/>
        <v>PUJA-B38-DR SIDES</v>
      </c>
      <c r="Y315" s="7">
        <f t="shared" si="76"/>
        <v>13.6</v>
      </c>
      <c r="AA315"/>
      <c r="AE315"/>
    </row>
    <row r="316" spans="1:31" x14ac:dyDescent="0.3">
      <c r="A316" s="4">
        <f t="shared" si="79"/>
        <v>311</v>
      </c>
      <c r="B316" s="4"/>
      <c r="C316" s="4"/>
      <c r="D316" s="4"/>
      <c r="E316" s="4"/>
      <c r="F316" s="19" t="s">
        <v>40</v>
      </c>
      <c r="G316" s="4">
        <f>G315</f>
        <v>160</v>
      </c>
      <c r="H316" s="4">
        <f>D308/2-18-9-28-36</f>
        <v>459</v>
      </c>
      <c r="I316" s="4">
        <v>4</v>
      </c>
      <c r="J316" s="62" t="s">
        <v>34</v>
      </c>
      <c r="K316" s="17" t="s">
        <v>15</v>
      </c>
      <c r="L316" s="39"/>
      <c r="M316" s="39">
        <v>1</v>
      </c>
      <c r="N316" s="39">
        <v>1</v>
      </c>
      <c r="O316" s="39">
        <v>1</v>
      </c>
      <c r="P316" s="39">
        <v>1</v>
      </c>
      <c r="Q316" s="4"/>
      <c r="R316" s="6">
        <f t="shared" si="77"/>
        <v>16.506666666666668</v>
      </c>
      <c r="S316" s="6">
        <f t="shared" si="90"/>
        <v>16.506666666666668</v>
      </c>
      <c r="T316" s="6"/>
      <c r="U316" s="6"/>
      <c r="V316" s="6"/>
      <c r="W316" s="74" t="s">
        <v>198</v>
      </c>
      <c r="X316" s="20" t="str">
        <f t="shared" si="78"/>
        <v>PUJA-B38-DR F/B</v>
      </c>
      <c r="Y316" s="7">
        <f t="shared" si="76"/>
        <v>16.506666666666668</v>
      </c>
      <c r="AA316"/>
      <c r="AE316"/>
    </row>
    <row r="317" spans="1:31" x14ac:dyDescent="0.3">
      <c r="A317" s="4">
        <f t="shared" si="79"/>
        <v>312</v>
      </c>
      <c r="B317" s="4"/>
      <c r="C317" s="4"/>
      <c r="D317" s="4"/>
      <c r="E317" s="4"/>
      <c r="F317" s="19" t="s">
        <v>41</v>
      </c>
      <c r="G317" s="4">
        <f>H315-36+16</f>
        <v>330</v>
      </c>
      <c r="H317" s="4">
        <f>H316+16</f>
        <v>475</v>
      </c>
      <c r="I317" s="4">
        <v>2</v>
      </c>
      <c r="J317" s="62" t="s">
        <v>35</v>
      </c>
      <c r="K317" s="17" t="s">
        <v>15</v>
      </c>
      <c r="L317" s="4"/>
      <c r="M317" s="4"/>
      <c r="N317" s="4"/>
      <c r="O317" s="4"/>
      <c r="P317" s="4"/>
      <c r="Q317" s="4"/>
      <c r="R317" s="6">
        <f t="shared" si="77"/>
        <v>10.733333333333333</v>
      </c>
      <c r="S317" s="6"/>
      <c r="T317" s="6"/>
      <c r="U317" s="6"/>
      <c r="V317" s="6"/>
      <c r="W317" s="74" t="s">
        <v>198</v>
      </c>
      <c r="X317" s="20" t="str">
        <f t="shared" si="78"/>
        <v>PUJA-B38-DR BACK UP</v>
      </c>
      <c r="Y317" s="7">
        <f t="shared" si="76"/>
        <v>10.733333333333333</v>
      </c>
      <c r="AA317"/>
      <c r="AE317"/>
    </row>
    <row r="318" spans="1:31" x14ac:dyDescent="0.3">
      <c r="A318" s="4">
        <f t="shared" si="79"/>
        <v>313</v>
      </c>
      <c r="B318" s="4"/>
      <c r="C318" s="4"/>
      <c r="D318" s="4"/>
      <c r="E318" s="4"/>
      <c r="F318" s="19" t="s">
        <v>42</v>
      </c>
      <c r="G318" s="4">
        <f>(C308-100)/2-2</f>
        <v>238</v>
      </c>
      <c r="H318" s="4">
        <f>D308/2-2</f>
        <v>548</v>
      </c>
      <c r="I318" s="4">
        <v>2</v>
      </c>
      <c r="J318" s="82" t="s">
        <v>137</v>
      </c>
      <c r="K318" s="39" t="s">
        <v>15</v>
      </c>
      <c r="L318" s="39"/>
      <c r="M318" s="39">
        <v>3</v>
      </c>
      <c r="N318" s="39">
        <v>3</v>
      </c>
      <c r="O318" s="39">
        <v>3</v>
      </c>
      <c r="P318" s="39">
        <v>3</v>
      </c>
      <c r="Q318" s="4"/>
      <c r="R318" s="6">
        <f t="shared" si="77"/>
        <v>10.48</v>
      </c>
      <c r="S318" s="6"/>
      <c r="T318" s="6">
        <f>R318</f>
        <v>10.48</v>
      </c>
      <c r="U318" s="6"/>
      <c r="V318" s="6"/>
      <c r="W318" s="74" t="s">
        <v>198</v>
      </c>
      <c r="X318" s="20" t="str">
        <f t="shared" si="78"/>
        <v>PUJA-B38-DR FACIA</v>
      </c>
      <c r="Y318" s="7">
        <f t="shared" si="76"/>
        <v>10.48</v>
      </c>
      <c r="AA318"/>
      <c r="AE318"/>
    </row>
    <row r="319" spans="1:31" x14ac:dyDescent="0.3">
      <c r="A319" s="4">
        <f t="shared" si="79"/>
        <v>314</v>
      </c>
      <c r="B319" s="4"/>
      <c r="C319" s="4"/>
      <c r="D319" s="4"/>
      <c r="E319" s="4"/>
      <c r="F319" s="53" t="s">
        <v>135</v>
      </c>
      <c r="G319" s="4">
        <f>D308-36-28</f>
        <v>1036</v>
      </c>
      <c r="H319" s="4">
        <f>350</f>
        <v>350</v>
      </c>
      <c r="I319" s="4">
        <v>1</v>
      </c>
      <c r="J319" s="62" t="s">
        <v>34</v>
      </c>
      <c r="K319" s="17" t="s">
        <v>15</v>
      </c>
      <c r="L319" s="39"/>
      <c r="M319" s="39">
        <v>1</v>
      </c>
      <c r="N319" s="39">
        <v>1</v>
      </c>
      <c r="O319" s="39">
        <v>1</v>
      </c>
      <c r="P319" s="39">
        <v>1</v>
      </c>
      <c r="Q319" s="4"/>
      <c r="R319" s="6">
        <f t="shared" si="77"/>
        <v>9.24</v>
      </c>
      <c r="S319" s="6">
        <f>R319</f>
        <v>9.24</v>
      </c>
      <c r="T319" s="6"/>
      <c r="U319" s="6"/>
      <c r="V319" s="6"/>
      <c r="W319" s="74" t="s">
        <v>198</v>
      </c>
      <c r="X319" s="20" t="str">
        <f t="shared" si="78"/>
        <v>PUJA-B38-Prasadam Tray</v>
      </c>
      <c r="Y319" s="7">
        <f t="shared" si="76"/>
        <v>9.24</v>
      </c>
      <c r="AA319"/>
      <c r="AE319"/>
    </row>
    <row r="320" spans="1:31" x14ac:dyDescent="0.3">
      <c r="A320" s="4">
        <f t="shared" si="79"/>
        <v>315</v>
      </c>
      <c r="B320" s="4"/>
      <c r="C320" s="4"/>
      <c r="D320" s="4"/>
      <c r="E320" s="4"/>
      <c r="F320" s="53" t="s">
        <v>136</v>
      </c>
      <c r="G320" s="48">
        <f>C308-240-240-2</f>
        <v>98</v>
      </c>
      <c r="H320" s="4">
        <f>D308-2</f>
        <v>1098</v>
      </c>
      <c r="I320" s="4">
        <v>1</v>
      </c>
      <c r="J320" s="82" t="s">
        <v>137</v>
      </c>
      <c r="K320" s="39" t="s">
        <v>15</v>
      </c>
      <c r="L320" s="39"/>
      <c r="M320" s="39">
        <v>3</v>
      </c>
      <c r="N320" s="39">
        <v>3</v>
      </c>
      <c r="O320" s="39">
        <v>3</v>
      </c>
      <c r="P320" s="39">
        <v>3</v>
      </c>
      <c r="Q320" s="4"/>
      <c r="R320" s="6">
        <f t="shared" si="77"/>
        <v>7.9733333333333336</v>
      </c>
      <c r="S320" s="6"/>
      <c r="T320" s="6">
        <f t="shared" ref="T320:T323" si="91">R320</f>
        <v>7.9733333333333336</v>
      </c>
      <c r="U320" s="6"/>
      <c r="V320" s="6"/>
      <c r="W320" s="74" t="s">
        <v>198</v>
      </c>
      <c r="X320" s="20" t="str">
        <f t="shared" si="78"/>
        <v>PUJA-B38-Prasadam Facia</v>
      </c>
      <c r="Y320" s="7">
        <f t="shared" si="76"/>
        <v>7.9733333333333336</v>
      </c>
      <c r="AA320"/>
      <c r="AE320"/>
    </row>
    <row r="321" spans="1:31" x14ac:dyDescent="0.3">
      <c r="A321" s="4">
        <f t="shared" si="79"/>
        <v>316</v>
      </c>
      <c r="B321" s="4"/>
      <c r="C321" s="4"/>
      <c r="D321" s="4"/>
      <c r="E321" s="4"/>
      <c r="F321" s="19" t="s">
        <v>52</v>
      </c>
      <c r="G321" s="48">
        <f>C308-100-2</f>
        <v>478</v>
      </c>
      <c r="H321" s="4">
        <f>D308/2-2</f>
        <v>548</v>
      </c>
      <c r="I321" s="4">
        <v>1</v>
      </c>
      <c r="J321" s="82" t="s">
        <v>137</v>
      </c>
      <c r="K321" s="39" t="s">
        <v>15</v>
      </c>
      <c r="L321" s="39"/>
      <c r="M321" s="39">
        <v>3</v>
      </c>
      <c r="N321" s="39">
        <v>3</v>
      </c>
      <c r="O321" s="39">
        <v>3</v>
      </c>
      <c r="P321" s="39">
        <v>3</v>
      </c>
      <c r="Q321" s="4"/>
      <c r="R321" s="6">
        <f t="shared" si="77"/>
        <v>6.84</v>
      </c>
      <c r="S321" s="6"/>
      <c r="T321" s="6">
        <f t="shared" si="91"/>
        <v>6.84</v>
      </c>
      <c r="U321" s="6"/>
      <c r="V321" s="6"/>
      <c r="W321" s="74" t="s">
        <v>198</v>
      </c>
      <c r="X321" s="20" t="str">
        <f t="shared" si="78"/>
        <v>PUJA-B38-SHUTTERS</v>
      </c>
      <c r="Y321" s="7">
        <f t="shared" si="76"/>
        <v>6.84</v>
      </c>
      <c r="AA321"/>
      <c r="AE321"/>
    </row>
    <row r="322" spans="1:31" x14ac:dyDescent="0.3">
      <c r="A322" s="4">
        <f t="shared" si="79"/>
        <v>317</v>
      </c>
      <c r="B322" s="4"/>
      <c r="C322" s="4"/>
      <c r="D322" s="4"/>
      <c r="E322" s="4"/>
      <c r="F322" s="19" t="s">
        <v>55</v>
      </c>
      <c r="G322" s="4">
        <v>600</v>
      </c>
      <c r="H322" s="4">
        <v>100</v>
      </c>
      <c r="I322" s="4">
        <v>2</v>
      </c>
      <c r="J322" s="82" t="s">
        <v>137</v>
      </c>
      <c r="K322" s="39" t="s">
        <v>15</v>
      </c>
      <c r="L322" s="39"/>
      <c r="M322" s="39">
        <v>3</v>
      </c>
      <c r="N322" s="39">
        <v>3</v>
      </c>
      <c r="O322" s="39">
        <v>3</v>
      </c>
      <c r="P322" s="39">
        <v>3</v>
      </c>
      <c r="Q322" s="4"/>
      <c r="R322" s="6">
        <f t="shared" si="77"/>
        <v>9.3333333333333339</v>
      </c>
      <c r="S322" s="6"/>
      <c r="T322" s="6">
        <f t="shared" si="91"/>
        <v>9.3333333333333339</v>
      </c>
      <c r="U322" s="6"/>
      <c r="V322" s="6"/>
      <c r="W322" s="74" t="s">
        <v>198</v>
      </c>
      <c r="X322" s="20" t="str">
        <f t="shared" si="78"/>
        <v>PUJA-B38-FILLERS</v>
      </c>
      <c r="Y322" s="7">
        <f t="shared" si="76"/>
        <v>9.3333333333333339</v>
      </c>
      <c r="AA322"/>
      <c r="AE322"/>
    </row>
    <row r="323" spans="1:31" x14ac:dyDescent="0.3">
      <c r="A323" s="4">
        <f t="shared" si="79"/>
        <v>318</v>
      </c>
      <c r="B323" s="4"/>
      <c r="C323" s="4"/>
      <c r="D323" s="4"/>
      <c r="E323" s="4"/>
      <c r="F323" s="19" t="s">
        <v>51</v>
      </c>
      <c r="G323" s="4">
        <f>D308+100</f>
        <v>1200</v>
      </c>
      <c r="H323" s="4">
        <f>E308+20</f>
        <v>450</v>
      </c>
      <c r="I323" s="4">
        <v>1</v>
      </c>
      <c r="J323" s="82" t="s">
        <v>137</v>
      </c>
      <c r="K323" s="39" t="s">
        <v>15</v>
      </c>
      <c r="L323" s="39"/>
      <c r="M323" s="39">
        <v>3</v>
      </c>
      <c r="N323" s="39">
        <v>3</v>
      </c>
      <c r="O323" s="39">
        <v>3</v>
      </c>
      <c r="P323" s="39">
        <v>3</v>
      </c>
      <c r="Q323" s="4"/>
      <c r="R323" s="6">
        <f t="shared" si="77"/>
        <v>11</v>
      </c>
      <c r="S323" s="6"/>
      <c r="T323" s="6">
        <f t="shared" si="91"/>
        <v>11</v>
      </c>
      <c r="U323" s="6"/>
      <c r="V323" s="6"/>
      <c r="W323" s="74" t="s">
        <v>198</v>
      </c>
      <c r="X323" s="20" t="str">
        <f t="shared" si="78"/>
        <v>PUJA-B38-FULL TOP</v>
      </c>
      <c r="Y323" s="7">
        <f t="shared" si="76"/>
        <v>11</v>
      </c>
      <c r="AA323"/>
      <c r="AE323"/>
    </row>
    <row r="324" spans="1:31" x14ac:dyDescent="0.3">
      <c r="A324" s="4">
        <f t="shared" si="79"/>
        <v>319</v>
      </c>
      <c r="B324" s="23" t="s">
        <v>199</v>
      </c>
      <c r="C324" s="23">
        <f>2010+110</f>
        <v>2120</v>
      </c>
      <c r="D324" s="23">
        <v>490</v>
      </c>
      <c r="E324" s="23">
        <f>580</f>
        <v>580</v>
      </c>
      <c r="F324" s="17" t="s">
        <v>28</v>
      </c>
      <c r="G324" s="39">
        <f>C324</f>
        <v>2120</v>
      </c>
      <c r="H324" s="39">
        <f>E324</f>
        <v>580</v>
      </c>
      <c r="I324" s="39">
        <v>1</v>
      </c>
      <c r="J324" s="62" t="s">
        <v>34</v>
      </c>
      <c r="K324" s="17" t="s">
        <v>15</v>
      </c>
      <c r="L324" s="39"/>
      <c r="M324" s="39">
        <v>1</v>
      </c>
      <c r="N324" s="39">
        <v>1</v>
      </c>
      <c r="O324" s="39">
        <v>1</v>
      </c>
      <c r="P324" s="39">
        <v>1</v>
      </c>
      <c r="Q324" s="4"/>
      <c r="R324" s="6">
        <f t="shared" si="77"/>
        <v>18</v>
      </c>
      <c r="S324" s="6">
        <f t="shared" ref="S324:S327" si="92">R324</f>
        <v>18</v>
      </c>
      <c r="T324" s="65"/>
      <c r="U324" s="65"/>
      <c r="V324" s="65"/>
      <c r="W324" s="74" t="s">
        <v>199</v>
      </c>
      <c r="X324" s="20" t="str">
        <f t="shared" si="78"/>
        <v>MBR-WB-B39-LHS</v>
      </c>
      <c r="Y324" s="7">
        <f t="shared" si="76"/>
        <v>18</v>
      </c>
      <c r="AA324"/>
      <c r="AE324"/>
    </row>
    <row r="325" spans="1:31" x14ac:dyDescent="0.3">
      <c r="A325" s="4">
        <f t="shared" si="79"/>
        <v>320</v>
      </c>
      <c r="B325" s="39"/>
      <c r="C325" s="39"/>
      <c r="D325" s="39"/>
      <c r="E325" s="39"/>
      <c r="F325" s="17" t="s">
        <v>29</v>
      </c>
      <c r="G325" s="39">
        <f>G324</f>
        <v>2120</v>
      </c>
      <c r="H325" s="39">
        <f>H324</f>
        <v>580</v>
      </c>
      <c r="I325" s="39">
        <v>1</v>
      </c>
      <c r="J325" s="62" t="s">
        <v>34</v>
      </c>
      <c r="K325" s="17" t="s">
        <v>15</v>
      </c>
      <c r="L325" s="39"/>
      <c r="M325" s="39">
        <v>1</v>
      </c>
      <c r="N325" s="39">
        <v>1</v>
      </c>
      <c r="O325" s="39">
        <v>1</v>
      </c>
      <c r="P325" s="39">
        <v>1</v>
      </c>
      <c r="Q325" s="4"/>
      <c r="R325" s="6">
        <f t="shared" si="77"/>
        <v>18</v>
      </c>
      <c r="S325" s="6">
        <f t="shared" si="92"/>
        <v>18</v>
      </c>
      <c r="T325" s="65"/>
      <c r="U325" s="65"/>
      <c r="V325" s="65"/>
      <c r="W325" s="74" t="s">
        <v>199</v>
      </c>
      <c r="X325" s="20" t="str">
        <f t="shared" si="78"/>
        <v>MBR-WB-B39-RHS</v>
      </c>
      <c r="Y325" s="7">
        <f t="shared" ref="Y325:Y388" si="93">(G325+H325)*2*I325/300</f>
        <v>18</v>
      </c>
      <c r="AA325"/>
      <c r="AE325"/>
    </row>
    <row r="326" spans="1:31" x14ac:dyDescent="0.3">
      <c r="A326" s="4">
        <f t="shared" si="79"/>
        <v>321</v>
      </c>
      <c r="B326" s="39"/>
      <c r="C326" s="39"/>
      <c r="D326" s="39"/>
      <c r="E326" s="39"/>
      <c r="F326" s="17" t="s">
        <v>30</v>
      </c>
      <c r="G326" s="39">
        <f>D324-36</f>
        <v>454</v>
      </c>
      <c r="H326" s="39">
        <f>H325</f>
        <v>580</v>
      </c>
      <c r="I326" s="39">
        <v>1</v>
      </c>
      <c r="J326" s="62" t="s">
        <v>34</v>
      </c>
      <c r="K326" s="17" t="s">
        <v>15</v>
      </c>
      <c r="L326" s="39"/>
      <c r="M326" s="39">
        <v>1</v>
      </c>
      <c r="N326" s="39">
        <v>1</v>
      </c>
      <c r="O326" s="39">
        <v>1</v>
      </c>
      <c r="P326" s="39">
        <v>1</v>
      </c>
      <c r="Q326" s="4"/>
      <c r="R326" s="6">
        <f t="shared" si="77"/>
        <v>6.8933333333333335</v>
      </c>
      <c r="S326" s="6">
        <f t="shared" si="92"/>
        <v>6.8933333333333335</v>
      </c>
      <c r="T326" s="65"/>
      <c r="U326" s="65"/>
      <c r="V326" s="65"/>
      <c r="W326" s="74" t="s">
        <v>199</v>
      </c>
      <c r="X326" s="20" t="str">
        <f t="shared" si="78"/>
        <v>MBR-WB-B39-TOP</v>
      </c>
      <c r="Y326" s="7">
        <f t="shared" si="93"/>
        <v>6.8933333333333335</v>
      </c>
      <c r="AA326"/>
      <c r="AE326"/>
    </row>
    <row r="327" spans="1:31" x14ac:dyDescent="0.3">
      <c r="A327" s="4">
        <f t="shared" si="79"/>
        <v>322</v>
      </c>
      <c r="B327" s="39"/>
      <c r="C327" s="39" t="s">
        <v>25</v>
      </c>
      <c r="D327" s="39"/>
      <c r="E327" s="39"/>
      <c r="F327" s="17" t="s">
        <v>31</v>
      </c>
      <c r="G327" s="39">
        <f>G326</f>
        <v>454</v>
      </c>
      <c r="H327" s="39">
        <f>H326</f>
        <v>580</v>
      </c>
      <c r="I327" s="39">
        <v>1</v>
      </c>
      <c r="J327" s="62" t="s">
        <v>34</v>
      </c>
      <c r="K327" s="17" t="s">
        <v>15</v>
      </c>
      <c r="L327" s="39"/>
      <c r="M327" s="39">
        <v>1</v>
      </c>
      <c r="N327" s="39">
        <v>1</v>
      </c>
      <c r="O327" s="39">
        <v>1</v>
      </c>
      <c r="P327" s="39">
        <v>1</v>
      </c>
      <c r="Q327" s="4"/>
      <c r="R327" s="6">
        <f t="shared" ref="R327:R390" si="94">(G327+H327)*2*I327/300</f>
        <v>6.8933333333333335</v>
      </c>
      <c r="S327" s="6">
        <f t="shared" si="92"/>
        <v>6.8933333333333335</v>
      </c>
      <c r="T327" s="65"/>
      <c r="U327" s="65"/>
      <c r="V327" s="65"/>
      <c r="W327" s="74" t="s">
        <v>199</v>
      </c>
      <c r="X327" s="20" t="str">
        <f t="shared" ref="X327:X390" si="95">W327&amp;"-"&amp;F327</f>
        <v>MBR-WB-B39-BTM</v>
      </c>
      <c r="Y327" s="7">
        <f t="shared" si="93"/>
        <v>6.8933333333333335</v>
      </c>
      <c r="AA327"/>
      <c r="AE327"/>
    </row>
    <row r="328" spans="1:31" x14ac:dyDescent="0.3">
      <c r="A328" s="4">
        <f t="shared" ref="A328:A391" si="96">A327+1</f>
        <v>323</v>
      </c>
      <c r="B328" s="39"/>
      <c r="C328" s="39" t="s">
        <v>25</v>
      </c>
      <c r="D328" s="39"/>
      <c r="E328" s="39"/>
      <c r="F328" s="17" t="s">
        <v>32</v>
      </c>
      <c r="G328" s="39">
        <f>C324-110-36+16</f>
        <v>1990</v>
      </c>
      <c r="H328" s="39">
        <f>D324-36+16</f>
        <v>470</v>
      </c>
      <c r="I328" s="39">
        <v>1</v>
      </c>
      <c r="J328" s="62" t="s">
        <v>35</v>
      </c>
      <c r="K328" s="17" t="s">
        <v>15</v>
      </c>
      <c r="L328" s="39"/>
      <c r="M328" s="39"/>
      <c r="N328" s="39"/>
      <c r="O328" s="39"/>
      <c r="P328" s="39"/>
      <c r="Q328" s="4"/>
      <c r="R328" s="6">
        <f t="shared" si="94"/>
        <v>16.399999999999999</v>
      </c>
      <c r="S328" s="65"/>
      <c r="T328" s="65"/>
      <c r="U328" s="65"/>
      <c r="V328" s="65"/>
      <c r="W328" s="74" t="s">
        <v>199</v>
      </c>
      <c r="X328" s="20" t="str">
        <f t="shared" si="95"/>
        <v>MBR-WB-B39-BACK UP</v>
      </c>
      <c r="Y328" s="7">
        <f t="shared" si="93"/>
        <v>16.399999999999999</v>
      </c>
      <c r="AA328"/>
      <c r="AE328"/>
    </row>
    <row r="329" spans="1:31" x14ac:dyDescent="0.3">
      <c r="A329" s="4">
        <f t="shared" si="96"/>
        <v>324</v>
      </c>
      <c r="B329" s="39"/>
      <c r="C329" s="39" t="s">
        <v>25</v>
      </c>
      <c r="D329" s="39"/>
      <c r="E329" s="39"/>
      <c r="F329" s="17" t="s">
        <v>33</v>
      </c>
      <c r="G329" s="39">
        <f>D324-36-1</f>
        <v>453</v>
      </c>
      <c r="H329" s="39">
        <f>E324-25</f>
        <v>555</v>
      </c>
      <c r="I329" s="39">
        <v>2</v>
      </c>
      <c r="J329" s="62" t="s">
        <v>34</v>
      </c>
      <c r="K329" s="17" t="s">
        <v>15</v>
      </c>
      <c r="L329" s="39"/>
      <c r="M329" s="39">
        <v>1</v>
      </c>
      <c r="N329" s="39">
        <v>1</v>
      </c>
      <c r="O329" s="39">
        <v>1</v>
      </c>
      <c r="P329" s="39">
        <v>1</v>
      </c>
      <c r="Q329" s="4"/>
      <c r="R329" s="6">
        <f t="shared" si="94"/>
        <v>13.44</v>
      </c>
      <c r="S329" s="6">
        <f>R329</f>
        <v>13.44</v>
      </c>
      <c r="T329" s="65"/>
      <c r="U329" s="65"/>
      <c r="V329" s="65"/>
      <c r="W329" s="74" t="s">
        <v>199</v>
      </c>
      <c r="X329" s="20" t="str">
        <f t="shared" si="95"/>
        <v>MBR-WB-B39-Lshelf</v>
      </c>
      <c r="Y329" s="7">
        <f t="shared" si="93"/>
        <v>13.44</v>
      </c>
      <c r="AA329"/>
      <c r="AE329"/>
    </row>
    <row r="330" spans="1:31" x14ac:dyDescent="0.3">
      <c r="A330" s="4">
        <f t="shared" si="96"/>
        <v>325</v>
      </c>
      <c r="B330" s="39"/>
      <c r="C330" s="39" t="s">
        <v>25</v>
      </c>
      <c r="D330" s="39"/>
      <c r="E330" s="39"/>
      <c r="F330" s="17" t="s">
        <v>36</v>
      </c>
      <c r="G330" s="39">
        <f>C324-110-2</f>
        <v>2008</v>
      </c>
      <c r="H330" s="39">
        <f>D324-2</f>
        <v>488</v>
      </c>
      <c r="I330" s="39">
        <v>1</v>
      </c>
      <c r="J330" s="86" t="s">
        <v>139</v>
      </c>
      <c r="K330" s="39" t="s">
        <v>15</v>
      </c>
      <c r="L330" s="39"/>
      <c r="M330" s="39">
        <v>3</v>
      </c>
      <c r="N330" s="39">
        <v>3</v>
      </c>
      <c r="O330" s="39">
        <v>3</v>
      </c>
      <c r="P330" s="39">
        <v>3</v>
      </c>
      <c r="Q330" s="4"/>
      <c r="R330" s="6">
        <f t="shared" si="94"/>
        <v>16.64</v>
      </c>
      <c r="S330" s="65"/>
      <c r="T330" s="6">
        <f t="shared" ref="T330:T331" si="97">R330</f>
        <v>16.64</v>
      </c>
      <c r="U330" s="65"/>
      <c r="V330" s="65"/>
      <c r="W330" s="74" t="s">
        <v>199</v>
      </c>
      <c r="X330" s="20" t="str">
        <f t="shared" si="95"/>
        <v>MBR-WB-B39-SHUTTER</v>
      </c>
      <c r="Y330" s="7">
        <f t="shared" si="93"/>
        <v>16.64</v>
      </c>
      <c r="AA330"/>
      <c r="AE330"/>
    </row>
    <row r="331" spans="1:31" x14ac:dyDescent="0.3">
      <c r="A331" s="4">
        <f t="shared" si="96"/>
        <v>326</v>
      </c>
      <c r="B331" s="39"/>
      <c r="C331" s="39"/>
      <c r="D331" s="39"/>
      <c r="E331" s="39"/>
      <c r="F331" s="17" t="s">
        <v>37</v>
      </c>
      <c r="G331" s="39">
        <f>C324</f>
        <v>2120</v>
      </c>
      <c r="H331" s="39">
        <v>100</v>
      </c>
      <c r="I331" s="39">
        <v>1</v>
      </c>
      <c r="J331" s="81" t="s">
        <v>140</v>
      </c>
      <c r="K331" s="39" t="s">
        <v>15</v>
      </c>
      <c r="L331" s="39"/>
      <c r="M331" s="39">
        <v>3</v>
      </c>
      <c r="N331" s="39">
        <v>3</v>
      </c>
      <c r="O331" s="39">
        <v>3</v>
      </c>
      <c r="P331" s="39">
        <v>3</v>
      </c>
      <c r="Q331" s="4"/>
      <c r="R331" s="6">
        <f t="shared" si="94"/>
        <v>14.8</v>
      </c>
      <c r="S331" s="65"/>
      <c r="T331" s="6">
        <f t="shared" si="97"/>
        <v>14.8</v>
      </c>
      <c r="U331" s="65"/>
      <c r="V331" s="65"/>
      <c r="W331" s="74" t="s">
        <v>199</v>
      </c>
      <c r="X331" s="20" t="str">
        <f t="shared" si="95"/>
        <v>MBR-WB-B39-FILLER</v>
      </c>
      <c r="Y331" s="7">
        <f t="shared" si="93"/>
        <v>14.8</v>
      </c>
      <c r="AA331"/>
      <c r="AE331"/>
    </row>
    <row r="332" spans="1:31" x14ac:dyDescent="0.3">
      <c r="A332" s="4">
        <f t="shared" si="96"/>
        <v>327</v>
      </c>
      <c r="B332" s="23" t="s">
        <v>185</v>
      </c>
      <c r="C332" s="23">
        <f>2010+110</f>
        <v>2120</v>
      </c>
      <c r="D332" s="23">
        <f>490+490+490+490</f>
        <v>1960</v>
      </c>
      <c r="E332" s="23">
        <f>580</f>
        <v>580</v>
      </c>
      <c r="F332" s="17" t="s">
        <v>28</v>
      </c>
      <c r="G332" s="39">
        <f>C332</f>
        <v>2120</v>
      </c>
      <c r="H332" s="39">
        <f>E332</f>
        <v>580</v>
      </c>
      <c r="I332" s="39">
        <v>1</v>
      </c>
      <c r="J332" s="62" t="s">
        <v>34</v>
      </c>
      <c r="K332" s="17" t="s">
        <v>15</v>
      </c>
      <c r="L332" s="39"/>
      <c r="M332" s="39">
        <v>1</v>
      </c>
      <c r="N332" s="39">
        <v>1</v>
      </c>
      <c r="O332" s="39">
        <v>1</v>
      </c>
      <c r="P332" s="39">
        <v>1</v>
      </c>
      <c r="Q332" s="4"/>
      <c r="R332" s="6">
        <f t="shared" si="94"/>
        <v>18</v>
      </c>
      <c r="S332" s="6">
        <f>R332</f>
        <v>18</v>
      </c>
      <c r="T332" s="65"/>
      <c r="U332" s="65"/>
      <c r="V332" s="65"/>
      <c r="W332" s="74" t="s">
        <v>185</v>
      </c>
      <c r="X332" s="20" t="str">
        <f t="shared" si="95"/>
        <v>MBR-WB-B40-LHS</v>
      </c>
      <c r="Y332" s="7">
        <f t="shared" si="93"/>
        <v>18</v>
      </c>
      <c r="AA332"/>
      <c r="AE332"/>
    </row>
    <row r="333" spans="1:31" x14ac:dyDescent="0.3">
      <c r="A333" s="4">
        <f t="shared" si="96"/>
        <v>328</v>
      </c>
      <c r="B333" s="39"/>
      <c r="C333" s="39"/>
      <c r="D333" s="39"/>
      <c r="E333" s="39"/>
      <c r="F333" s="40" t="s">
        <v>29</v>
      </c>
      <c r="G333" s="39">
        <f>G332</f>
        <v>2120</v>
      </c>
      <c r="H333" s="39">
        <f>H332</f>
        <v>580</v>
      </c>
      <c r="I333" s="39">
        <v>1</v>
      </c>
      <c r="J333" s="81" t="s">
        <v>140</v>
      </c>
      <c r="K333" s="39" t="s">
        <v>15</v>
      </c>
      <c r="L333" s="39"/>
      <c r="M333" s="39">
        <v>3</v>
      </c>
      <c r="N333" s="39">
        <v>3</v>
      </c>
      <c r="O333" s="39">
        <v>3</v>
      </c>
      <c r="P333" s="39">
        <v>3</v>
      </c>
      <c r="Q333" s="4"/>
      <c r="R333" s="6">
        <f t="shared" si="94"/>
        <v>18</v>
      </c>
      <c r="S333" s="65"/>
      <c r="T333" s="6">
        <f>R333</f>
        <v>18</v>
      </c>
      <c r="U333" s="65"/>
      <c r="V333" s="65"/>
      <c r="W333" s="74" t="s">
        <v>185</v>
      </c>
      <c r="X333" s="20" t="str">
        <f t="shared" si="95"/>
        <v>MBR-WB-B40-RHS</v>
      </c>
      <c r="Y333" s="7">
        <f t="shared" si="93"/>
        <v>18</v>
      </c>
      <c r="AA333"/>
      <c r="AE333"/>
    </row>
    <row r="334" spans="1:31" x14ac:dyDescent="0.3">
      <c r="A334" s="4">
        <f t="shared" si="96"/>
        <v>329</v>
      </c>
      <c r="B334" s="39"/>
      <c r="C334" s="39"/>
      <c r="D334" s="39"/>
      <c r="E334" s="39"/>
      <c r="F334" s="17" t="s">
        <v>30</v>
      </c>
      <c r="G334" s="39">
        <f>D332-36</f>
        <v>1924</v>
      </c>
      <c r="H334" s="39">
        <f>H333</f>
        <v>580</v>
      </c>
      <c r="I334" s="39">
        <v>1</v>
      </c>
      <c r="J334" s="62" t="s">
        <v>34</v>
      </c>
      <c r="K334" s="17" t="s">
        <v>15</v>
      </c>
      <c r="L334" s="39"/>
      <c r="M334" s="39">
        <v>1</v>
      </c>
      <c r="N334" s="39">
        <v>1</v>
      </c>
      <c r="O334" s="39">
        <v>1</v>
      </c>
      <c r="P334" s="39">
        <v>1</v>
      </c>
      <c r="Q334" s="4"/>
      <c r="R334" s="6">
        <f t="shared" si="94"/>
        <v>16.693333333333332</v>
      </c>
      <c r="S334" s="6">
        <f t="shared" ref="S334:S335" si="98">R334</f>
        <v>16.693333333333332</v>
      </c>
      <c r="T334" s="65"/>
      <c r="U334" s="65"/>
      <c r="V334" s="65"/>
      <c r="W334" s="74" t="s">
        <v>185</v>
      </c>
      <c r="X334" s="20" t="str">
        <f t="shared" si="95"/>
        <v>MBR-WB-B40-TOP</v>
      </c>
      <c r="Y334" s="7">
        <f t="shared" si="93"/>
        <v>16.693333333333332</v>
      </c>
      <c r="AA334"/>
      <c r="AE334"/>
    </row>
    <row r="335" spans="1:31" x14ac:dyDescent="0.3">
      <c r="A335" s="4">
        <f t="shared" si="96"/>
        <v>330</v>
      </c>
      <c r="B335" s="39"/>
      <c r="C335" s="39" t="s">
        <v>25</v>
      </c>
      <c r="D335" s="39"/>
      <c r="E335" s="39"/>
      <c r="F335" s="17" t="s">
        <v>31</v>
      </c>
      <c r="G335" s="39">
        <f>G334</f>
        <v>1924</v>
      </c>
      <c r="H335" s="39">
        <f>H334</f>
        <v>580</v>
      </c>
      <c r="I335" s="39">
        <v>1</v>
      </c>
      <c r="J335" s="62" t="s">
        <v>34</v>
      </c>
      <c r="K335" s="17" t="s">
        <v>15</v>
      </c>
      <c r="L335" s="39"/>
      <c r="M335" s="39">
        <v>1</v>
      </c>
      <c r="N335" s="39">
        <v>1</v>
      </c>
      <c r="O335" s="39">
        <v>1</v>
      </c>
      <c r="P335" s="39">
        <v>1</v>
      </c>
      <c r="Q335" s="4"/>
      <c r="R335" s="6">
        <f t="shared" si="94"/>
        <v>16.693333333333332</v>
      </c>
      <c r="S335" s="6">
        <f t="shared" si="98"/>
        <v>16.693333333333332</v>
      </c>
      <c r="T335" s="65"/>
      <c r="U335" s="65"/>
      <c r="V335" s="65"/>
      <c r="W335" s="74" t="s">
        <v>185</v>
      </c>
      <c r="X335" s="20" t="str">
        <f t="shared" si="95"/>
        <v>MBR-WB-B40-BTM</v>
      </c>
      <c r="Y335" s="7">
        <f t="shared" si="93"/>
        <v>16.693333333333332</v>
      </c>
      <c r="AA335"/>
      <c r="AE335"/>
    </row>
    <row r="336" spans="1:31" x14ac:dyDescent="0.3">
      <c r="A336" s="4">
        <f t="shared" si="96"/>
        <v>331</v>
      </c>
      <c r="B336" s="39"/>
      <c r="C336" s="39"/>
      <c r="D336" s="39"/>
      <c r="E336" s="39"/>
      <c r="F336" s="17" t="s">
        <v>32</v>
      </c>
      <c r="G336" s="39">
        <f>C332-110-36+16</f>
        <v>1990</v>
      </c>
      <c r="H336" s="39">
        <f>D332/2-18-9+12</f>
        <v>965</v>
      </c>
      <c r="I336" s="39">
        <v>2</v>
      </c>
      <c r="J336" s="62" t="s">
        <v>35</v>
      </c>
      <c r="K336" s="17" t="s">
        <v>15</v>
      </c>
      <c r="L336" s="39"/>
      <c r="M336" s="39"/>
      <c r="N336" s="39"/>
      <c r="O336" s="39"/>
      <c r="P336" s="39"/>
      <c r="Q336" s="4"/>
      <c r="R336" s="6">
        <f t="shared" si="94"/>
        <v>39.4</v>
      </c>
      <c r="S336" s="65"/>
      <c r="T336" s="65"/>
      <c r="U336" s="65"/>
      <c r="V336" s="65"/>
      <c r="W336" s="74" t="s">
        <v>185</v>
      </c>
      <c r="X336" s="20" t="str">
        <f t="shared" si="95"/>
        <v>MBR-WB-B40-BACK UP</v>
      </c>
      <c r="Y336" s="7">
        <f t="shared" si="93"/>
        <v>39.4</v>
      </c>
      <c r="AA336"/>
      <c r="AE336"/>
    </row>
    <row r="337" spans="1:31" x14ac:dyDescent="0.3">
      <c r="A337" s="4">
        <f t="shared" si="96"/>
        <v>332</v>
      </c>
      <c r="B337" s="39"/>
      <c r="C337" s="39"/>
      <c r="D337" s="39"/>
      <c r="E337" s="39"/>
      <c r="F337" s="17" t="s">
        <v>38</v>
      </c>
      <c r="G337" s="39">
        <f>D332/2-18-9</f>
        <v>953</v>
      </c>
      <c r="H337" s="39">
        <f>E332-25</f>
        <v>555</v>
      </c>
      <c r="I337" s="39">
        <v>2</v>
      </c>
      <c r="J337" s="62" t="s">
        <v>34</v>
      </c>
      <c r="K337" s="17" t="s">
        <v>15</v>
      </c>
      <c r="L337" s="39"/>
      <c r="M337" s="39">
        <v>1</v>
      </c>
      <c r="N337" s="39">
        <v>1</v>
      </c>
      <c r="O337" s="39">
        <v>1</v>
      </c>
      <c r="P337" s="39">
        <v>1</v>
      </c>
      <c r="Q337" s="4"/>
      <c r="R337" s="6">
        <f t="shared" si="94"/>
        <v>20.106666666666666</v>
      </c>
      <c r="S337" s="6">
        <f t="shared" ref="S337:S343" si="99">R337</f>
        <v>20.106666666666666</v>
      </c>
      <c r="T337" s="65"/>
      <c r="U337" s="65"/>
      <c r="V337" s="65"/>
      <c r="W337" s="74" t="s">
        <v>185</v>
      </c>
      <c r="X337" s="20" t="str">
        <f t="shared" si="95"/>
        <v>MBR-WB-B40-Fshelf</v>
      </c>
      <c r="Y337" s="7">
        <f t="shared" si="93"/>
        <v>20.106666666666666</v>
      </c>
      <c r="AA337"/>
      <c r="AE337"/>
    </row>
    <row r="338" spans="1:31" x14ac:dyDescent="0.3">
      <c r="A338" s="4">
        <f t="shared" si="96"/>
        <v>333</v>
      </c>
      <c r="B338" s="39"/>
      <c r="C338" s="39"/>
      <c r="D338" s="39"/>
      <c r="E338" s="39"/>
      <c r="F338" s="17" t="s">
        <v>33</v>
      </c>
      <c r="G338" s="39">
        <f>G337-1</f>
        <v>952</v>
      </c>
      <c r="H338" s="39">
        <f>H337</f>
        <v>555</v>
      </c>
      <c r="I338" s="39">
        <v>2</v>
      </c>
      <c r="J338" s="62" t="s">
        <v>34</v>
      </c>
      <c r="K338" s="17" t="s">
        <v>15</v>
      </c>
      <c r="L338" s="39"/>
      <c r="M338" s="39">
        <v>1</v>
      </c>
      <c r="N338" s="39">
        <v>1</v>
      </c>
      <c r="O338" s="39">
        <v>1</v>
      </c>
      <c r="P338" s="39">
        <v>1</v>
      </c>
      <c r="Q338" s="4"/>
      <c r="R338" s="6">
        <f t="shared" si="94"/>
        <v>20.093333333333334</v>
      </c>
      <c r="S338" s="6">
        <f t="shared" si="99"/>
        <v>20.093333333333334</v>
      </c>
      <c r="T338" s="65"/>
      <c r="U338" s="65"/>
      <c r="V338" s="65"/>
      <c r="W338" s="74" t="s">
        <v>185</v>
      </c>
      <c r="X338" s="20" t="str">
        <f t="shared" si="95"/>
        <v>MBR-WB-B40-Lshelf</v>
      </c>
      <c r="Y338" s="7">
        <f t="shared" si="93"/>
        <v>20.093333333333334</v>
      </c>
      <c r="AA338"/>
      <c r="AE338"/>
    </row>
    <row r="339" spans="1:31" x14ac:dyDescent="0.3">
      <c r="A339" s="4">
        <f t="shared" si="96"/>
        <v>334</v>
      </c>
      <c r="B339" s="39"/>
      <c r="C339" s="39"/>
      <c r="D339" s="39"/>
      <c r="E339" s="39"/>
      <c r="F339" s="17" t="s">
        <v>43</v>
      </c>
      <c r="G339" s="36">
        <f>C332-110-18-913-18-18</f>
        <v>1043</v>
      </c>
      <c r="H339" s="39">
        <f>E332-25</f>
        <v>555</v>
      </c>
      <c r="I339" s="39">
        <v>1</v>
      </c>
      <c r="J339" s="62" t="s">
        <v>34</v>
      </c>
      <c r="K339" s="17" t="s">
        <v>15</v>
      </c>
      <c r="L339" s="39"/>
      <c r="M339" s="39">
        <v>1</v>
      </c>
      <c r="N339" s="39">
        <v>1</v>
      </c>
      <c r="O339" s="39">
        <v>1</v>
      </c>
      <c r="P339" s="39">
        <v>1</v>
      </c>
      <c r="Q339" s="4"/>
      <c r="R339" s="6">
        <f t="shared" si="94"/>
        <v>10.653333333333334</v>
      </c>
      <c r="S339" s="6">
        <f t="shared" si="99"/>
        <v>10.653333333333334</v>
      </c>
      <c r="T339" s="65"/>
      <c r="U339" s="65"/>
      <c r="V339" s="65"/>
      <c r="W339" s="74" t="s">
        <v>185</v>
      </c>
      <c r="X339" s="20" t="str">
        <f t="shared" si="95"/>
        <v>MBR-WB-B40-C/V</v>
      </c>
      <c r="Y339" s="7">
        <f t="shared" si="93"/>
        <v>10.653333333333334</v>
      </c>
      <c r="AA339"/>
      <c r="AE339"/>
    </row>
    <row r="340" spans="1:31" x14ac:dyDescent="0.3">
      <c r="A340" s="4">
        <f t="shared" si="96"/>
        <v>335</v>
      </c>
      <c r="B340" s="39"/>
      <c r="C340" s="39"/>
      <c r="D340" s="39"/>
      <c r="E340" s="39"/>
      <c r="F340" s="17" t="s">
        <v>33</v>
      </c>
      <c r="G340" s="36">
        <f>467</f>
        <v>467</v>
      </c>
      <c r="H340" s="39">
        <f>E332-25</f>
        <v>555</v>
      </c>
      <c r="I340" s="39">
        <v>1</v>
      </c>
      <c r="J340" s="62" t="s">
        <v>34</v>
      </c>
      <c r="K340" s="17" t="s">
        <v>15</v>
      </c>
      <c r="L340" s="39"/>
      <c r="M340" s="39">
        <v>1</v>
      </c>
      <c r="N340" s="39">
        <v>1</v>
      </c>
      <c r="O340" s="39">
        <v>1</v>
      </c>
      <c r="P340" s="39">
        <v>1</v>
      </c>
      <c r="Q340" s="4"/>
      <c r="R340" s="6">
        <f t="shared" si="94"/>
        <v>6.8133333333333335</v>
      </c>
      <c r="S340" s="6">
        <f t="shared" si="99"/>
        <v>6.8133333333333335</v>
      </c>
      <c r="T340" s="65"/>
      <c r="U340" s="65"/>
      <c r="V340" s="65"/>
      <c r="W340" s="74" t="s">
        <v>185</v>
      </c>
      <c r="X340" s="20" t="str">
        <f t="shared" si="95"/>
        <v>MBR-WB-B40-Lshelf</v>
      </c>
      <c r="Y340" s="7">
        <f t="shared" si="93"/>
        <v>6.8133333333333335</v>
      </c>
      <c r="AA340"/>
      <c r="AE340"/>
    </row>
    <row r="341" spans="1:31" x14ac:dyDescent="0.3">
      <c r="A341" s="4">
        <f t="shared" si="96"/>
        <v>336</v>
      </c>
      <c r="B341" s="39"/>
      <c r="C341" s="39"/>
      <c r="D341" s="39"/>
      <c r="E341" s="39"/>
      <c r="F341" s="17" t="s">
        <v>152</v>
      </c>
      <c r="G341" s="39">
        <f>200</f>
        <v>200</v>
      </c>
      <c r="H341" s="39">
        <f>550</f>
        <v>550</v>
      </c>
      <c r="I341" s="39">
        <v>4</v>
      </c>
      <c r="J341" s="62" t="s">
        <v>34</v>
      </c>
      <c r="K341" s="17" t="s">
        <v>15</v>
      </c>
      <c r="L341" s="39"/>
      <c r="M341" s="39">
        <v>1</v>
      </c>
      <c r="N341" s="39">
        <v>1</v>
      </c>
      <c r="O341" s="39">
        <v>1</v>
      </c>
      <c r="P341" s="39">
        <v>1</v>
      </c>
      <c r="Q341" s="4"/>
      <c r="R341" s="6">
        <f t="shared" si="94"/>
        <v>20</v>
      </c>
      <c r="S341" s="6">
        <f t="shared" si="99"/>
        <v>20</v>
      </c>
      <c r="T341" s="65"/>
      <c r="U341" s="65"/>
      <c r="V341" s="65"/>
      <c r="W341" s="74" t="s">
        <v>185</v>
      </c>
      <c r="X341" s="20" t="str">
        <f t="shared" si="95"/>
        <v>MBR-WB-B40-DR DUMMY</v>
      </c>
      <c r="Y341" s="7">
        <f t="shared" si="93"/>
        <v>20</v>
      </c>
      <c r="AA341"/>
      <c r="AE341"/>
    </row>
    <row r="342" spans="1:31" x14ac:dyDescent="0.3">
      <c r="A342" s="4">
        <f t="shared" si="96"/>
        <v>337</v>
      </c>
      <c r="B342" s="39"/>
      <c r="C342" s="39"/>
      <c r="D342" s="39"/>
      <c r="E342" s="39"/>
      <c r="F342" s="17" t="s">
        <v>39</v>
      </c>
      <c r="G342" s="39">
        <f>150</f>
        <v>150</v>
      </c>
      <c r="H342" s="39">
        <f>500</f>
        <v>500</v>
      </c>
      <c r="I342" s="39">
        <v>4</v>
      </c>
      <c r="J342" s="62" t="s">
        <v>34</v>
      </c>
      <c r="K342" s="17" t="s">
        <v>15</v>
      </c>
      <c r="L342" s="39"/>
      <c r="M342" s="39">
        <v>1</v>
      </c>
      <c r="N342" s="39">
        <v>1</v>
      </c>
      <c r="O342" s="39">
        <v>1</v>
      </c>
      <c r="P342" s="39">
        <v>1</v>
      </c>
      <c r="Q342" s="4"/>
      <c r="R342" s="6">
        <f t="shared" si="94"/>
        <v>17.333333333333332</v>
      </c>
      <c r="S342" s="6">
        <f t="shared" si="99"/>
        <v>17.333333333333332</v>
      </c>
      <c r="T342" s="65"/>
      <c r="U342" s="65"/>
      <c r="V342" s="65"/>
      <c r="W342" s="74" t="s">
        <v>185</v>
      </c>
      <c r="X342" s="20" t="str">
        <f t="shared" si="95"/>
        <v>MBR-WB-B40-DR SIDES</v>
      </c>
      <c r="Y342" s="7">
        <f t="shared" si="93"/>
        <v>17.333333333333332</v>
      </c>
      <c r="AA342"/>
      <c r="AE342"/>
    </row>
    <row r="343" spans="1:31" x14ac:dyDescent="0.3">
      <c r="A343" s="4">
        <f t="shared" si="96"/>
        <v>338</v>
      </c>
      <c r="B343" s="39"/>
      <c r="C343" s="39"/>
      <c r="D343" s="39"/>
      <c r="E343" s="39"/>
      <c r="F343" s="17" t="s">
        <v>40</v>
      </c>
      <c r="G343" s="39">
        <f>G342</f>
        <v>150</v>
      </c>
      <c r="H343" s="39">
        <f>(D332-36-36-36-18)/2-36-28</f>
        <v>853</v>
      </c>
      <c r="I343" s="39">
        <v>4</v>
      </c>
      <c r="J343" s="62" t="s">
        <v>34</v>
      </c>
      <c r="K343" s="17" t="s">
        <v>15</v>
      </c>
      <c r="L343" s="39"/>
      <c r="M343" s="39">
        <v>1</v>
      </c>
      <c r="N343" s="39">
        <v>1</v>
      </c>
      <c r="O343" s="39">
        <v>1</v>
      </c>
      <c r="P343" s="39">
        <v>1</v>
      </c>
      <c r="Q343" s="4"/>
      <c r="R343" s="6">
        <f t="shared" si="94"/>
        <v>26.746666666666666</v>
      </c>
      <c r="S343" s="6">
        <f t="shared" si="99"/>
        <v>26.746666666666666</v>
      </c>
      <c r="T343" s="65"/>
      <c r="U343" s="65"/>
      <c r="V343" s="65"/>
      <c r="W343" s="74" t="s">
        <v>185</v>
      </c>
      <c r="X343" s="20" t="str">
        <f t="shared" si="95"/>
        <v>MBR-WB-B40-DR F/B</v>
      </c>
      <c r="Y343" s="7">
        <f t="shared" si="93"/>
        <v>26.746666666666666</v>
      </c>
      <c r="AA343"/>
      <c r="AE343"/>
    </row>
    <row r="344" spans="1:31" x14ac:dyDescent="0.3">
      <c r="A344" s="4">
        <f t="shared" si="96"/>
        <v>339</v>
      </c>
      <c r="B344" s="39"/>
      <c r="C344" s="39"/>
      <c r="D344" s="39"/>
      <c r="E344" s="39"/>
      <c r="F344" s="17" t="s">
        <v>41</v>
      </c>
      <c r="G344" s="39">
        <f>H342-36+16</f>
        <v>480</v>
      </c>
      <c r="H344" s="39">
        <f>H343+16</f>
        <v>869</v>
      </c>
      <c r="I344" s="39">
        <v>2</v>
      </c>
      <c r="J344" s="62" t="s">
        <v>35</v>
      </c>
      <c r="K344" s="17" t="s">
        <v>15</v>
      </c>
      <c r="L344" s="39"/>
      <c r="M344" s="39"/>
      <c r="N344" s="39"/>
      <c r="O344" s="39"/>
      <c r="P344" s="39"/>
      <c r="Q344" s="4"/>
      <c r="R344" s="6">
        <f t="shared" si="94"/>
        <v>17.986666666666668</v>
      </c>
      <c r="S344" s="65"/>
      <c r="T344" s="65"/>
      <c r="U344" s="65"/>
      <c r="V344" s="65"/>
      <c r="W344" s="74" t="s">
        <v>185</v>
      </c>
      <c r="X344" s="20" t="str">
        <f t="shared" si="95"/>
        <v>MBR-WB-B40-DR BACK UP</v>
      </c>
      <c r="Y344" s="7">
        <f t="shared" si="93"/>
        <v>17.986666666666668</v>
      </c>
      <c r="AA344"/>
      <c r="AE344"/>
    </row>
    <row r="345" spans="1:31" x14ac:dyDescent="0.3">
      <c r="A345" s="4">
        <f t="shared" si="96"/>
        <v>340</v>
      </c>
      <c r="B345" s="39"/>
      <c r="C345" s="39"/>
      <c r="D345" s="39"/>
      <c r="E345" s="39"/>
      <c r="F345" s="17" t="s">
        <v>42</v>
      </c>
      <c r="G345" s="39">
        <f>200-2</f>
        <v>198</v>
      </c>
      <c r="H345" s="39">
        <f>D332/2-18-9-36-2</f>
        <v>915</v>
      </c>
      <c r="I345" s="39">
        <v>2</v>
      </c>
      <c r="J345" s="62" t="s">
        <v>34</v>
      </c>
      <c r="K345" s="17" t="s">
        <v>15</v>
      </c>
      <c r="L345" s="39"/>
      <c r="M345" s="39">
        <v>1</v>
      </c>
      <c r="N345" s="39">
        <v>1</v>
      </c>
      <c r="O345" s="39">
        <v>1</v>
      </c>
      <c r="P345" s="39">
        <v>1</v>
      </c>
      <c r="Q345" s="4"/>
      <c r="R345" s="6">
        <f t="shared" si="94"/>
        <v>14.84</v>
      </c>
      <c r="S345" s="6">
        <f>R345</f>
        <v>14.84</v>
      </c>
      <c r="T345" s="65"/>
      <c r="U345" s="65"/>
      <c r="V345" s="65"/>
      <c r="W345" s="74" t="s">
        <v>185</v>
      </c>
      <c r="X345" s="20" t="str">
        <f t="shared" si="95"/>
        <v>MBR-WB-B40-DR FACIA</v>
      </c>
      <c r="Y345" s="7">
        <f t="shared" si="93"/>
        <v>14.84</v>
      </c>
      <c r="AA345"/>
      <c r="AE345"/>
    </row>
    <row r="346" spans="1:31" x14ac:dyDescent="0.3">
      <c r="A346" s="4">
        <f t="shared" si="96"/>
        <v>341</v>
      </c>
      <c r="B346" s="39"/>
      <c r="C346" s="39"/>
      <c r="D346" s="39"/>
      <c r="E346" s="39"/>
      <c r="F346" s="17" t="s">
        <v>36</v>
      </c>
      <c r="G346" s="39">
        <f>C332-110-2</f>
        <v>2008</v>
      </c>
      <c r="H346" s="39">
        <f>D332/4-2</f>
        <v>488</v>
      </c>
      <c r="I346" s="39">
        <v>2</v>
      </c>
      <c r="J346" s="82" t="s">
        <v>141</v>
      </c>
      <c r="K346" s="39" t="s">
        <v>15</v>
      </c>
      <c r="L346" s="39"/>
      <c r="M346" s="39">
        <v>3</v>
      </c>
      <c r="N346" s="39">
        <v>3</v>
      </c>
      <c r="O346" s="39">
        <v>3</v>
      </c>
      <c r="P346" s="39">
        <v>3</v>
      </c>
      <c r="Q346" s="4"/>
      <c r="R346" s="6">
        <f t="shared" si="94"/>
        <v>33.28</v>
      </c>
      <c r="S346" s="65"/>
      <c r="T346" s="6">
        <f t="shared" ref="T346:T347" si="100">R346</f>
        <v>33.28</v>
      </c>
      <c r="U346" s="65"/>
      <c r="V346" s="65"/>
      <c r="W346" s="74" t="s">
        <v>185</v>
      </c>
      <c r="X346" s="20" t="str">
        <f t="shared" si="95"/>
        <v>MBR-WB-B40-SHUTTER</v>
      </c>
      <c r="Y346" s="7">
        <f t="shared" si="93"/>
        <v>33.28</v>
      </c>
      <c r="AA346"/>
      <c r="AE346"/>
    </row>
    <row r="347" spans="1:31" x14ac:dyDescent="0.3">
      <c r="A347" s="4">
        <f t="shared" si="96"/>
        <v>342</v>
      </c>
      <c r="B347" s="39"/>
      <c r="C347" s="39"/>
      <c r="D347" s="39"/>
      <c r="E347" s="39"/>
      <c r="F347" s="17" t="s">
        <v>36</v>
      </c>
      <c r="G347" s="39">
        <f>G346</f>
        <v>2008</v>
      </c>
      <c r="H347" s="39">
        <f>H346</f>
        <v>488</v>
      </c>
      <c r="I347" s="39">
        <v>2</v>
      </c>
      <c r="J347" s="61" t="s">
        <v>142</v>
      </c>
      <c r="K347" s="39" t="s">
        <v>15</v>
      </c>
      <c r="L347" s="39"/>
      <c r="M347" s="39">
        <v>3</v>
      </c>
      <c r="N347" s="39">
        <v>3</v>
      </c>
      <c r="O347" s="39">
        <v>3</v>
      </c>
      <c r="P347" s="39">
        <v>3</v>
      </c>
      <c r="Q347" s="4"/>
      <c r="R347" s="6">
        <f t="shared" si="94"/>
        <v>33.28</v>
      </c>
      <c r="S347" s="65"/>
      <c r="T347" s="6">
        <f t="shared" si="100"/>
        <v>33.28</v>
      </c>
      <c r="U347" s="65"/>
      <c r="V347" s="65"/>
      <c r="W347" s="74" t="s">
        <v>185</v>
      </c>
      <c r="X347" s="20" t="str">
        <f t="shared" si="95"/>
        <v>MBR-WB-B40-SHUTTER</v>
      </c>
      <c r="Y347" s="7">
        <f t="shared" si="93"/>
        <v>33.28</v>
      </c>
      <c r="AA347"/>
      <c r="AE347"/>
    </row>
    <row r="348" spans="1:31" x14ac:dyDescent="0.3">
      <c r="A348" s="4">
        <f t="shared" si="96"/>
        <v>343</v>
      </c>
      <c r="B348" s="39"/>
      <c r="C348" s="39"/>
      <c r="D348" s="39"/>
      <c r="E348" s="39"/>
      <c r="F348" s="40" t="s">
        <v>155</v>
      </c>
      <c r="G348" s="39">
        <f>500-2</f>
        <v>498</v>
      </c>
      <c r="H348" s="36">
        <f>464</f>
        <v>464</v>
      </c>
      <c r="I348" s="39">
        <v>1</v>
      </c>
      <c r="J348" s="62" t="s">
        <v>34</v>
      </c>
      <c r="K348" s="17" t="s">
        <v>15</v>
      </c>
      <c r="L348" s="39"/>
      <c r="M348" s="39">
        <v>1</v>
      </c>
      <c r="N348" s="39">
        <v>1</v>
      </c>
      <c r="O348" s="39">
        <v>1</v>
      </c>
      <c r="P348" s="39">
        <v>1</v>
      </c>
      <c r="Q348" s="4"/>
      <c r="R348" s="6">
        <f t="shared" si="94"/>
        <v>6.4133333333333331</v>
      </c>
      <c r="S348" s="6">
        <f>R348</f>
        <v>6.4133333333333331</v>
      </c>
      <c r="T348" s="65"/>
      <c r="U348" s="65"/>
      <c r="V348" s="65"/>
      <c r="W348" s="74" t="s">
        <v>185</v>
      </c>
      <c r="X348" s="20" t="str">
        <f t="shared" si="95"/>
        <v>MBR-WB-B40-LOCKER SHUTTER</v>
      </c>
      <c r="Y348" s="7">
        <f t="shared" si="93"/>
        <v>6.4133333333333331</v>
      </c>
      <c r="AA348"/>
      <c r="AE348"/>
    </row>
    <row r="349" spans="1:31" x14ac:dyDescent="0.3">
      <c r="A349" s="4">
        <f t="shared" si="96"/>
        <v>344</v>
      </c>
      <c r="B349" s="39"/>
      <c r="C349" s="39"/>
      <c r="D349" s="39"/>
      <c r="E349" s="39"/>
      <c r="F349" s="40" t="s">
        <v>49</v>
      </c>
      <c r="G349" s="39">
        <f>490*3</f>
        <v>1470</v>
      </c>
      <c r="H349" s="39">
        <v>110</v>
      </c>
      <c r="I349" s="39">
        <v>1</v>
      </c>
      <c r="J349" s="81" t="s">
        <v>140</v>
      </c>
      <c r="K349" s="39" t="s">
        <v>15</v>
      </c>
      <c r="L349" s="39"/>
      <c r="M349" s="39">
        <v>3</v>
      </c>
      <c r="N349" s="39">
        <v>3</v>
      </c>
      <c r="O349" s="39">
        <v>3</v>
      </c>
      <c r="P349" s="39">
        <v>3</v>
      </c>
      <c r="Q349" s="4"/>
      <c r="R349" s="6">
        <f t="shared" si="94"/>
        <v>10.533333333333333</v>
      </c>
      <c r="S349" s="65"/>
      <c r="T349" s="6">
        <f t="shared" ref="T349:T350" si="101">R349</f>
        <v>10.533333333333333</v>
      </c>
      <c r="U349" s="65"/>
      <c r="V349" s="65"/>
      <c r="W349" s="74" t="s">
        <v>185</v>
      </c>
      <c r="X349" s="20" t="str">
        <f t="shared" si="95"/>
        <v>MBR-WB-B40-SKIRTING</v>
      </c>
      <c r="Y349" s="7">
        <f t="shared" si="93"/>
        <v>10.533333333333333</v>
      </c>
      <c r="AA349"/>
      <c r="AE349"/>
    </row>
    <row r="350" spans="1:31" x14ac:dyDescent="0.3">
      <c r="A350" s="4">
        <f t="shared" si="96"/>
        <v>345</v>
      </c>
      <c r="B350" s="39"/>
      <c r="C350" s="39"/>
      <c r="D350" s="39"/>
      <c r="E350" s="39"/>
      <c r="F350" s="40" t="s">
        <v>49</v>
      </c>
      <c r="G350" s="39">
        <f>490*2</f>
        <v>980</v>
      </c>
      <c r="H350" s="39">
        <v>110</v>
      </c>
      <c r="I350" s="39">
        <v>1</v>
      </c>
      <c r="J350" s="81" t="s">
        <v>140</v>
      </c>
      <c r="K350" s="39" t="s">
        <v>15</v>
      </c>
      <c r="L350" s="39"/>
      <c r="M350" s="39">
        <v>3</v>
      </c>
      <c r="N350" s="39">
        <v>3</v>
      </c>
      <c r="O350" s="39">
        <v>3</v>
      </c>
      <c r="P350" s="39">
        <v>3</v>
      </c>
      <c r="Q350" s="4"/>
      <c r="R350" s="6">
        <f t="shared" si="94"/>
        <v>7.2666666666666666</v>
      </c>
      <c r="S350" s="65"/>
      <c r="T350" s="6">
        <f t="shared" si="101"/>
        <v>7.2666666666666666</v>
      </c>
      <c r="U350" s="65"/>
      <c r="V350" s="65"/>
      <c r="W350" s="74" t="s">
        <v>185</v>
      </c>
      <c r="X350" s="20" t="str">
        <f t="shared" si="95"/>
        <v>MBR-WB-B40-SKIRTING</v>
      </c>
      <c r="Y350" s="7">
        <f t="shared" si="93"/>
        <v>7.2666666666666666</v>
      </c>
      <c r="AA350"/>
      <c r="AE350"/>
    </row>
    <row r="351" spans="1:31" x14ac:dyDescent="0.3">
      <c r="A351" s="4">
        <f t="shared" si="96"/>
        <v>346</v>
      </c>
      <c r="B351" s="39"/>
      <c r="C351" s="103" t="s">
        <v>44</v>
      </c>
      <c r="D351" s="104"/>
      <c r="E351" s="105"/>
      <c r="F351" s="17" t="s">
        <v>45</v>
      </c>
      <c r="G351" s="39">
        <f>2400</f>
        <v>2400</v>
      </c>
      <c r="H351" s="39">
        <v>100</v>
      </c>
      <c r="I351" s="39">
        <v>5</v>
      </c>
      <c r="J351" s="62" t="s">
        <v>34</v>
      </c>
      <c r="K351" s="17" t="s">
        <v>15</v>
      </c>
      <c r="L351" s="39"/>
      <c r="M351" s="39">
        <v>1</v>
      </c>
      <c r="N351" s="39">
        <v>1</v>
      </c>
      <c r="O351" s="39">
        <v>1</v>
      </c>
      <c r="P351" s="39">
        <v>1</v>
      </c>
      <c r="Q351" s="4"/>
      <c r="R351" s="6">
        <f t="shared" si="94"/>
        <v>83.333333333333329</v>
      </c>
      <c r="S351" s="6">
        <f>R351</f>
        <v>83.333333333333329</v>
      </c>
      <c r="T351" s="65"/>
      <c r="U351" s="65"/>
      <c r="V351" s="65"/>
      <c r="W351" s="74" t="s">
        <v>185</v>
      </c>
      <c r="X351" s="20" t="str">
        <f t="shared" si="95"/>
        <v>MBR-WB-B40-LOFT FRAMES</v>
      </c>
      <c r="Y351" s="7">
        <f t="shared" si="93"/>
        <v>83.333333333333329</v>
      </c>
      <c r="AA351"/>
      <c r="AE351"/>
    </row>
    <row r="352" spans="1:31" x14ac:dyDescent="0.3">
      <c r="A352" s="4">
        <f t="shared" si="96"/>
        <v>347</v>
      </c>
      <c r="B352" s="39"/>
      <c r="C352" s="39"/>
      <c r="D352" s="39"/>
      <c r="E352" s="39"/>
      <c r="F352" s="17" t="s">
        <v>46</v>
      </c>
      <c r="G352" s="39">
        <f>2400</f>
        <v>2400</v>
      </c>
      <c r="H352" s="39">
        <v>100</v>
      </c>
      <c r="I352" s="39">
        <v>1</v>
      </c>
      <c r="J352" s="81" t="s">
        <v>140</v>
      </c>
      <c r="K352" s="39" t="s">
        <v>15</v>
      </c>
      <c r="L352" s="39"/>
      <c r="M352" s="39">
        <v>3</v>
      </c>
      <c r="N352" s="39">
        <v>3</v>
      </c>
      <c r="O352" s="39">
        <v>3</v>
      </c>
      <c r="P352" s="39">
        <v>3</v>
      </c>
      <c r="Q352" s="4"/>
      <c r="R352" s="6">
        <f t="shared" si="94"/>
        <v>16.666666666666668</v>
      </c>
      <c r="S352" s="65"/>
      <c r="T352" s="6">
        <f t="shared" ref="T352:T359" si="102">R352</f>
        <v>16.666666666666668</v>
      </c>
      <c r="U352" s="65"/>
      <c r="V352" s="65"/>
      <c r="W352" s="74" t="s">
        <v>185</v>
      </c>
      <c r="X352" s="20" t="str">
        <f t="shared" si="95"/>
        <v>MBR-WB-B40-LOFT FILLERS</v>
      </c>
      <c r="Y352" s="7">
        <f t="shared" si="93"/>
        <v>16.666666666666668</v>
      </c>
      <c r="AA352"/>
      <c r="AE352"/>
    </row>
    <row r="353" spans="1:31" x14ac:dyDescent="0.3">
      <c r="A353" s="4">
        <f t="shared" si="96"/>
        <v>348</v>
      </c>
      <c r="B353" s="39"/>
      <c r="C353" s="39"/>
      <c r="D353" s="39"/>
      <c r="E353" s="39"/>
      <c r="F353" s="17" t="s">
        <v>46</v>
      </c>
      <c r="G353" s="39">
        <v>900</v>
      </c>
      <c r="H353" s="39">
        <v>100</v>
      </c>
      <c r="I353" s="39">
        <v>1</v>
      </c>
      <c r="J353" s="81" t="s">
        <v>140</v>
      </c>
      <c r="K353" s="39" t="s">
        <v>15</v>
      </c>
      <c r="L353" s="39"/>
      <c r="M353" s="39">
        <v>3</v>
      </c>
      <c r="N353" s="39">
        <v>3</v>
      </c>
      <c r="O353" s="39">
        <v>3</v>
      </c>
      <c r="P353" s="39">
        <v>3</v>
      </c>
      <c r="Q353" s="4"/>
      <c r="R353" s="6">
        <f t="shared" si="94"/>
        <v>6.666666666666667</v>
      </c>
      <c r="S353" s="65"/>
      <c r="T353" s="6">
        <f t="shared" si="102"/>
        <v>6.666666666666667</v>
      </c>
      <c r="U353" s="65"/>
      <c r="V353" s="65"/>
      <c r="W353" s="74" t="s">
        <v>185</v>
      </c>
      <c r="X353" s="20" t="str">
        <f t="shared" si="95"/>
        <v>MBR-WB-B40-LOFT FILLERS</v>
      </c>
      <c r="Y353" s="7">
        <f t="shared" si="93"/>
        <v>6.666666666666667</v>
      </c>
      <c r="AA353"/>
      <c r="AE353"/>
    </row>
    <row r="354" spans="1:31" x14ac:dyDescent="0.3">
      <c r="A354" s="4">
        <f t="shared" si="96"/>
        <v>349</v>
      </c>
      <c r="B354" s="39"/>
      <c r="C354" s="39"/>
      <c r="D354" s="39"/>
      <c r="E354" s="39"/>
      <c r="F354" s="17" t="s">
        <v>47</v>
      </c>
      <c r="G354" s="39">
        <v>700</v>
      </c>
      <c r="H354" s="39">
        <f>600</f>
        <v>600</v>
      </c>
      <c r="I354" s="39">
        <v>1</v>
      </c>
      <c r="J354" s="81" t="s">
        <v>140</v>
      </c>
      <c r="K354" s="39" t="s">
        <v>15</v>
      </c>
      <c r="L354" s="39"/>
      <c r="M354" s="39">
        <v>3</v>
      </c>
      <c r="N354" s="39">
        <v>3</v>
      </c>
      <c r="O354" s="39">
        <v>3</v>
      </c>
      <c r="P354" s="39">
        <v>3</v>
      </c>
      <c r="Q354" s="4"/>
      <c r="R354" s="6">
        <f t="shared" si="94"/>
        <v>8.6666666666666661</v>
      </c>
      <c r="S354" s="65"/>
      <c r="T354" s="6">
        <f t="shared" si="102"/>
        <v>8.6666666666666661</v>
      </c>
      <c r="U354" s="65"/>
      <c r="V354" s="65"/>
      <c r="W354" s="74" t="s">
        <v>185</v>
      </c>
      <c r="X354" s="20" t="str">
        <f t="shared" si="95"/>
        <v>MBR-WB-B40-LOFT END PANEL</v>
      </c>
      <c r="Y354" s="7">
        <f t="shared" si="93"/>
        <v>8.6666666666666661</v>
      </c>
      <c r="AA354"/>
      <c r="AE354"/>
    </row>
    <row r="355" spans="1:31" x14ac:dyDescent="0.3">
      <c r="A355" s="4">
        <f t="shared" si="96"/>
        <v>350</v>
      </c>
      <c r="B355" s="39"/>
      <c r="C355" s="39"/>
      <c r="D355" s="39"/>
      <c r="E355" s="39"/>
      <c r="F355" s="17" t="s">
        <v>48</v>
      </c>
      <c r="G355" s="39">
        <f>520-2</f>
        <v>518</v>
      </c>
      <c r="H355" s="39">
        <f>490-2</f>
        <v>488</v>
      </c>
      <c r="I355" s="39">
        <v>3</v>
      </c>
      <c r="J355" s="83" t="s">
        <v>143</v>
      </c>
      <c r="K355" s="39" t="s">
        <v>15</v>
      </c>
      <c r="L355" s="39"/>
      <c r="M355" s="39">
        <v>3</v>
      </c>
      <c r="N355" s="39">
        <v>3</v>
      </c>
      <c r="O355" s="39">
        <v>3</v>
      </c>
      <c r="P355" s="39">
        <v>3</v>
      </c>
      <c r="Q355" s="4"/>
      <c r="R355" s="6">
        <f t="shared" si="94"/>
        <v>20.12</v>
      </c>
      <c r="S355" s="65"/>
      <c r="T355" s="6">
        <f t="shared" si="102"/>
        <v>20.12</v>
      </c>
      <c r="U355" s="65"/>
      <c r="V355" s="65"/>
      <c r="W355" s="74" t="s">
        <v>185</v>
      </c>
      <c r="X355" s="20" t="str">
        <f t="shared" si="95"/>
        <v>MBR-WB-B40-LOFT SHUTTERS</v>
      </c>
      <c r="Y355" s="7">
        <f t="shared" si="93"/>
        <v>20.12</v>
      </c>
      <c r="AA355"/>
      <c r="AE355"/>
    </row>
    <row r="356" spans="1:31" x14ac:dyDescent="0.3">
      <c r="A356" s="4">
        <f t="shared" si="96"/>
        <v>351</v>
      </c>
      <c r="B356" s="39"/>
      <c r="C356" s="39"/>
      <c r="D356" s="39"/>
      <c r="E356" s="39"/>
      <c r="F356" s="17" t="s">
        <v>48</v>
      </c>
      <c r="G356" s="39">
        <f>520-2</f>
        <v>518</v>
      </c>
      <c r="H356" s="39">
        <f>490-2</f>
        <v>488</v>
      </c>
      <c r="I356" s="39">
        <v>2</v>
      </c>
      <c r="J356" s="61" t="s">
        <v>148</v>
      </c>
      <c r="K356" s="39" t="s">
        <v>15</v>
      </c>
      <c r="L356" s="39"/>
      <c r="M356" s="39">
        <v>3</v>
      </c>
      <c r="N356" s="39">
        <v>3</v>
      </c>
      <c r="O356" s="39">
        <v>3</v>
      </c>
      <c r="P356" s="39">
        <v>3</v>
      </c>
      <c r="Q356" s="4"/>
      <c r="R356" s="6">
        <f t="shared" si="94"/>
        <v>13.413333333333334</v>
      </c>
      <c r="S356" s="65"/>
      <c r="T356" s="6">
        <f t="shared" si="102"/>
        <v>13.413333333333334</v>
      </c>
      <c r="U356" s="65"/>
      <c r="V356" s="65"/>
      <c r="W356" s="74" t="s">
        <v>185</v>
      </c>
      <c r="X356" s="20" t="str">
        <f t="shared" si="95"/>
        <v>MBR-WB-B40-LOFT SHUTTERS</v>
      </c>
      <c r="Y356" s="7">
        <f t="shared" si="93"/>
        <v>13.413333333333334</v>
      </c>
      <c r="AA356"/>
      <c r="AE356"/>
    </row>
    <row r="357" spans="1:31" x14ac:dyDescent="0.3">
      <c r="A357" s="4">
        <f t="shared" si="96"/>
        <v>352</v>
      </c>
      <c r="B357" s="23" t="s">
        <v>200</v>
      </c>
      <c r="C357" s="23">
        <v>450</v>
      </c>
      <c r="D357" s="23">
        <v>450</v>
      </c>
      <c r="E357" s="23">
        <v>430</v>
      </c>
      <c r="F357" s="17" t="s">
        <v>28</v>
      </c>
      <c r="G357" s="39">
        <f>C357-18</f>
        <v>432</v>
      </c>
      <c r="H357" s="39">
        <f>E357</f>
        <v>430</v>
      </c>
      <c r="I357" s="39">
        <v>1</v>
      </c>
      <c r="J357" s="81" t="s">
        <v>144</v>
      </c>
      <c r="K357" s="39" t="s">
        <v>15</v>
      </c>
      <c r="L357" s="39"/>
      <c r="M357" s="39">
        <v>3</v>
      </c>
      <c r="N357" s="39">
        <v>3</v>
      </c>
      <c r="O357" s="39">
        <v>3</v>
      </c>
      <c r="P357" s="39">
        <v>3</v>
      </c>
      <c r="Q357" s="4"/>
      <c r="R357" s="6">
        <f t="shared" si="94"/>
        <v>5.746666666666667</v>
      </c>
      <c r="S357" s="65"/>
      <c r="T357" s="6">
        <f t="shared" si="102"/>
        <v>5.746666666666667</v>
      </c>
      <c r="U357" s="65"/>
      <c r="V357" s="65"/>
      <c r="W357" s="74" t="s">
        <v>200</v>
      </c>
      <c r="X357" s="20" t="str">
        <f t="shared" si="95"/>
        <v>MBR-BED SIDE-B41-LHS</v>
      </c>
      <c r="Y357" s="7">
        <f t="shared" si="93"/>
        <v>5.746666666666667</v>
      </c>
      <c r="AA357"/>
      <c r="AE357"/>
    </row>
    <row r="358" spans="1:31" x14ac:dyDescent="0.3">
      <c r="A358" s="4">
        <f t="shared" si="96"/>
        <v>353</v>
      </c>
      <c r="B358" s="39"/>
      <c r="C358" s="39"/>
      <c r="D358" s="39"/>
      <c r="E358" s="39"/>
      <c r="F358" s="17" t="s">
        <v>29</v>
      </c>
      <c r="G358" s="39">
        <f>G357</f>
        <v>432</v>
      </c>
      <c r="H358" s="39">
        <f>H357</f>
        <v>430</v>
      </c>
      <c r="I358" s="39">
        <v>1</v>
      </c>
      <c r="J358" s="81" t="s">
        <v>144</v>
      </c>
      <c r="K358" s="39" t="s">
        <v>15</v>
      </c>
      <c r="L358" s="39"/>
      <c r="M358" s="39">
        <v>3</v>
      </c>
      <c r="N358" s="39">
        <v>3</v>
      </c>
      <c r="O358" s="39">
        <v>3</v>
      </c>
      <c r="P358" s="39">
        <v>3</v>
      </c>
      <c r="Q358" s="4"/>
      <c r="R358" s="6">
        <f t="shared" si="94"/>
        <v>5.746666666666667</v>
      </c>
      <c r="S358" s="65"/>
      <c r="T358" s="6">
        <f t="shared" si="102"/>
        <v>5.746666666666667</v>
      </c>
      <c r="U358" s="65"/>
      <c r="V358" s="65"/>
      <c r="W358" s="74" t="s">
        <v>200</v>
      </c>
      <c r="X358" s="20" t="str">
        <f t="shared" si="95"/>
        <v>MBR-BED SIDE-B41-RHS</v>
      </c>
      <c r="Y358" s="7">
        <f t="shared" si="93"/>
        <v>5.746666666666667</v>
      </c>
      <c r="AA358"/>
      <c r="AE358"/>
    </row>
    <row r="359" spans="1:31" x14ac:dyDescent="0.3">
      <c r="A359" s="4">
        <f t="shared" si="96"/>
        <v>354</v>
      </c>
      <c r="B359" s="39"/>
      <c r="C359" s="39"/>
      <c r="D359" s="39"/>
      <c r="E359" s="39"/>
      <c r="F359" s="40" t="s">
        <v>30</v>
      </c>
      <c r="G359" s="38">
        <f>D357</f>
        <v>450</v>
      </c>
      <c r="H359" s="38">
        <f>E357+20</f>
        <v>450</v>
      </c>
      <c r="I359" s="39">
        <v>1</v>
      </c>
      <c r="J359" s="80" t="s">
        <v>145</v>
      </c>
      <c r="K359" s="39" t="s">
        <v>15</v>
      </c>
      <c r="L359" s="39"/>
      <c r="M359" s="39">
        <v>3</v>
      </c>
      <c r="N359" s="39">
        <v>3</v>
      </c>
      <c r="O359" s="39">
        <v>3</v>
      </c>
      <c r="P359" s="39">
        <v>3</v>
      </c>
      <c r="Q359" s="4"/>
      <c r="R359" s="6">
        <f t="shared" si="94"/>
        <v>6</v>
      </c>
      <c r="S359" s="65"/>
      <c r="T359" s="6">
        <f t="shared" si="102"/>
        <v>6</v>
      </c>
      <c r="U359" s="65"/>
      <c r="V359" s="65"/>
      <c r="W359" s="74" t="s">
        <v>200</v>
      </c>
      <c r="X359" s="20" t="str">
        <f t="shared" si="95"/>
        <v>MBR-BED SIDE-B41-TOP</v>
      </c>
      <c r="Y359" s="7">
        <f t="shared" si="93"/>
        <v>6</v>
      </c>
      <c r="AA359"/>
      <c r="AE359"/>
    </row>
    <row r="360" spans="1:31" x14ac:dyDescent="0.3">
      <c r="A360" s="4">
        <f t="shared" si="96"/>
        <v>355</v>
      </c>
      <c r="B360" s="39"/>
      <c r="C360" s="39" t="s">
        <v>25</v>
      </c>
      <c r="D360" s="39"/>
      <c r="E360" s="39"/>
      <c r="F360" s="17" t="s">
        <v>31</v>
      </c>
      <c r="G360" s="39">
        <f>D357-36</f>
        <v>414</v>
      </c>
      <c r="H360" s="39">
        <f>E357</f>
        <v>430</v>
      </c>
      <c r="I360" s="39">
        <v>1</v>
      </c>
      <c r="J360" s="62" t="s">
        <v>34</v>
      </c>
      <c r="K360" s="17" t="s">
        <v>15</v>
      </c>
      <c r="L360" s="39"/>
      <c r="M360" s="39">
        <v>1</v>
      </c>
      <c r="N360" s="39">
        <v>1</v>
      </c>
      <c r="O360" s="39">
        <v>1</v>
      </c>
      <c r="P360" s="39">
        <v>1</v>
      </c>
      <c r="Q360" s="4"/>
      <c r="R360" s="6">
        <f t="shared" si="94"/>
        <v>5.6266666666666669</v>
      </c>
      <c r="S360" s="6">
        <f>R360</f>
        <v>5.6266666666666669</v>
      </c>
      <c r="T360" s="65"/>
      <c r="U360" s="65"/>
      <c r="V360" s="65"/>
      <c r="W360" s="74" t="s">
        <v>200</v>
      </c>
      <c r="X360" s="20" t="str">
        <f t="shared" si="95"/>
        <v>MBR-BED SIDE-B41-BTM</v>
      </c>
      <c r="Y360" s="7">
        <f t="shared" si="93"/>
        <v>5.6266666666666669</v>
      </c>
      <c r="AA360"/>
      <c r="AE360"/>
    </row>
    <row r="361" spans="1:31" x14ac:dyDescent="0.3">
      <c r="A361" s="4">
        <f t="shared" si="96"/>
        <v>356</v>
      </c>
      <c r="B361" s="39"/>
      <c r="C361" s="39"/>
      <c r="D361" s="39"/>
      <c r="E361" s="39"/>
      <c r="F361" s="17" t="s">
        <v>32</v>
      </c>
      <c r="G361" s="39">
        <f>C357-80-36+16</f>
        <v>350</v>
      </c>
      <c r="H361" s="39">
        <f>D357-36+16</f>
        <v>430</v>
      </c>
      <c r="I361" s="39">
        <v>1</v>
      </c>
      <c r="J361" s="81" t="s">
        <v>146</v>
      </c>
      <c r="K361" s="39" t="s">
        <v>15</v>
      </c>
      <c r="L361" s="39"/>
      <c r="M361" s="39"/>
      <c r="N361" s="39"/>
      <c r="O361" s="39"/>
      <c r="P361" s="39"/>
      <c r="Q361" s="4"/>
      <c r="R361" s="6">
        <f t="shared" si="94"/>
        <v>5.2</v>
      </c>
      <c r="S361" s="65"/>
      <c r="T361" s="65"/>
      <c r="U361" s="65"/>
      <c r="V361" s="65"/>
      <c r="W361" s="74" t="s">
        <v>200</v>
      </c>
      <c r="X361" s="20" t="str">
        <f t="shared" si="95"/>
        <v>MBR-BED SIDE-B41-BACK UP</v>
      </c>
      <c r="Y361" s="7">
        <f t="shared" si="93"/>
        <v>5.2</v>
      </c>
      <c r="AA361"/>
      <c r="AE361"/>
    </row>
    <row r="362" spans="1:31" x14ac:dyDescent="0.3">
      <c r="A362" s="4">
        <f t="shared" si="96"/>
        <v>357</v>
      </c>
      <c r="B362" s="39"/>
      <c r="C362" s="39"/>
      <c r="D362" s="39"/>
      <c r="E362" s="39"/>
      <c r="F362" s="17" t="s">
        <v>38</v>
      </c>
      <c r="G362" s="39">
        <f>D357-36</f>
        <v>414</v>
      </c>
      <c r="H362" s="39">
        <f>E357-20</f>
        <v>410</v>
      </c>
      <c r="I362" s="39">
        <v>1</v>
      </c>
      <c r="J362" s="81" t="s">
        <v>140</v>
      </c>
      <c r="K362" s="39" t="s">
        <v>15</v>
      </c>
      <c r="L362" s="39"/>
      <c r="M362" s="39">
        <v>3</v>
      </c>
      <c r="N362" s="39">
        <v>3</v>
      </c>
      <c r="O362" s="39">
        <v>3</v>
      </c>
      <c r="P362" s="39">
        <v>3</v>
      </c>
      <c r="Q362" s="4"/>
      <c r="R362" s="6">
        <f t="shared" si="94"/>
        <v>5.4933333333333332</v>
      </c>
      <c r="S362" s="65"/>
      <c r="T362" s="6">
        <f>R362</f>
        <v>5.4933333333333332</v>
      </c>
      <c r="U362" s="65"/>
      <c r="V362" s="65"/>
      <c r="W362" s="74" t="s">
        <v>200</v>
      </c>
      <c r="X362" s="20" t="str">
        <f t="shared" si="95"/>
        <v>MBR-BED SIDE-B41-Fshelf</v>
      </c>
      <c r="Y362" s="7">
        <f t="shared" si="93"/>
        <v>5.4933333333333332</v>
      </c>
      <c r="AA362"/>
      <c r="AE362"/>
    </row>
    <row r="363" spans="1:31" x14ac:dyDescent="0.3">
      <c r="A363" s="4">
        <f t="shared" si="96"/>
        <v>358</v>
      </c>
      <c r="B363" s="4"/>
      <c r="C363" s="4"/>
      <c r="D363" s="4"/>
      <c r="E363" s="4"/>
      <c r="F363" s="17" t="s">
        <v>39</v>
      </c>
      <c r="G363" s="39">
        <f>150</f>
        <v>150</v>
      </c>
      <c r="H363" s="39">
        <v>350</v>
      </c>
      <c r="I363" s="39">
        <v>2</v>
      </c>
      <c r="J363" s="62" t="s">
        <v>34</v>
      </c>
      <c r="K363" s="17" t="s">
        <v>15</v>
      </c>
      <c r="L363" s="39"/>
      <c r="M363" s="39">
        <v>1</v>
      </c>
      <c r="N363" s="39">
        <v>1</v>
      </c>
      <c r="O363" s="39">
        <v>1</v>
      </c>
      <c r="P363" s="39">
        <v>1</v>
      </c>
      <c r="Q363" s="4"/>
      <c r="R363" s="6">
        <f t="shared" si="94"/>
        <v>6.666666666666667</v>
      </c>
      <c r="S363" s="6">
        <f t="shared" ref="S363:S364" si="103">R363</f>
        <v>6.666666666666667</v>
      </c>
      <c r="T363" s="65"/>
      <c r="U363" s="65"/>
      <c r="V363" s="65"/>
      <c r="W363" s="74" t="s">
        <v>200</v>
      </c>
      <c r="X363" s="20" t="str">
        <f t="shared" si="95"/>
        <v>MBR-BED SIDE-B41-DR SIDES</v>
      </c>
      <c r="Y363" s="7">
        <f t="shared" si="93"/>
        <v>6.666666666666667</v>
      </c>
      <c r="AA363"/>
      <c r="AE363"/>
    </row>
    <row r="364" spans="1:31" x14ac:dyDescent="0.3">
      <c r="A364" s="4">
        <f t="shared" si="96"/>
        <v>359</v>
      </c>
      <c r="B364" s="4"/>
      <c r="C364" s="4"/>
      <c r="D364" s="4"/>
      <c r="E364" s="4"/>
      <c r="F364" s="17" t="s">
        <v>40</v>
      </c>
      <c r="G364" s="39">
        <f>G363</f>
        <v>150</v>
      </c>
      <c r="H364" s="39">
        <f>D357-36-26-36</f>
        <v>352</v>
      </c>
      <c r="I364" s="39">
        <v>2</v>
      </c>
      <c r="J364" s="62" t="s">
        <v>34</v>
      </c>
      <c r="K364" s="17" t="s">
        <v>15</v>
      </c>
      <c r="L364" s="39"/>
      <c r="M364" s="39">
        <v>1</v>
      </c>
      <c r="N364" s="39">
        <v>1</v>
      </c>
      <c r="O364" s="39">
        <v>1</v>
      </c>
      <c r="P364" s="39">
        <v>1</v>
      </c>
      <c r="Q364" s="4"/>
      <c r="R364" s="6">
        <f t="shared" si="94"/>
        <v>6.6933333333333334</v>
      </c>
      <c r="S364" s="6">
        <f t="shared" si="103"/>
        <v>6.6933333333333334</v>
      </c>
      <c r="T364" s="65"/>
      <c r="U364" s="65"/>
      <c r="V364" s="65"/>
      <c r="W364" s="74" t="s">
        <v>200</v>
      </c>
      <c r="X364" s="20" t="str">
        <f t="shared" si="95"/>
        <v>MBR-BED SIDE-B41-DR F/B</v>
      </c>
      <c r="Y364" s="7">
        <f t="shared" si="93"/>
        <v>6.6933333333333334</v>
      </c>
      <c r="AA364"/>
      <c r="AE364"/>
    </row>
    <row r="365" spans="1:31" x14ac:dyDescent="0.3">
      <c r="A365" s="4">
        <f t="shared" si="96"/>
        <v>360</v>
      </c>
      <c r="B365" s="4"/>
      <c r="C365" s="4"/>
      <c r="D365" s="4"/>
      <c r="E365" s="4"/>
      <c r="F365" s="17" t="s">
        <v>41</v>
      </c>
      <c r="G365" s="39">
        <f>H363-36+16</f>
        <v>330</v>
      </c>
      <c r="H365" s="39">
        <f>H364+16</f>
        <v>368</v>
      </c>
      <c r="I365" s="39">
        <v>1</v>
      </c>
      <c r="J365" s="62" t="s">
        <v>35</v>
      </c>
      <c r="K365" s="17" t="s">
        <v>15</v>
      </c>
      <c r="L365" s="39"/>
      <c r="M365" s="39"/>
      <c r="N365" s="39"/>
      <c r="O365" s="39"/>
      <c r="P365" s="39"/>
      <c r="Q365" s="4"/>
      <c r="R365" s="6">
        <f t="shared" si="94"/>
        <v>4.6533333333333333</v>
      </c>
      <c r="S365" s="65"/>
      <c r="T365" s="65"/>
      <c r="U365" s="65"/>
      <c r="V365" s="65"/>
      <c r="W365" s="74" t="s">
        <v>200</v>
      </c>
      <c r="X365" s="20" t="str">
        <f t="shared" si="95"/>
        <v>MBR-BED SIDE-B41-DR BACK UP</v>
      </c>
      <c r="Y365" s="7">
        <f t="shared" si="93"/>
        <v>4.6533333333333333</v>
      </c>
      <c r="AA365"/>
      <c r="AE365"/>
    </row>
    <row r="366" spans="1:31" x14ac:dyDescent="0.3">
      <c r="A366" s="4">
        <f t="shared" si="96"/>
        <v>361</v>
      </c>
      <c r="B366" s="4"/>
      <c r="C366" s="4"/>
      <c r="D366" s="4"/>
      <c r="E366" s="4"/>
      <c r="F366" s="17" t="s">
        <v>42</v>
      </c>
      <c r="G366" s="39">
        <f>C357-18-150-80-2</f>
        <v>200</v>
      </c>
      <c r="H366" s="39">
        <f>D357-2</f>
        <v>448</v>
      </c>
      <c r="I366" s="39">
        <v>1</v>
      </c>
      <c r="J366" s="83" t="s">
        <v>143</v>
      </c>
      <c r="K366" s="39" t="s">
        <v>15</v>
      </c>
      <c r="L366" s="39"/>
      <c r="M366" s="39">
        <v>3</v>
      </c>
      <c r="N366" s="39">
        <v>3</v>
      </c>
      <c r="O366" s="39">
        <v>3</v>
      </c>
      <c r="P366" s="39">
        <v>3</v>
      </c>
      <c r="Q366" s="4"/>
      <c r="R366" s="6">
        <f t="shared" si="94"/>
        <v>4.32</v>
      </c>
      <c r="S366" s="65"/>
      <c r="T366" s="6">
        <f t="shared" ref="T366:T368" si="104">R366</f>
        <v>4.32</v>
      </c>
      <c r="U366" s="65"/>
      <c r="V366" s="65"/>
      <c r="W366" s="74" t="s">
        <v>200</v>
      </c>
      <c r="X366" s="20" t="str">
        <f t="shared" si="95"/>
        <v>MBR-BED SIDE-B41-DR FACIA</v>
      </c>
      <c r="Y366" s="7">
        <f t="shared" si="93"/>
        <v>4.32</v>
      </c>
      <c r="AA366"/>
      <c r="AE366"/>
    </row>
    <row r="367" spans="1:31" x14ac:dyDescent="0.3">
      <c r="A367" s="4">
        <f t="shared" si="96"/>
        <v>362</v>
      </c>
      <c r="B367" s="4"/>
      <c r="C367" s="4"/>
      <c r="D367" s="4"/>
      <c r="E367" s="4"/>
      <c r="F367" s="17" t="s">
        <v>49</v>
      </c>
      <c r="G367" s="36">
        <v>80</v>
      </c>
      <c r="H367" s="39">
        <f>D357</f>
        <v>450</v>
      </c>
      <c r="I367" s="39">
        <v>1</v>
      </c>
      <c r="J367" s="81" t="s">
        <v>140</v>
      </c>
      <c r="K367" s="39" t="s">
        <v>15</v>
      </c>
      <c r="L367" s="39"/>
      <c r="M367" s="39">
        <v>3</v>
      </c>
      <c r="N367" s="39">
        <v>3</v>
      </c>
      <c r="O367" s="39">
        <v>3</v>
      </c>
      <c r="P367" s="39">
        <v>3</v>
      </c>
      <c r="Q367" s="4"/>
      <c r="R367" s="6">
        <f t="shared" si="94"/>
        <v>3.5333333333333332</v>
      </c>
      <c r="S367" s="65"/>
      <c r="T367" s="6">
        <f t="shared" si="104"/>
        <v>3.5333333333333332</v>
      </c>
      <c r="U367" s="65"/>
      <c r="V367" s="65"/>
      <c r="W367" s="74" t="s">
        <v>200</v>
      </c>
      <c r="X367" s="20" t="str">
        <f t="shared" si="95"/>
        <v>MBR-BED SIDE-B41-SKIRTING</v>
      </c>
      <c r="Y367" s="7">
        <f t="shared" si="93"/>
        <v>3.5333333333333332</v>
      </c>
      <c r="AA367"/>
      <c r="AE367"/>
    </row>
    <row r="368" spans="1:31" x14ac:dyDescent="0.3">
      <c r="A368" s="4">
        <f t="shared" si="96"/>
        <v>363</v>
      </c>
      <c r="B368" s="23" t="s">
        <v>201</v>
      </c>
      <c r="C368" s="23">
        <f>400+110-18</f>
        <v>492</v>
      </c>
      <c r="D368" s="23">
        <f>500+500+500+500</f>
        <v>2000</v>
      </c>
      <c r="E368" s="23">
        <v>430</v>
      </c>
      <c r="F368" s="17" t="s">
        <v>28</v>
      </c>
      <c r="G368" s="39">
        <f>C368</f>
        <v>492</v>
      </c>
      <c r="H368" s="39">
        <f>E368</f>
        <v>430</v>
      </c>
      <c r="I368" s="39">
        <v>1</v>
      </c>
      <c r="J368" s="81" t="s">
        <v>140</v>
      </c>
      <c r="K368" s="39" t="s">
        <v>15</v>
      </c>
      <c r="L368" s="39"/>
      <c r="M368" s="39">
        <v>3</v>
      </c>
      <c r="N368" s="39">
        <v>3</v>
      </c>
      <c r="O368" s="39">
        <v>3</v>
      </c>
      <c r="P368" s="39">
        <v>3</v>
      </c>
      <c r="Q368" s="4"/>
      <c r="R368" s="6">
        <f t="shared" si="94"/>
        <v>6.1466666666666665</v>
      </c>
      <c r="S368" s="65"/>
      <c r="T368" s="6">
        <f t="shared" si="104"/>
        <v>6.1466666666666665</v>
      </c>
      <c r="U368" s="65"/>
      <c r="V368" s="65"/>
      <c r="W368" s="74" t="s">
        <v>201</v>
      </c>
      <c r="X368" s="20" t="str">
        <f t="shared" si="95"/>
        <v>MBR-SITOUT-B42-LHS</v>
      </c>
      <c r="Y368" s="7">
        <f t="shared" si="93"/>
        <v>6.1466666666666665</v>
      </c>
      <c r="AA368"/>
      <c r="AE368"/>
    </row>
    <row r="369" spans="1:31" x14ac:dyDescent="0.3">
      <c r="A369" s="4">
        <f t="shared" si="96"/>
        <v>364</v>
      </c>
      <c r="B369" s="39"/>
      <c r="C369" s="39"/>
      <c r="D369" s="39"/>
      <c r="E369" s="39"/>
      <c r="F369" s="17" t="s">
        <v>29</v>
      </c>
      <c r="G369" s="39">
        <f>G368</f>
        <v>492</v>
      </c>
      <c r="H369" s="39">
        <f>H368</f>
        <v>430</v>
      </c>
      <c r="I369" s="39">
        <v>1</v>
      </c>
      <c r="J369" s="62" t="s">
        <v>34</v>
      </c>
      <c r="K369" s="17" t="s">
        <v>15</v>
      </c>
      <c r="L369" s="39"/>
      <c r="M369" s="39">
        <v>1</v>
      </c>
      <c r="N369" s="39">
        <v>1</v>
      </c>
      <c r="O369" s="39">
        <v>1</v>
      </c>
      <c r="P369" s="39">
        <v>1</v>
      </c>
      <c r="Q369" s="4"/>
      <c r="R369" s="6">
        <f t="shared" si="94"/>
        <v>6.1466666666666665</v>
      </c>
      <c r="S369" s="6">
        <f t="shared" ref="S369:S371" si="105">R369</f>
        <v>6.1466666666666665</v>
      </c>
      <c r="T369" s="65"/>
      <c r="U369" s="65"/>
      <c r="V369" s="65"/>
      <c r="W369" s="74" t="s">
        <v>201</v>
      </c>
      <c r="X369" s="20" t="str">
        <f t="shared" si="95"/>
        <v>MBR-SITOUT-B42-RHS</v>
      </c>
      <c r="Y369" s="7">
        <f t="shared" si="93"/>
        <v>6.1466666666666665</v>
      </c>
      <c r="AA369"/>
      <c r="AE369"/>
    </row>
    <row r="370" spans="1:31" x14ac:dyDescent="0.3">
      <c r="A370" s="4">
        <f t="shared" si="96"/>
        <v>365</v>
      </c>
      <c r="B370" s="39"/>
      <c r="C370" s="103" t="s">
        <v>50</v>
      </c>
      <c r="D370" s="104"/>
      <c r="E370" s="105"/>
      <c r="F370" s="17" t="s">
        <v>30</v>
      </c>
      <c r="G370" s="39">
        <f>D368-36</f>
        <v>1964</v>
      </c>
      <c r="H370" s="36">
        <f>E368-26</f>
        <v>404</v>
      </c>
      <c r="I370" s="39">
        <v>1</v>
      </c>
      <c r="J370" s="62" t="s">
        <v>34</v>
      </c>
      <c r="K370" s="17" t="s">
        <v>15</v>
      </c>
      <c r="L370" s="39"/>
      <c r="M370" s="39">
        <v>1</v>
      </c>
      <c r="N370" s="39">
        <v>1</v>
      </c>
      <c r="O370" s="39">
        <v>1</v>
      </c>
      <c r="P370" s="39">
        <v>1</v>
      </c>
      <c r="Q370" s="4"/>
      <c r="R370" s="6">
        <f t="shared" si="94"/>
        <v>15.786666666666667</v>
      </c>
      <c r="S370" s="6">
        <f t="shared" si="105"/>
        <v>15.786666666666667</v>
      </c>
      <c r="T370" s="65"/>
      <c r="U370" s="65"/>
      <c r="V370" s="65"/>
      <c r="W370" s="74" t="s">
        <v>201</v>
      </c>
      <c r="X370" s="20" t="str">
        <f t="shared" si="95"/>
        <v>MBR-SITOUT-B42-TOP</v>
      </c>
      <c r="Y370" s="7">
        <f t="shared" si="93"/>
        <v>15.786666666666667</v>
      </c>
      <c r="AA370"/>
      <c r="AE370"/>
    </row>
    <row r="371" spans="1:31" x14ac:dyDescent="0.3">
      <c r="A371" s="4">
        <f t="shared" si="96"/>
        <v>366</v>
      </c>
      <c r="B371" s="39"/>
      <c r="C371" s="39" t="s">
        <v>25</v>
      </c>
      <c r="D371" s="39"/>
      <c r="E371" s="39"/>
      <c r="F371" s="17" t="s">
        <v>31</v>
      </c>
      <c r="G371" s="39">
        <f>G370</f>
        <v>1964</v>
      </c>
      <c r="H371" s="39">
        <f>E368</f>
        <v>430</v>
      </c>
      <c r="I371" s="39">
        <v>1</v>
      </c>
      <c r="J371" s="62" t="s">
        <v>34</v>
      </c>
      <c r="K371" s="17" t="s">
        <v>15</v>
      </c>
      <c r="L371" s="39"/>
      <c r="M371" s="39">
        <v>1</v>
      </c>
      <c r="N371" s="39">
        <v>1</v>
      </c>
      <c r="O371" s="39">
        <v>1</v>
      </c>
      <c r="P371" s="39">
        <v>1</v>
      </c>
      <c r="Q371" s="4"/>
      <c r="R371" s="6">
        <f t="shared" si="94"/>
        <v>15.96</v>
      </c>
      <c r="S371" s="6">
        <f t="shared" si="105"/>
        <v>15.96</v>
      </c>
      <c r="T371" s="65"/>
      <c r="U371" s="65"/>
      <c r="V371" s="65"/>
      <c r="W371" s="74" t="s">
        <v>201</v>
      </c>
      <c r="X371" s="20" t="str">
        <f t="shared" si="95"/>
        <v>MBR-SITOUT-B42-BTM</v>
      </c>
      <c r="Y371" s="7">
        <f t="shared" si="93"/>
        <v>15.96</v>
      </c>
      <c r="AA371"/>
      <c r="AE371"/>
    </row>
    <row r="372" spans="1:31" x14ac:dyDescent="0.3">
      <c r="A372" s="4">
        <f t="shared" si="96"/>
        <v>367</v>
      </c>
      <c r="B372" s="39"/>
      <c r="C372" s="39"/>
      <c r="D372" s="39"/>
      <c r="E372" s="39"/>
      <c r="F372" s="17" t="s">
        <v>32</v>
      </c>
      <c r="G372" s="39">
        <f>C368-110-36+16</f>
        <v>362</v>
      </c>
      <c r="H372" s="39">
        <f>D368-36+16</f>
        <v>1980</v>
      </c>
      <c r="I372" s="39">
        <v>1</v>
      </c>
      <c r="J372" s="62" t="s">
        <v>35</v>
      </c>
      <c r="K372" s="17" t="s">
        <v>15</v>
      </c>
      <c r="L372" s="39"/>
      <c r="M372" s="39"/>
      <c r="N372" s="39"/>
      <c r="O372" s="39"/>
      <c r="P372" s="39"/>
      <c r="Q372" s="4"/>
      <c r="R372" s="6">
        <f t="shared" si="94"/>
        <v>15.613333333333333</v>
      </c>
      <c r="S372" s="65"/>
      <c r="T372" s="65"/>
      <c r="U372" s="65"/>
      <c r="V372" s="65"/>
      <c r="W372" s="74" t="s">
        <v>201</v>
      </c>
      <c r="X372" s="20" t="str">
        <f t="shared" si="95"/>
        <v>MBR-SITOUT-B42-BACK UP</v>
      </c>
      <c r="Y372" s="7">
        <f t="shared" si="93"/>
        <v>15.613333333333333</v>
      </c>
      <c r="AA372"/>
      <c r="AE372"/>
    </row>
    <row r="373" spans="1:31" x14ac:dyDescent="0.3">
      <c r="A373" s="4">
        <f t="shared" si="96"/>
        <v>368</v>
      </c>
      <c r="B373" s="39"/>
      <c r="C373" s="39"/>
      <c r="D373" s="39"/>
      <c r="E373" s="39"/>
      <c r="F373" s="17" t="s">
        <v>43</v>
      </c>
      <c r="G373" s="39">
        <f>C368-110-36</f>
        <v>346</v>
      </c>
      <c r="H373" s="39">
        <f>E368-20</f>
        <v>410</v>
      </c>
      <c r="I373" s="39">
        <v>1</v>
      </c>
      <c r="J373" s="62" t="s">
        <v>34</v>
      </c>
      <c r="K373" s="17" t="s">
        <v>15</v>
      </c>
      <c r="L373" s="39"/>
      <c r="M373" s="39">
        <v>1</v>
      </c>
      <c r="N373" s="39">
        <v>1</v>
      </c>
      <c r="O373" s="39">
        <v>1</v>
      </c>
      <c r="P373" s="39">
        <v>1</v>
      </c>
      <c r="Q373" s="4"/>
      <c r="R373" s="6">
        <f t="shared" si="94"/>
        <v>5.04</v>
      </c>
      <c r="S373" s="6">
        <f>R373</f>
        <v>5.04</v>
      </c>
      <c r="T373" s="65"/>
      <c r="U373" s="65"/>
      <c r="V373" s="65"/>
      <c r="W373" s="74" t="s">
        <v>201</v>
      </c>
      <c r="X373" s="20" t="str">
        <f t="shared" si="95"/>
        <v>MBR-SITOUT-B42-C/V</v>
      </c>
      <c r="Y373" s="7">
        <f t="shared" si="93"/>
        <v>5.04</v>
      </c>
      <c r="AA373"/>
      <c r="AE373"/>
    </row>
    <row r="374" spans="1:31" x14ac:dyDescent="0.3">
      <c r="A374" s="4">
        <f t="shared" si="96"/>
        <v>369</v>
      </c>
      <c r="B374" s="4"/>
      <c r="C374" s="4"/>
      <c r="D374" s="4"/>
      <c r="E374" s="4"/>
      <c r="F374" s="17" t="s">
        <v>36</v>
      </c>
      <c r="G374" s="36">
        <f>C368-110-30</f>
        <v>352</v>
      </c>
      <c r="H374" s="39">
        <f>D368/4-2</f>
        <v>498</v>
      </c>
      <c r="I374" s="39">
        <v>4</v>
      </c>
      <c r="J374" s="83" t="s">
        <v>143</v>
      </c>
      <c r="K374" s="39" t="s">
        <v>15</v>
      </c>
      <c r="L374" s="39"/>
      <c r="M374" s="39">
        <v>3</v>
      </c>
      <c r="N374" s="39">
        <v>3</v>
      </c>
      <c r="O374" s="39">
        <v>3</v>
      </c>
      <c r="P374" s="39">
        <v>3</v>
      </c>
      <c r="Q374" s="4"/>
      <c r="R374" s="6">
        <f t="shared" si="94"/>
        <v>22.666666666666668</v>
      </c>
      <c r="S374" s="65"/>
      <c r="T374" s="6">
        <f t="shared" ref="T374:T378" si="106">R374</f>
        <v>22.666666666666668</v>
      </c>
      <c r="U374" s="65"/>
      <c r="V374" s="65"/>
      <c r="W374" s="74" t="s">
        <v>201</v>
      </c>
      <c r="X374" s="20" t="str">
        <f t="shared" si="95"/>
        <v>MBR-SITOUT-B42-SHUTTER</v>
      </c>
      <c r="Y374" s="7">
        <f t="shared" si="93"/>
        <v>22.666666666666668</v>
      </c>
      <c r="AA374"/>
      <c r="AE374"/>
    </row>
    <row r="375" spans="1:31" x14ac:dyDescent="0.3">
      <c r="A375" s="4">
        <f t="shared" si="96"/>
        <v>370</v>
      </c>
      <c r="B375" s="4"/>
      <c r="C375" s="4"/>
      <c r="D375" s="4"/>
      <c r="E375" s="4"/>
      <c r="F375" s="17" t="s">
        <v>49</v>
      </c>
      <c r="G375" s="39">
        <f>110</f>
        <v>110</v>
      </c>
      <c r="H375" s="39">
        <f>D368</f>
        <v>2000</v>
      </c>
      <c r="I375" s="39">
        <v>1</v>
      </c>
      <c r="J375" s="81" t="s">
        <v>140</v>
      </c>
      <c r="K375" s="39" t="s">
        <v>15</v>
      </c>
      <c r="L375" s="39"/>
      <c r="M375" s="39">
        <v>3</v>
      </c>
      <c r="N375" s="39">
        <v>3</v>
      </c>
      <c r="O375" s="39">
        <v>3</v>
      </c>
      <c r="P375" s="39">
        <v>3</v>
      </c>
      <c r="Q375" s="4"/>
      <c r="R375" s="6">
        <f t="shared" si="94"/>
        <v>14.066666666666666</v>
      </c>
      <c r="S375" s="65"/>
      <c r="T375" s="6">
        <f t="shared" si="106"/>
        <v>14.066666666666666</v>
      </c>
      <c r="U375" s="65"/>
      <c r="V375" s="65"/>
      <c r="W375" s="74" t="s">
        <v>201</v>
      </c>
      <c r="X375" s="20" t="str">
        <f t="shared" si="95"/>
        <v>MBR-SITOUT-B42-SKIRTING</v>
      </c>
      <c r="Y375" s="7">
        <f t="shared" si="93"/>
        <v>14.066666666666666</v>
      </c>
      <c r="AA375"/>
      <c r="AE375"/>
    </row>
    <row r="376" spans="1:31" x14ac:dyDescent="0.3">
      <c r="A376" s="4">
        <f t="shared" si="96"/>
        <v>371</v>
      </c>
      <c r="B376" s="4"/>
      <c r="C376" s="4"/>
      <c r="D376" s="4"/>
      <c r="E376" s="4"/>
      <c r="F376" s="17" t="s">
        <v>51</v>
      </c>
      <c r="G376" s="39">
        <f>D368</f>
        <v>2000</v>
      </c>
      <c r="H376" s="39">
        <f>E368+20</f>
        <v>450</v>
      </c>
      <c r="I376" s="39">
        <v>1</v>
      </c>
      <c r="J376" s="81" t="s">
        <v>140</v>
      </c>
      <c r="K376" s="39" t="s">
        <v>15</v>
      </c>
      <c r="L376" s="39"/>
      <c r="M376" s="39">
        <v>3</v>
      </c>
      <c r="N376" s="39">
        <v>3</v>
      </c>
      <c r="O376" s="39">
        <v>3</v>
      </c>
      <c r="P376" s="39">
        <v>3</v>
      </c>
      <c r="Q376" s="4"/>
      <c r="R376" s="6">
        <f t="shared" si="94"/>
        <v>16.333333333333332</v>
      </c>
      <c r="S376" s="65"/>
      <c r="T376" s="6">
        <f t="shared" si="106"/>
        <v>16.333333333333332</v>
      </c>
      <c r="U376" s="65"/>
      <c r="V376" s="65"/>
      <c r="W376" s="74" t="s">
        <v>201</v>
      </c>
      <c r="X376" s="20" t="str">
        <f t="shared" si="95"/>
        <v>MBR-SITOUT-B42-FULL TOP</v>
      </c>
      <c r="Y376" s="7">
        <f t="shared" si="93"/>
        <v>16.333333333333332</v>
      </c>
      <c r="AA376"/>
      <c r="AE376"/>
    </row>
    <row r="377" spans="1:31" x14ac:dyDescent="0.3">
      <c r="A377" s="4">
        <f t="shared" si="96"/>
        <v>372</v>
      </c>
      <c r="B377" s="4"/>
      <c r="C377" s="4"/>
      <c r="D377" s="4"/>
      <c r="E377" s="4"/>
      <c r="F377" s="17" t="s">
        <v>156</v>
      </c>
      <c r="G377" s="39">
        <f>770-18</f>
        <v>752</v>
      </c>
      <c r="H377" s="39">
        <f>450</f>
        <v>450</v>
      </c>
      <c r="I377" s="39">
        <v>2</v>
      </c>
      <c r="J377" s="80" t="s">
        <v>145</v>
      </c>
      <c r="K377" s="39" t="s">
        <v>15</v>
      </c>
      <c r="L377" s="39"/>
      <c r="M377" s="39">
        <v>3</v>
      </c>
      <c r="N377" s="39">
        <v>3</v>
      </c>
      <c r="O377" s="39">
        <v>3</v>
      </c>
      <c r="P377" s="39">
        <v>3</v>
      </c>
      <c r="Q377" s="4"/>
      <c r="R377" s="6">
        <f t="shared" si="94"/>
        <v>16.026666666666667</v>
      </c>
      <c r="S377" s="65"/>
      <c r="T377" s="6">
        <f t="shared" si="106"/>
        <v>16.026666666666667</v>
      </c>
      <c r="U377" s="65"/>
      <c r="V377" s="65"/>
      <c r="W377" s="74" t="s">
        <v>201</v>
      </c>
      <c r="X377" s="20" t="str">
        <f t="shared" si="95"/>
        <v>MBR-SITOUT-B42-SIDE PLANKS</v>
      </c>
      <c r="Y377" s="7">
        <f t="shared" si="93"/>
        <v>16.026666666666667</v>
      </c>
      <c r="AA377"/>
      <c r="AE377"/>
    </row>
    <row r="378" spans="1:31" x14ac:dyDescent="0.3">
      <c r="A378" s="4">
        <f t="shared" si="96"/>
        <v>373</v>
      </c>
      <c r="B378" s="4"/>
      <c r="C378" s="4"/>
      <c r="D378" s="4"/>
      <c r="E378" s="4"/>
      <c r="F378" s="17" t="s">
        <v>157</v>
      </c>
      <c r="G378" s="39">
        <f>1050</f>
        <v>1050</v>
      </c>
      <c r="H378" s="39">
        <f>H377</f>
        <v>450</v>
      </c>
      <c r="I378" s="39">
        <v>1</v>
      </c>
      <c r="J378" s="80" t="s">
        <v>145</v>
      </c>
      <c r="K378" s="39" t="s">
        <v>15</v>
      </c>
      <c r="L378" s="39"/>
      <c r="M378" s="39">
        <v>3</v>
      </c>
      <c r="N378" s="39">
        <v>3</v>
      </c>
      <c r="O378" s="39">
        <v>3</v>
      </c>
      <c r="P378" s="39">
        <v>3</v>
      </c>
      <c r="Q378" s="4"/>
      <c r="R378" s="6">
        <f t="shared" si="94"/>
        <v>10</v>
      </c>
      <c r="S378" s="65"/>
      <c r="T378" s="6">
        <f t="shared" si="106"/>
        <v>10</v>
      </c>
      <c r="U378" s="65"/>
      <c r="V378" s="65"/>
      <c r="W378" s="74" t="s">
        <v>201</v>
      </c>
      <c r="X378" s="20" t="str">
        <f t="shared" si="95"/>
        <v>MBR-SITOUT-B42-TOP PLANK</v>
      </c>
      <c r="Y378" s="7">
        <f t="shared" si="93"/>
        <v>10</v>
      </c>
      <c r="AA378"/>
      <c r="AE378"/>
    </row>
    <row r="379" spans="1:31" x14ac:dyDescent="0.3">
      <c r="A379" s="4">
        <f t="shared" si="96"/>
        <v>374</v>
      </c>
      <c r="B379" s="4"/>
      <c r="C379" s="4"/>
      <c r="D379" s="4"/>
      <c r="E379" s="4"/>
      <c r="F379" s="40" t="s">
        <v>172</v>
      </c>
      <c r="G379" s="38">
        <v>100</v>
      </c>
      <c r="H379" s="38">
        <f>1050-36</f>
        <v>1014</v>
      </c>
      <c r="I379" s="39">
        <v>1</v>
      </c>
      <c r="J379" s="62" t="s">
        <v>34</v>
      </c>
      <c r="K379" s="17" t="s">
        <v>15</v>
      </c>
      <c r="L379" s="39"/>
      <c r="M379" s="39">
        <v>1</v>
      </c>
      <c r="N379" s="39">
        <v>1</v>
      </c>
      <c r="O379" s="39">
        <v>1</v>
      </c>
      <c r="P379" s="39">
        <v>1</v>
      </c>
      <c r="Q379" s="4"/>
      <c r="R379" s="6">
        <f t="shared" si="94"/>
        <v>7.4266666666666667</v>
      </c>
      <c r="S379" s="6">
        <f>R379</f>
        <v>7.4266666666666667</v>
      </c>
      <c r="T379" s="65"/>
      <c r="U379" s="65"/>
      <c r="V379" s="65"/>
      <c r="W379" s="74" t="s">
        <v>201</v>
      </c>
      <c r="X379" s="20" t="str">
        <f t="shared" si="95"/>
        <v>MBR-SITOUT-B42-MODESTY</v>
      </c>
      <c r="Y379" s="7">
        <f t="shared" si="93"/>
        <v>7.4266666666666667</v>
      </c>
      <c r="AA379"/>
      <c r="AE379"/>
    </row>
    <row r="380" spans="1:31" x14ac:dyDescent="0.3">
      <c r="A380" s="4">
        <f t="shared" si="96"/>
        <v>375</v>
      </c>
      <c r="B380" s="23" t="s">
        <v>202</v>
      </c>
      <c r="C380" s="23">
        <v>560</v>
      </c>
      <c r="D380" s="23">
        <f>525+525</f>
        <v>1050</v>
      </c>
      <c r="E380" s="23">
        <v>300</v>
      </c>
      <c r="F380" s="17" t="s">
        <v>28</v>
      </c>
      <c r="G380" s="39">
        <f>C380</f>
        <v>560</v>
      </c>
      <c r="H380" s="39">
        <f>E380</f>
        <v>300</v>
      </c>
      <c r="I380" s="39">
        <v>1</v>
      </c>
      <c r="J380" s="81" t="s">
        <v>147</v>
      </c>
      <c r="K380" s="39" t="s">
        <v>15</v>
      </c>
      <c r="L380" s="39"/>
      <c r="M380" s="39">
        <v>3</v>
      </c>
      <c r="N380" s="39">
        <v>3</v>
      </c>
      <c r="O380" s="39">
        <v>3</v>
      </c>
      <c r="P380" s="39">
        <v>3</v>
      </c>
      <c r="Q380" s="4"/>
      <c r="R380" s="6">
        <f t="shared" si="94"/>
        <v>5.7333333333333334</v>
      </c>
      <c r="S380" s="65"/>
      <c r="T380" s="6">
        <f>R380</f>
        <v>5.7333333333333334</v>
      </c>
      <c r="U380" s="65"/>
      <c r="V380" s="65"/>
      <c r="W380" s="74" t="s">
        <v>202</v>
      </c>
      <c r="X380" s="20" t="str">
        <f t="shared" si="95"/>
        <v>MBR-STD-W/U-B43-LHS</v>
      </c>
      <c r="Y380" s="7">
        <f t="shared" si="93"/>
        <v>5.7333333333333334</v>
      </c>
      <c r="AA380"/>
      <c r="AE380"/>
    </row>
    <row r="381" spans="1:31" x14ac:dyDescent="0.3">
      <c r="A381" s="4">
        <f t="shared" si="96"/>
        <v>376</v>
      </c>
      <c r="B381" s="39"/>
      <c r="C381" s="39"/>
      <c r="D381" s="39"/>
      <c r="E381" s="39"/>
      <c r="F381" s="17" t="s">
        <v>29</v>
      </c>
      <c r="G381" s="39">
        <f>G380</f>
        <v>560</v>
      </c>
      <c r="H381" s="39">
        <f>H380</f>
        <v>300</v>
      </c>
      <c r="I381" s="39">
        <v>1</v>
      </c>
      <c r="J381" s="62" t="s">
        <v>34</v>
      </c>
      <c r="K381" s="17" t="s">
        <v>15</v>
      </c>
      <c r="L381" s="39"/>
      <c r="M381" s="39">
        <v>1</v>
      </c>
      <c r="N381" s="39">
        <v>1</v>
      </c>
      <c r="O381" s="39">
        <v>1</v>
      </c>
      <c r="P381" s="39">
        <v>1</v>
      </c>
      <c r="Q381" s="4"/>
      <c r="R381" s="6">
        <f t="shared" si="94"/>
        <v>5.7333333333333334</v>
      </c>
      <c r="S381" s="6">
        <f t="shared" ref="S381:S383" si="107">R381</f>
        <v>5.7333333333333334</v>
      </c>
      <c r="T381" s="65"/>
      <c r="U381" s="65"/>
      <c r="V381" s="65"/>
      <c r="W381" s="74" t="s">
        <v>202</v>
      </c>
      <c r="X381" s="20" t="str">
        <f t="shared" si="95"/>
        <v>MBR-STD-W/U-B43-RHS</v>
      </c>
      <c r="Y381" s="7">
        <f t="shared" si="93"/>
        <v>5.7333333333333334</v>
      </c>
      <c r="AA381"/>
      <c r="AE381"/>
    </row>
    <row r="382" spans="1:31" x14ac:dyDescent="0.3">
      <c r="A382" s="4">
        <f t="shared" si="96"/>
        <v>377</v>
      </c>
      <c r="B382" s="39"/>
      <c r="C382" s="39"/>
      <c r="D382" s="39"/>
      <c r="E382" s="39"/>
      <c r="F382" s="17" t="s">
        <v>30</v>
      </c>
      <c r="G382" s="39">
        <f>D380-36</f>
        <v>1014</v>
      </c>
      <c r="H382" s="39">
        <f>H381</f>
        <v>300</v>
      </c>
      <c r="I382" s="39">
        <v>1</v>
      </c>
      <c r="J382" s="62" t="s">
        <v>34</v>
      </c>
      <c r="K382" s="17" t="s">
        <v>15</v>
      </c>
      <c r="L382" s="39"/>
      <c r="M382" s="39">
        <v>1</v>
      </c>
      <c r="N382" s="39">
        <v>1</v>
      </c>
      <c r="O382" s="39">
        <v>1</v>
      </c>
      <c r="P382" s="39">
        <v>1</v>
      </c>
      <c r="Q382" s="4"/>
      <c r="R382" s="6">
        <f t="shared" si="94"/>
        <v>8.76</v>
      </c>
      <c r="S382" s="6">
        <f t="shared" si="107"/>
        <v>8.76</v>
      </c>
      <c r="T382" s="65"/>
      <c r="U382" s="65"/>
      <c r="V382" s="65"/>
      <c r="W382" s="74" t="s">
        <v>202</v>
      </c>
      <c r="X382" s="20" t="str">
        <f t="shared" si="95"/>
        <v>MBR-STD-W/U-B43-TOP</v>
      </c>
      <c r="Y382" s="7">
        <f t="shared" si="93"/>
        <v>8.76</v>
      </c>
      <c r="AA382"/>
      <c r="AE382"/>
    </row>
    <row r="383" spans="1:31" x14ac:dyDescent="0.3">
      <c r="A383" s="4">
        <f t="shared" si="96"/>
        <v>378</v>
      </c>
      <c r="B383" s="39"/>
      <c r="C383" s="39" t="s">
        <v>25</v>
      </c>
      <c r="D383" s="39"/>
      <c r="E383" s="39"/>
      <c r="F383" s="17" t="s">
        <v>31</v>
      </c>
      <c r="G383" s="39">
        <f>G382</f>
        <v>1014</v>
      </c>
      <c r="H383" s="39">
        <f>H382</f>
        <v>300</v>
      </c>
      <c r="I383" s="39">
        <v>1</v>
      </c>
      <c r="J383" s="62" t="s">
        <v>34</v>
      </c>
      <c r="K383" s="17" t="s">
        <v>15</v>
      </c>
      <c r="L383" s="39"/>
      <c r="M383" s="39">
        <v>1</v>
      </c>
      <c r="N383" s="39">
        <v>1</v>
      </c>
      <c r="O383" s="39">
        <v>1</v>
      </c>
      <c r="P383" s="39">
        <v>1</v>
      </c>
      <c r="Q383" s="4"/>
      <c r="R383" s="6">
        <f t="shared" si="94"/>
        <v>8.76</v>
      </c>
      <c r="S383" s="6">
        <f t="shared" si="107"/>
        <v>8.76</v>
      </c>
      <c r="T383" s="65"/>
      <c r="U383" s="65"/>
      <c r="V383" s="65"/>
      <c r="W383" s="74" t="s">
        <v>202</v>
      </c>
      <c r="X383" s="20" t="str">
        <f t="shared" si="95"/>
        <v>MBR-STD-W/U-B43-BTM</v>
      </c>
      <c r="Y383" s="7">
        <f t="shared" si="93"/>
        <v>8.76</v>
      </c>
      <c r="AA383"/>
      <c r="AE383"/>
    </row>
    <row r="384" spans="1:31" x14ac:dyDescent="0.3">
      <c r="A384" s="4">
        <f t="shared" si="96"/>
        <v>379</v>
      </c>
      <c r="B384" s="39"/>
      <c r="C384" s="39"/>
      <c r="D384" s="39"/>
      <c r="E384" s="39"/>
      <c r="F384" s="17" t="s">
        <v>32</v>
      </c>
      <c r="G384" s="39">
        <f>C380-36+16</f>
        <v>540</v>
      </c>
      <c r="H384" s="39">
        <f>D380-36+16</f>
        <v>1030</v>
      </c>
      <c r="I384" s="39">
        <v>1</v>
      </c>
      <c r="J384" s="62" t="s">
        <v>35</v>
      </c>
      <c r="K384" s="17" t="s">
        <v>15</v>
      </c>
      <c r="L384" s="39"/>
      <c r="M384" s="39"/>
      <c r="N384" s="39"/>
      <c r="O384" s="39"/>
      <c r="P384" s="39"/>
      <c r="Q384" s="4"/>
      <c r="R384" s="6">
        <f t="shared" si="94"/>
        <v>10.466666666666667</v>
      </c>
      <c r="S384" s="65"/>
      <c r="T384" s="65"/>
      <c r="U384" s="65"/>
      <c r="V384" s="65"/>
      <c r="W384" s="74" t="s">
        <v>202</v>
      </c>
      <c r="X384" s="20" t="str">
        <f t="shared" si="95"/>
        <v>MBR-STD-W/U-B43-BACK UP</v>
      </c>
      <c r="Y384" s="7">
        <f t="shared" si="93"/>
        <v>10.466666666666667</v>
      </c>
      <c r="AA384"/>
      <c r="AE384"/>
    </row>
    <row r="385" spans="1:31" x14ac:dyDescent="0.3">
      <c r="A385" s="4">
        <f t="shared" si="96"/>
        <v>380</v>
      </c>
      <c r="B385" s="39"/>
      <c r="C385" s="39"/>
      <c r="D385" s="39"/>
      <c r="E385" s="39"/>
      <c r="F385" s="17" t="s">
        <v>33</v>
      </c>
      <c r="G385" s="39">
        <f>D380-36-1</f>
        <v>1013</v>
      </c>
      <c r="H385" s="39">
        <f>E380-25</f>
        <v>275</v>
      </c>
      <c r="I385" s="39">
        <v>1</v>
      </c>
      <c r="J385" s="62" t="s">
        <v>34</v>
      </c>
      <c r="K385" s="17" t="s">
        <v>15</v>
      </c>
      <c r="L385" s="39"/>
      <c r="M385" s="39">
        <v>1</v>
      </c>
      <c r="N385" s="39">
        <v>1</v>
      </c>
      <c r="O385" s="39">
        <v>1</v>
      </c>
      <c r="P385" s="39">
        <v>1</v>
      </c>
      <c r="Q385" s="4"/>
      <c r="R385" s="6">
        <f t="shared" si="94"/>
        <v>8.586666666666666</v>
      </c>
      <c r="S385" s="6">
        <f>R385</f>
        <v>8.586666666666666</v>
      </c>
      <c r="T385" s="65"/>
      <c r="U385" s="65"/>
      <c r="V385" s="65"/>
      <c r="W385" s="74" t="s">
        <v>202</v>
      </c>
      <c r="X385" s="20" t="str">
        <f t="shared" si="95"/>
        <v>MBR-STD-W/U-B43-Lshelf</v>
      </c>
      <c r="Y385" s="7">
        <f t="shared" si="93"/>
        <v>8.586666666666666</v>
      </c>
      <c r="AA385"/>
      <c r="AE385"/>
    </row>
    <row r="386" spans="1:31" x14ac:dyDescent="0.3">
      <c r="A386" s="4">
        <f t="shared" si="96"/>
        <v>381</v>
      </c>
      <c r="B386" s="4"/>
      <c r="C386" s="4"/>
      <c r="D386" s="4"/>
      <c r="E386" s="4"/>
      <c r="F386" s="17" t="s">
        <v>52</v>
      </c>
      <c r="G386" s="39">
        <f>C380-2</f>
        <v>558</v>
      </c>
      <c r="H386" s="39">
        <f>D380/2-2</f>
        <v>523</v>
      </c>
      <c r="I386" s="39">
        <v>2</v>
      </c>
      <c r="J386" s="82" t="s">
        <v>148</v>
      </c>
      <c r="K386" s="39" t="s">
        <v>15</v>
      </c>
      <c r="L386" s="39"/>
      <c r="M386" s="39">
        <v>3</v>
      </c>
      <c r="N386" s="39">
        <v>3</v>
      </c>
      <c r="O386" s="39">
        <v>3</v>
      </c>
      <c r="P386" s="39">
        <v>3</v>
      </c>
      <c r="Q386" s="4"/>
      <c r="R386" s="6">
        <f t="shared" si="94"/>
        <v>14.413333333333334</v>
      </c>
      <c r="S386" s="65"/>
      <c r="T386" s="6">
        <f t="shared" ref="T386:T390" si="108">R386</f>
        <v>14.413333333333334</v>
      </c>
      <c r="U386" s="65"/>
      <c r="V386" s="65"/>
      <c r="W386" s="74" t="s">
        <v>202</v>
      </c>
      <c r="X386" s="20" t="str">
        <f t="shared" si="95"/>
        <v>MBR-STD-W/U-B43-SHUTTERS</v>
      </c>
      <c r="Y386" s="7">
        <f t="shared" si="93"/>
        <v>14.413333333333334</v>
      </c>
      <c r="AA386"/>
      <c r="AE386"/>
    </row>
    <row r="387" spans="1:31" x14ac:dyDescent="0.3">
      <c r="A387" s="4">
        <f t="shared" si="96"/>
        <v>382</v>
      </c>
      <c r="B387" s="23" t="s">
        <v>203</v>
      </c>
      <c r="C387" s="23">
        <v>200</v>
      </c>
      <c r="D387" s="23">
        <f>525+525</f>
        <v>1050</v>
      </c>
      <c r="E387" s="23">
        <v>200</v>
      </c>
      <c r="F387" s="17" t="s">
        <v>28</v>
      </c>
      <c r="G387" s="39">
        <f>C387</f>
        <v>200</v>
      </c>
      <c r="H387" s="39">
        <f>E387</f>
        <v>200</v>
      </c>
      <c r="I387" s="39">
        <v>1</v>
      </c>
      <c r="J387" s="81" t="s">
        <v>149</v>
      </c>
      <c r="K387" s="39" t="s">
        <v>15</v>
      </c>
      <c r="L387" s="39"/>
      <c r="M387" s="39">
        <v>3</v>
      </c>
      <c r="N387" s="39">
        <v>3</v>
      </c>
      <c r="O387" s="39">
        <v>3</v>
      </c>
      <c r="P387" s="39">
        <v>3</v>
      </c>
      <c r="Q387" s="4"/>
      <c r="R387" s="6">
        <f t="shared" si="94"/>
        <v>2.6666666666666665</v>
      </c>
      <c r="S387" s="65"/>
      <c r="T387" s="6">
        <f t="shared" si="108"/>
        <v>2.6666666666666665</v>
      </c>
      <c r="U387" s="65"/>
      <c r="V387" s="65"/>
      <c r="W387" s="74" t="s">
        <v>203</v>
      </c>
      <c r="X387" s="20" t="str">
        <f t="shared" si="95"/>
        <v>MBR-STD-W/U-B44-Open-LHS</v>
      </c>
      <c r="Y387" s="7">
        <f t="shared" si="93"/>
        <v>2.6666666666666665</v>
      </c>
      <c r="AA387"/>
      <c r="AE387"/>
    </row>
    <row r="388" spans="1:31" x14ac:dyDescent="0.3">
      <c r="A388" s="4">
        <f t="shared" si="96"/>
        <v>383</v>
      </c>
      <c r="B388" s="39"/>
      <c r="C388" s="39"/>
      <c r="D388" s="39"/>
      <c r="E388" s="39"/>
      <c r="F388" s="17" t="s">
        <v>29</v>
      </c>
      <c r="G388" s="39">
        <f>G387</f>
        <v>200</v>
      </c>
      <c r="H388" s="39">
        <f>H387</f>
        <v>200</v>
      </c>
      <c r="I388" s="39">
        <v>1</v>
      </c>
      <c r="J388" s="81" t="s">
        <v>147</v>
      </c>
      <c r="K388" s="39" t="s">
        <v>15</v>
      </c>
      <c r="L388" s="39"/>
      <c r="M388" s="39">
        <v>3</v>
      </c>
      <c r="N388" s="39">
        <v>3</v>
      </c>
      <c r="O388" s="39">
        <v>3</v>
      </c>
      <c r="P388" s="39">
        <v>3</v>
      </c>
      <c r="Q388" s="4"/>
      <c r="R388" s="6">
        <f t="shared" si="94"/>
        <v>2.6666666666666665</v>
      </c>
      <c r="S388" s="65"/>
      <c r="T388" s="6">
        <f t="shared" si="108"/>
        <v>2.6666666666666665</v>
      </c>
      <c r="U388" s="65"/>
      <c r="V388" s="65"/>
      <c r="W388" s="74" t="s">
        <v>203</v>
      </c>
      <c r="X388" s="20" t="str">
        <f t="shared" si="95"/>
        <v>MBR-STD-W/U-B44-Open-RHS</v>
      </c>
      <c r="Y388" s="7">
        <f t="shared" si="93"/>
        <v>2.6666666666666665</v>
      </c>
      <c r="AA388"/>
      <c r="AE388"/>
    </row>
    <row r="389" spans="1:31" x14ac:dyDescent="0.3">
      <c r="A389" s="4">
        <f t="shared" si="96"/>
        <v>384</v>
      </c>
      <c r="B389" s="39"/>
      <c r="C389" s="39"/>
      <c r="D389" s="39"/>
      <c r="E389" s="39"/>
      <c r="F389" s="17" t="s">
        <v>30</v>
      </c>
      <c r="G389" s="39">
        <f>D387-36</f>
        <v>1014</v>
      </c>
      <c r="H389" s="39">
        <f>H388</f>
        <v>200</v>
      </c>
      <c r="I389" s="39">
        <v>1</v>
      </c>
      <c r="J389" s="81" t="s">
        <v>147</v>
      </c>
      <c r="K389" s="39" t="s">
        <v>15</v>
      </c>
      <c r="L389" s="39"/>
      <c r="M389" s="39">
        <v>3</v>
      </c>
      <c r="N389" s="39">
        <v>3</v>
      </c>
      <c r="O389" s="39">
        <v>3</v>
      </c>
      <c r="P389" s="39">
        <v>3</v>
      </c>
      <c r="Q389" s="4"/>
      <c r="R389" s="6">
        <f t="shared" si="94"/>
        <v>8.0933333333333337</v>
      </c>
      <c r="S389" s="65"/>
      <c r="T389" s="6">
        <f t="shared" si="108"/>
        <v>8.0933333333333337</v>
      </c>
      <c r="U389" s="65"/>
      <c r="V389" s="65"/>
      <c r="W389" s="74" t="s">
        <v>203</v>
      </c>
      <c r="X389" s="20" t="str">
        <f t="shared" si="95"/>
        <v>MBR-STD-W/U-B44-Open-TOP</v>
      </c>
      <c r="Y389" s="7">
        <f t="shared" ref="Y389:Y452" si="109">(G389+H389)*2*I389/300</f>
        <v>8.0933333333333337</v>
      </c>
      <c r="AA389"/>
      <c r="AE389"/>
    </row>
    <row r="390" spans="1:31" x14ac:dyDescent="0.3">
      <c r="A390" s="4">
        <f t="shared" si="96"/>
        <v>385</v>
      </c>
      <c r="B390" s="39"/>
      <c r="C390" s="39" t="s">
        <v>25</v>
      </c>
      <c r="D390" s="39"/>
      <c r="E390" s="39"/>
      <c r="F390" s="17" t="s">
        <v>31</v>
      </c>
      <c r="G390" s="39">
        <f>G389</f>
        <v>1014</v>
      </c>
      <c r="H390" s="39">
        <f>H389</f>
        <v>200</v>
      </c>
      <c r="I390" s="39">
        <v>1</v>
      </c>
      <c r="J390" s="81" t="s">
        <v>147</v>
      </c>
      <c r="K390" s="39" t="s">
        <v>15</v>
      </c>
      <c r="L390" s="39"/>
      <c r="M390" s="39">
        <v>3</v>
      </c>
      <c r="N390" s="39">
        <v>3</v>
      </c>
      <c r="O390" s="39">
        <v>3</v>
      </c>
      <c r="P390" s="39">
        <v>3</v>
      </c>
      <c r="Q390" s="4"/>
      <c r="R390" s="6">
        <f t="shared" si="94"/>
        <v>8.0933333333333337</v>
      </c>
      <c r="S390" s="65"/>
      <c r="T390" s="6">
        <f t="shared" si="108"/>
        <v>8.0933333333333337</v>
      </c>
      <c r="U390" s="65"/>
      <c r="V390" s="65"/>
      <c r="W390" s="74" t="s">
        <v>203</v>
      </c>
      <c r="X390" s="20" t="str">
        <f t="shared" si="95"/>
        <v>MBR-STD-W/U-B44-Open-BTM</v>
      </c>
      <c r="Y390" s="7">
        <f t="shared" si="109"/>
        <v>8.0933333333333337</v>
      </c>
      <c r="AA390"/>
      <c r="AE390"/>
    </row>
    <row r="391" spans="1:31" x14ac:dyDescent="0.3">
      <c r="A391" s="4">
        <f t="shared" si="96"/>
        <v>386</v>
      </c>
      <c r="B391" s="39"/>
      <c r="C391" s="39"/>
      <c r="D391" s="39"/>
      <c r="E391" s="39"/>
      <c r="F391" s="17" t="s">
        <v>32</v>
      </c>
      <c r="G391" s="39">
        <f>C387-36+16</f>
        <v>180</v>
      </c>
      <c r="H391" s="39">
        <f>D387-36+16</f>
        <v>1030</v>
      </c>
      <c r="I391" s="39">
        <v>1</v>
      </c>
      <c r="J391" s="81" t="s">
        <v>150</v>
      </c>
      <c r="K391" s="39" t="s">
        <v>15</v>
      </c>
      <c r="L391" s="39"/>
      <c r="M391" s="39"/>
      <c r="N391" s="39"/>
      <c r="O391" s="39"/>
      <c r="P391" s="39"/>
      <c r="Q391" s="4"/>
      <c r="R391" s="6">
        <f t="shared" ref="R391:R455" si="110">(G391+H391)*2*I391/300</f>
        <v>8.0666666666666664</v>
      </c>
      <c r="S391" s="65"/>
      <c r="T391" s="65"/>
      <c r="U391" s="65"/>
      <c r="V391" s="65"/>
      <c r="W391" s="74" t="s">
        <v>203</v>
      </c>
      <c r="X391" s="20" t="str">
        <f t="shared" ref="X391:X455" si="111">W391&amp;"-"&amp;F391</f>
        <v>MBR-STD-W/U-B44-Open-BACK UP</v>
      </c>
      <c r="Y391" s="7">
        <f t="shared" si="109"/>
        <v>8.0666666666666664</v>
      </c>
      <c r="AA391"/>
      <c r="AE391"/>
    </row>
    <row r="392" spans="1:31" x14ac:dyDescent="0.3">
      <c r="A392" s="4">
        <f t="shared" ref="A392:A456" si="112">A391+1</f>
        <v>387</v>
      </c>
      <c r="B392" s="4"/>
      <c r="C392" s="4"/>
      <c r="D392" s="4"/>
      <c r="E392" s="4"/>
      <c r="F392" s="17" t="s">
        <v>158</v>
      </c>
      <c r="G392" s="39">
        <f>2000</f>
        <v>2000</v>
      </c>
      <c r="H392" s="39">
        <v>50</v>
      </c>
      <c r="I392" s="39">
        <v>6</v>
      </c>
      <c r="J392" s="62" t="s">
        <v>34</v>
      </c>
      <c r="K392" s="17" t="s">
        <v>15</v>
      </c>
      <c r="L392" s="39"/>
      <c r="M392" s="38">
        <v>0</v>
      </c>
      <c r="N392" s="38">
        <v>0</v>
      </c>
      <c r="O392" s="38">
        <v>0</v>
      </c>
      <c r="P392" s="38">
        <v>0</v>
      </c>
      <c r="Q392" s="4"/>
      <c r="R392" s="6">
        <f t="shared" si="110"/>
        <v>82</v>
      </c>
      <c r="S392" s="65"/>
      <c r="T392" s="65"/>
      <c r="U392" s="65"/>
      <c r="V392" s="65"/>
      <c r="W392" s="74" t="s">
        <v>203</v>
      </c>
      <c r="X392" s="20" t="str">
        <f t="shared" si="111"/>
        <v>MBR-STD-W/U-B44-Open-TV FRAMES</v>
      </c>
      <c r="Y392" s="7">
        <f t="shared" si="109"/>
        <v>82</v>
      </c>
      <c r="AA392"/>
      <c r="AE392"/>
    </row>
    <row r="393" spans="1:31" x14ac:dyDescent="0.3">
      <c r="A393" s="4">
        <f t="shared" si="112"/>
        <v>388</v>
      </c>
      <c r="B393" s="4"/>
      <c r="C393" s="4"/>
      <c r="D393" s="4"/>
      <c r="E393" s="4"/>
      <c r="F393" s="17" t="s">
        <v>53</v>
      </c>
      <c r="G393" s="39">
        <v>2000</v>
      </c>
      <c r="H393" s="39">
        <v>100</v>
      </c>
      <c r="I393" s="39">
        <v>2</v>
      </c>
      <c r="J393" s="81" t="s">
        <v>147</v>
      </c>
      <c r="K393" s="39" t="s">
        <v>15</v>
      </c>
      <c r="L393" s="39"/>
      <c r="M393" s="39">
        <v>3</v>
      </c>
      <c r="N393" s="39">
        <v>3</v>
      </c>
      <c r="O393" s="39">
        <v>3</v>
      </c>
      <c r="P393" s="39">
        <v>3</v>
      </c>
      <c r="Q393" s="4"/>
      <c r="R393" s="6">
        <f t="shared" si="110"/>
        <v>28</v>
      </c>
      <c r="S393" s="65"/>
      <c r="T393" s="6">
        <f t="shared" ref="T393:T396" si="113">R393</f>
        <v>28</v>
      </c>
      <c r="U393" s="65"/>
      <c r="V393" s="65"/>
      <c r="W393" s="74" t="s">
        <v>203</v>
      </c>
      <c r="X393" s="20" t="str">
        <f t="shared" si="111"/>
        <v>MBR-STD-W/U-B44-Open-TV FILLERS</v>
      </c>
      <c r="Y393" s="7">
        <f t="shared" si="109"/>
        <v>28</v>
      </c>
      <c r="AA393"/>
      <c r="AE393"/>
    </row>
    <row r="394" spans="1:31" x14ac:dyDescent="0.3">
      <c r="A394" s="4">
        <f t="shared" si="112"/>
        <v>389</v>
      </c>
      <c r="B394" s="4"/>
      <c r="C394" s="4"/>
      <c r="D394" s="4"/>
      <c r="E394" s="4"/>
      <c r="F394" s="17" t="s">
        <v>53</v>
      </c>
      <c r="G394" s="39">
        <v>1600</v>
      </c>
      <c r="H394" s="39">
        <v>100</v>
      </c>
      <c r="I394" s="39">
        <v>2</v>
      </c>
      <c r="J394" s="81" t="s">
        <v>151</v>
      </c>
      <c r="K394" s="39" t="s">
        <v>15</v>
      </c>
      <c r="L394" s="39"/>
      <c r="M394" s="39">
        <v>3</v>
      </c>
      <c r="N394" s="39">
        <v>3</v>
      </c>
      <c r="O394" s="39">
        <v>3</v>
      </c>
      <c r="P394" s="39">
        <v>3</v>
      </c>
      <c r="Q394" s="4"/>
      <c r="R394" s="6">
        <f t="shared" si="110"/>
        <v>22.666666666666668</v>
      </c>
      <c r="S394" s="65"/>
      <c r="T394" s="6">
        <f t="shared" si="113"/>
        <v>22.666666666666668</v>
      </c>
      <c r="U394" s="65"/>
      <c r="V394" s="65"/>
      <c r="W394" s="74" t="s">
        <v>203</v>
      </c>
      <c r="X394" s="20" t="str">
        <f t="shared" si="111"/>
        <v>MBR-STD-W/U-B44-Open-TV FILLERS</v>
      </c>
      <c r="Y394" s="7">
        <f t="shared" si="109"/>
        <v>22.666666666666668</v>
      </c>
      <c r="AA394"/>
      <c r="AE394"/>
    </row>
    <row r="395" spans="1:31" x14ac:dyDescent="0.3">
      <c r="A395" s="4">
        <f t="shared" si="112"/>
        <v>390</v>
      </c>
      <c r="B395" s="4"/>
      <c r="C395" s="4"/>
      <c r="D395" s="4"/>
      <c r="E395" s="4"/>
      <c r="F395" s="40" t="s">
        <v>54</v>
      </c>
      <c r="G395" s="38">
        <v>1600</v>
      </c>
      <c r="H395" s="38">
        <v>1200</v>
      </c>
      <c r="I395" s="39">
        <v>1</v>
      </c>
      <c r="J395" s="81" t="s">
        <v>151</v>
      </c>
      <c r="K395" s="39" t="s">
        <v>15</v>
      </c>
      <c r="L395" s="39"/>
      <c r="M395" s="39">
        <v>3</v>
      </c>
      <c r="N395" s="39">
        <v>3</v>
      </c>
      <c r="O395" s="39">
        <v>3</v>
      </c>
      <c r="P395" s="39">
        <v>3</v>
      </c>
      <c r="Q395" s="4"/>
      <c r="R395" s="6">
        <f t="shared" si="110"/>
        <v>18.666666666666668</v>
      </c>
      <c r="S395" s="65"/>
      <c r="T395" s="6">
        <f t="shared" si="113"/>
        <v>18.666666666666668</v>
      </c>
      <c r="U395" s="65"/>
      <c r="V395" s="65"/>
      <c r="W395" s="74" t="s">
        <v>203</v>
      </c>
      <c r="X395" s="20" t="str">
        <f t="shared" si="111"/>
        <v>MBR-STD-W/U-B44-Open-TV PANEL</v>
      </c>
      <c r="Y395" s="7">
        <f t="shared" si="109"/>
        <v>18.666666666666668</v>
      </c>
      <c r="AA395"/>
      <c r="AE395"/>
    </row>
    <row r="396" spans="1:31" x14ac:dyDescent="0.3">
      <c r="A396" s="4">
        <f t="shared" si="112"/>
        <v>391</v>
      </c>
      <c r="B396" s="4"/>
      <c r="C396" s="4"/>
      <c r="D396" s="4"/>
      <c r="E396" s="4"/>
      <c r="F396" s="40" t="s">
        <v>54</v>
      </c>
      <c r="G396" s="38">
        <v>1600</v>
      </c>
      <c r="H396" s="38">
        <v>800</v>
      </c>
      <c r="I396" s="39">
        <v>1</v>
      </c>
      <c r="J396" s="81" t="s">
        <v>147</v>
      </c>
      <c r="K396" s="39" t="s">
        <v>15</v>
      </c>
      <c r="L396" s="39"/>
      <c r="M396" s="39">
        <v>3</v>
      </c>
      <c r="N396" s="39">
        <v>3</v>
      </c>
      <c r="O396" s="39">
        <v>3</v>
      </c>
      <c r="P396" s="39">
        <v>3</v>
      </c>
      <c r="Q396" s="4"/>
      <c r="R396" s="6">
        <f t="shared" si="110"/>
        <v>16</v>
      </c>
      <c r="S396" s="65"/>
      <c r="T396" s="6">
        <f t="shared" si="113"/>
        <v>16</v>
      </c>
      <c r="U396" s="65"/>
      <c r="V396" s="65"/>
      <c r="W396" s="74" t="s">
        <v>203</v>
      </c>
      <c r="X396" s="20" t="str">
        <f t="shared" si="111"/>
        <v>MBR-STD-W/U-B44-Open-TV PANEL</v>
      </c>
      <c r="Y396" s="7">
        <f t="shared" si="109"/>
        <v>16</v>
      </c>
      <c r="AA396"/>
      <c r="AE396"/>
    </row>
    <row r="397" spans="1:31" x14ac:dyDescent="0.3">
      <c r="A397" s="4">
        <f t="shared" si="112"/>
        <v>392</v>
      </c>
      <c r="B397" s="23" t="s">
        <v>204</v>
      </c>
      <c r="C397" s="23">
        <v>2125</v>
      </c>
      <c r="D397" s="23">
        <v>1200</v>
      </c>
      <c r="E397" s="23">
        <f>580</f>
        <v>580</v>
      </c>
      <c r="F397" s="17" t="s">
        <v>28</v>
      </c>
      <c r="G397" s="39">
        <f>C397</f>
        <v>2125</v>
      </c>
      <c r="H397" s="39">
        <f>E397</f>
        <v>580</v>
      </c>
      <c r="I397" s="39">
        <v>1</v>
      </c>
      <c r="J397" s="62" t="s">
        <v>34</v>
      </c>
      <c r="K397" s="17" t="s">
        <v>15</v>
      </c>
      <c r="L397" s="39"/>
      <c r="M397" s="39">
        <v>1</v>
      </c>
      <c r="N397" s="39">
        <v>1</v>
      </c>
      <c r="O397" s="39">
        <v>1</v>
      </c>
      <c r="P397" s="39">
        <v>1</v>
      </c>
      <c r="Q397" s="4"/>
      <c r="R397" s="6">
        <f t="shared" si="110"/>
        <v>18.033333333333335</v>
      </c>
      <c r="S397" s="6">
        <f t="shared" ref="S397:S400" si="114">R397</f>
        <v>18.033333333333335</v>
      </c>
      <c r="T397" s="65"/>
      <c r="U397" s="65"/>
      <c r="V397" s="65"/>
      <c r="W397" s="74" t="s">
        <v>204</v>
      </c>
      <c r="X397" s="20" t="str">
        <f t="shared" si="111"/>
        <v>MBR-DRSG-B45-LHS</v>
      </c>
      <c r="Y397" s="7">
        <f t="shared" si="109"/>
        <v>18.033333333333335</v>
      </c>
      <c r="AA397"/>
      <c r="AE397"/>
    </row>
    <row r="398" spans="1:31" x14ac:dyDescent="0.3">
      <c r="A398" s="4">
        <f t="shared" si="112"/>
        <v>393</v>
      </c>
      <c r="B398" s="39"/>
      <c r="C398" s="39"/>
      <c r="D398" s="39"/>
      <c r="E398" s="39"/>
      <c r="F398" s="17" t="s">
        <v>29</v>
      </c>
      <c r="G398" s="39">
        <f>G397</f>
        <v>2125</v>
      </c>
      <c r="H398" s="39">
        <f>H397</f>
        <v>580</v>
      </c>
      <c r="I398" s="39">
        <v>1</v>
      </c>
      <c r="J398" s="62" t="s">
        <v>34</v>
      </c>
      <c r="K398" s="17" t="s">
        <v>15</v>
      </c>
      <c r="L398" s="39"/>
      <c r="M398" s="39">
        <v>1</v>
      </c>
      <c r="N398" s="39">
        <v>1</v>
      </c>
      <c r="O398" s="39">
        <v>1</v>
      </c>
      <c r="P398" s="39">
        <v>1</v>
      </c>
      <c r="Q398" s="4"/>
      <c r="R398" s="6">
        <f t="shared" si="110"/>
        <v>18.033333333333335</v>
      </c>
      <c r="S398" s="6">
        <f t="shared" si="114"/>
        <v>18.033333333333335</v>
      </c>
      <c r="T398" s="65"/>
      <c r="U398" s="65"/>
      <c r="V398" s="65"/>
      <c r="W398" s="74" t="s">
        <v>204</v>
      </c>
      <c r="X398" s="20" t="str">
        <f t="shared" si="111"/>
        <v>MBR-DRSG-B45-RHS</v>
      </c>
      <c r="Y398" s="7">
        <f t="shared" si="109"/>
        <v>18.033333333333335</v>
      </c>
      <c r="AA398"/>
      <c r="AE398"/>
    </row>
    <row r="399" spans="1:31" x14ac:dyDescent="0.3">
      <c r="A399" s="4">
        <f t="shared" si="112"/>
        <v>394</v>
      </c>
      <c r="B399" s="39"/>
      <c r="C399" s="39"/>
      <c r="D399" s="39"/>
      <c r="E399" s="39"/>
      <c r="F399" s="17" t="s">
        <v>30</v>
      </c>
      <c r="G399" s="39">
        <f>D397-36</f>
        <v>1164</v>
      </c>
      <c r="H399" s="39">
        <f>H398</f>
        <v>580</v>
      </c>
      <c r="I399" s="39">
        <v>1</v>
      </c>
      <c r="J399" s="62" t="s">
        <v>34</v>
      </c>
      <c r="K399" s="17" t="s">
        <v>15</v>
      </c>
      <c r="L399" s="39"/>
      <c r="M399" s="39">
        <v>1</v>
      </c>
      <c r="N399" s="39">
        <v>1</v>
      </c>
      <c r="O399" s="39">
        <v>1</v>
      </c>
      <c r="P399" s="39">
        <v>1</v>
      </c>
      <c r="Q399" s="4"/>
      <c r="R399" s="6">
        <f t="shared" si="110"/>
        <v>11.626666666666667</v>
      </c>
      <c r="S399" s="6">
        <f t="shared" si="114"/>
        <v>11.626666666666667</v>
      </c>
      <c r="T399" s="65"/>
      <c r="U399" s="65"/>
      <c r="V399" s="65"/>
      <c r="W399" s="74" t="s">
        <v>204</v>
      </c>
      <c r="X399" s="20" t="str">
        <f t="shared" si="111"/>
        <v>MBR-DRSG-B45-TOP</v>
      </c>
      <c r="Y399" s="7">
        <f t="shared" si="109"/>
        <v>11.626666666666667</v>
      </c>
      <c r="AA399"/>
      <c r="AE399"/>
    </row>
    <row r="400" spans="1:31" x14ac:dyDescent="0.3">
      <c r="A400" s="4">
        <f t="shared" si="112"/>
        <v>395</v>
      </c>
      <c r="B400" s="39"/>
      <c r="C400" s="39" t="s">
        <v>25</v>
      </c>
      <c r="D400" s="39"/>
      <c r="E400" s="39"/>
      <c r="F400" s="17" t="s">
        <v>31</v>
      </c>
      <c r="G400" s="39">
        <f>G399</f>
        <v>1164</v>
      </c>
      <c r="H400" s="39">
        <f>H399</f>
        <v>580</v>
      </c>
      <c r="I400" s="39">
        <v>1</v>
      </c>
      <c r="J400" s="62" t="s">
        <v>34</v>
      </c>
      <c r="K400" s="17" t="s">
        <v>15</v>
      </c>
      <c r="L400" s="39"/>
      <c r="M400" s="39">
        <v>1</v>
      </c>
      <c r="N400" s="39">
        <v>1</v>
      </c>
      <c r="O400" s="39">
        <v>1</v>
      </c>
      <c r="P400" s="39">
        <v>1</v>
      </c>
      <c r="Q400" s="4"/>
      <c r="R400" s="6">
        <f t="shared" si="110"/>
        <v>11.626666666666667</v>
      </c>
      <c r="S400" s="6">
        <f t="shared" si="114"/>
        <v>11.626666666666667</v>
      </c>
      <c r="T400" s="65"/>
      <c r="U400" s="65"/>
      <c r="V400" s="65"/>
      <c r="W400" s="74" t="s">
        <v>204</v>
      </c>
      <c r="X400" s="20" t="str">
        <f t="shared" si="111"/>
        <v>MBR-DRSG-B45-BTM</v>
      </c>
      <c r="Y400" s="7">
        <f t="shared" si="109"/>
        <v>11.626666666666667</v>
      </c>
      <c r="AA400"/>
      <c r="AE400"/>
    </row>
    <row r="401" spans="1:31" x14ac:dyDescent="0.3">
      <c r="A401" s="4">
        <f t="shared" si="112"/>
        <v>396</v>
      </c>
      <c r="B401" s="39"/>
      <c r="C401" s="39"/>
      <c r="D401" s="39"/>
      <c r="E401" s="39"/>
      <c r="F401" s="17" t="s">
        <v>32</v>
      </c>
      <c r="G401" s="39">
        <f>C397-110-36+16</f>
        <v>1995</v>
      </c>
      <c r="H401" s="39">
        <f>D397-36+16</f>
        <v>1180</v>
      </c>
      <c r="I401" s="39">
        <v>1</v>
      </c>
      <c r="J401" s="62" t="s">
        <v>35</v>
      </c>
      <c r="K401" s="17" t="s">
        <v>15</v>
      </c>
      <c r="L401" s="39"/>
      <c r="M401" s="39"/>
      <c r="N401" s="39"/>
      <c r="O401" s="39"/>
      <c r="P401" s="39"/>
      <c r="Q401" s="4"/>
      <c r="R401" s="6">
        <f t="shared" si="110"/>
        <v>21.166666666666668</v>
      </c>
      <c r="S401" s="65"/>
      <c r="T401" s="65"/>
      <c r="U401" s="65"/>
      <c r="V401" s="65"/>
      <c r="W401" s="74" t="s">
        <v>204</v>
      </c>
      <c r="X401" s="20" t="str">
        <f t="shared" si="111"/>
        <v>MBR-DRSG-B45-BACK UP</v>
      </c>
      <c r="Y401" s="7">
        <f t="shared" si="109"/>
        <v>21.166666666666668</v>
      </c>
      <c r="AA401"/>
      <c r="AE401"/>
    </row>
    <row r="402" spans="1:31" x14ac:dyDescent="0.3">
      <c r="A402" s="4">
        <f t="shared" si="112"/>
        <v>397</v>
      </c>
      <c r="B402" s="4"/>
      <c r="C402" s="4"/>
      <c r="D402" s="4"/>
      <c r="E402" s="4"/>
      <c r="F402" s="17" t="s">
        <v>38</v>
      </c>
      <c r="G402" s="39">
        <f>D397/2-18-9</f>
        <v>573</v>
      </c>
      <c r="H402" s="39">
        <f>E397-25</f>
        <v>555</v>
      </c>
      <c r="I402" s="39">
        <v>2</v>
      </c>
      <c r="J402" s="62" t="s">
        <v>34</v>
      </c>
      <c r="K402" s="17" t="s">
        <v>15</v>
      </c>
      <c r="L402" s="39"/>
      <c r="M402" s="39">
        <v>1</v>
      </c>
      <c r="N402" s="39">
        <v>1</v>
      </c>
      <c r="O402" s="39">
        <v>1</v>
      </c>
      <c r="P402" s="39">
        <v>1</v>
      </c>
      <c r="Q402" s="4"/>
      <c r="R402" s="6">
        <f t="shared" si="110"/>
        <v>15.04</v>
      </c>
      <c r="S402" s="6">
        <f t="shared" ref="S402:S407" si="115">R402</f>
        <v>15.04</v>
      </c>
      <c r="T402" s="65"/>
      <c r="U402" s="65"/>
      <c r="V402" s="65"/>
      <c r="W402" s="74" t="s">
        <v>204</v>
      </c>
      <c r="X402" s="20" t="str">
        <f t="shared" si="111"/>
        <v>MBR-DRSG-B45-Fshelf</v>
      </c>
      <c r="Y402" s="7">
        <f t="shared" si="109"/>
        <v>15.04</v>
      </c>
      <c r="AA402"/>
      <c r="AE402"/>
    </row>
    <row r="403" spans="1:31" x14ac:dyDescent="0.3">
      <c r="A403" s="98">
        <f t="shared" si="112"/>
        <v>398</v>
      </c>
      <c r="B403" s="4"/>
      <c r="C403" s="4"/>
      <c r="D403" s="4"/>
      <c r="E403" s="4"/>
      <c r="F403" s="17" t="s">
        <v>33</v>
      </c>
      <c r="G403" s="39">
        <f>G402-1</f>
        <v>572</v>
      </c>
      <c r="H403" s="39">
        <f>H402</f>
        <v>555</v>
      </c>
      <c r="I403" s="39">
        <v>3</v>
      </c>
      <c r="J403" s="62" t="s">
        <v>34</v>
      </c>
      <c r="K403" s="17" t="s">
        <v>15</v>
      </c>
      <c r="L403" s="39"/>
      <c r="M403" s="39">
        <v>1</v>
      </c>
      <c r="N403" s="39">
        <v>1</v>
      </c>
      <c r="O403" s="39">
        <v>1</v>
      </c>
      <c r="P403" s="39">
        <v>1</v>
      </c>
      <c r="Q403" s="4"/>
      <c r="R403" s="6">
        <f t="shared" si="110"/>
        <v>22.54</v>
      </c>
      <c r="S403" s="6">
        <f t="shared" si="115"/>
        <v>22.54</v>
      </c>
      <c r="T403" s="65"/>
      <c r="U403" s="65"/>
      <c r="V403" s="65"/>
      <c r="W403" s="74" t="s">
        <v>204</v>
      </c>
      <c r="X403" s="20" t="str">
        <f t="shared" si="111"/>
        <v>MBR-DRSG-B45-Lshelf</v>
      </c>
      <c r="Y403" s="7">
        <f t="shared" si="109"/>
        <v>22.54</v>
      </c>
      <c r="AA403"/>
      <c r="AE403"/>
    </row>
    <row r="404" spans="1:31" x14ac:dyDescent="0.3">
      <c r="A404" s="99"/>
      <c r="B404" s="4"/>
      <c r="C404" s="95" t="s">
        <v>259</v>
      </c>
      <c r="D404" s="96"/>
      <c r="E404" s="97"/>
      <c r="F404" s="35" t="s">
        <v>43</v>
      </c>
      <c r="G404" s="36">
        <f>C397-110-36</f>
        <v>1979</v>
      </c>
      <c r="H404" s="36">
        <f>E397-20</f>
        <v>560</v>
      </c>
      <c r="I404" s="39">
        <v>1</v>
      </c>
      <c r="J404" s="62" t="s">
        <v>34</v>
      </c>
      <c r="K404" s="17" t="s">
        <v>15</v>
      </c>
      <c r="L404" s="39"/>
      <c r="M404" s="39">
        <v>1</v>
      </c>
      <c r="N404" s="39">
        <v>1</v>
      </c>
      <c r="O404" s="39">
        <v>1</v>
      </c>
      <c r="P404" s="39">
        <v>1</v>
      </c>
      <c r="Q404" s="4"/>
      <c r="R404" s="6">
        <f t="shared" ref="R404" si="116">(G404+H404)*2*I404/300</f>
        <v>16.926666666666666</v>
      </c>
      <c r="S404" s="6">
        <f t="shared" ref="S404" si="117">R404</f>
        <v>16.926666666666666</v>
      </c>
      <c r="T404" s="65"/>
      <c r="U404" s="65"/>
      <c r="V404" s="65"/>
      <c r="W404" s="74"/>
      <c r="Y404" s="7">
        <f t="shared" si="109"/>
        <v>16.926666666666666</v>
      </c>
      <c r="AA404"/>
      <c r="AE404"/>
    </row>
    <row r="405" spans="1:31" x14ac:dyDescent="0.3">
      <c r="A405" s="4">
        <f>A403+1</f>
        <v>399</v>
      </c>
      <c r="B405" s="4"/>
      <c r="C405" s="4"/>
      <c r="D405" s="4"/>
      <c r="E405" s="4"/>
      <c r="F405" s="17" t="s">
        <v>152</v>
      </c>
      <c r="G405" s="39">
        <f>200</f>
        <v>200</v>
      </c>
      <c r="H405" s="39">
        <v>550</v>
      </c>
      <c r="I405" s="39">
        <v>2</v>
      </c>
      <c r="J405" s="62" t="s">
        <v>34</v>
      </c>
      <c r="K405" s="17" t="s">
        <v>15</v>
      </c>
      <c r="L405" s="39"/>
      <c r="M405" s="39">
        <v>1</v>
      </c>
      <c r="N405" s="39">
        <v>1</v>
      </c>
      <c r="O405" s="39">
        <v>1</v>
      </c>
      <c r="P405" s="39">
        <v>1</v>
      </c>
      <c r="Q405" s="4"/>
      <c r="R405" s="6">
        <f t="shared" si="110"/>
        <v>10</v>
      </c>
      <c r="S405" s="6">
        <f t="shared" si="115"/>
        <v>10</v>
      </c>
      <c r="T405" s="65"/>
      <c r="U405" s="65"/>
      <c r="V405" s="65"/>
      <c r="W405" s="74" t="s">
        <v>204</v>
      </c>
      <c r="X405" s="20" t="str">
        <f t="shared" si="111"/>
        <v>MBR-DRSG-B45-DR DUMMY</v>
      </c>
      <c r="Y405" s="7">
        <f t="shared" si="109"/>
        <v>10</v>
      </c>
      <c r="AA405"/>
      <c r="AE405"/>
    </row>
    <row r="406" spans="1:31" x14ac:dyDescent="0.3">
      <c r="A406" s="4">
        <f t="shared" si="112"/>
        <v>400</v>
      </c>
      <c r="B406" s="4"/>
      <c r="C406" s="4"/>
      <c r="D406" s="4"/>
      <c r="E406" s="4"/>
      <c r="F406" s="17" t="s">
        <v>39</v>
      </c>
      <c r="G406" s="39">
        <f>150</f>
        <v>150</v>
      </c>
      <c r="H406" s="39">
        <f>500</f>
        <v>500</v>
      </c>
      <c r="I406" s="39">
        <v>4</v>
      </c>
      <c r="J406" s="62" t="s">
        <v>34</v>
      </c>
      <c r="K406" s="17" t="s">
        <v>15</v>
      </c>
      <c r="L406" s="39"/>
      <c r="M406" s="39">
        <v>1</v>
      </c>
      <c r="N406" s="39">
        <v>1</v>
      </c>
      <c r="O406" s="39">
        <v>1</v>
      </c>
      <c r="P406" s="39">
        <v>1</v>
      </c>
      <c r="Q406" s="4"/>
      <c r="R406" s="6">
        <f t="shared" si="110"/>
        <v>17.333333333333332</v>
      </c>
      <c r="S406" s="6">
        <f t="shared" si="115"/>
        <v>17.333333333333332</v>
      </c>
      <c r="T406" s="65"/>
      <c r="U406" s="65"/>
      <c r="V406" s="65"/>
      <c r="W406" s="74" t="s">
        <v>204</v>
      </c>
      <c r="X406" s="20" t="str">
        <f t="shared" si="111"/>
        <v>MBR-DRSG-B45-DR SIDES</v>
      </c>
      <c r="Y406" s="7">
        <f t="shared" si="109"/>
        <v>17.333333333333332</v>
      </c>
      <c r="AA406"/>
      <c r="AE406"/>
    </row>
    <row r="407" spans="1:31" x14ac:dyDescent="0.3">
      <c r="A407" s="4">
        <f t="shared" si="112"/>
        <v>401</v>
      </c>
      <c r="B407" s="4"/>
      <c r="C407" s="4"/>
      <c r="D407" s="4"/>
      <c r="E407" s="4"/>
      <c r="F407" s="17" t="s">
        <v>40</v>
      </c>
      <c r="G407" s="39">
        <f>G406</f>
        <v>150</v>
      </c>
      <c r="H407" s="39">
        <f>D397/2-18-18-9-26-36</f>
        <v>493</v>
      </c>
      <c r="I407" s="39">
        <v>4</v>
      </c>
      <c r="J407" s="62" t="s">
        <v>34</v>
      </c>
      <c r="K407" s="17" t="s">
        <v>15</v>
      </c>
      <c r="L407" s="39"/>
      <c r="M407" s="39">
        <v>1</v>
      </c>
      <c r="N407" s="39">
        <v>1</v>
      </c>
      <c r="O407" s="39">
        <v>1</v>
      </c>
      <c r="P407" s="39">
        <v>1</v>
      </c>
      <c r="Q407" s="4"/>
      <c r="R407" s="6">
        <f t="shared" si="110"/>
        <v>17.146666666666668</v>
      </c>
      <c r="S407" s="6">
        <f t="shared" si="115"/>
        <v>17.146666666666668</v>
      </c>
      <c r="T407" s="65"/>
      <c r="U407" s="65"/>
      <c r="V407" s="65"/>
      <c r="W407" s="74" t="s">
        <v>204</v>
      </c>
      <c r="X407" s="20" t="str">
        <f t="shared" si="111"/>
        <v>MBR-DRSG-B45-DR F/B</v>
      </c>
      <c r="Y407" s="7">
        <f t="shared" si="109"/>
        <v>17.146666666666668</v>
      </c>
      <c r="AA407"/>
      <c r="AE407"/>
    </row>
    <row r="408" spans="1:31" x14ac:dyDescent="0.3">
      <c r="A408" s="4">
        <f t="shared" si="112"/>
        <v>402</v>
      </c>
      <c r="B408" s="4"/>
      <c r="C408" s="4"/>
      <c r="D408" s="4"/>
      <c r="E408" s="4"/>
      <c r="F408" s="17" t="s">
        <v>41</v>
      </c>
      <c r="G408" s="4">
        <f>H406-36+16</f>
        <v>480</v>
      </c>
      <c r="H408" s="4">
        <f>H407+16</f>
        <v>509</v>
      </c>
      <c r="I408" s="4">
        <v>2</v>
      </c>
      <c r="J408" s="62" t="s">
        <v>35</v>
      </c>
      <c r="K408" s="17" t="s">
        <v>15</v>
      </c>
      <c r="L408" s="4"/>
      <c r="M408" s="4"/>
      <c r="N408" s="4"/>
      <c r="O408" s="4"/>
      <c r="P408" s="4"/>
      <c r="Q408" s="4"/>
      <c r="R408" s="6">
        <f t="shared" si="110"/>
        <v>13.186666666666667</v>
      </c>
      <c r="S408" s="65"/>
      <c r="T408" s="65"/>
      <c r="U408" s="65"/>
      <c r="V408" s="65"/>
      <c r="W408" s="74" t="s">
        <v>204</v>
      </c>
      <c r="X408" s="20" t="str">
        <f t="shared" si="111"/>
        <v>MBR-DRSG-B45-DR BACK UP</v>
      </c>
      <c r="Y408" s="7">
        <f t="shared" si="109"/>
        <v>13.186666666666667</v>
      </c>
      <c r="AA408"/>
      <c r="AE408"/>
    </row>
    <row r="409" spans="1:31" x14ac:dyDescent="0.3">
      <c r="A409" s="4">
        <f t="shared" si="112"/>
        <v>403</v>
      </c>
      <c r="B409" s="4"/>
      <c r="C409" s="4"/>
      <c r="D409" s="4"/>
      <c r="E409" s="4"/>
      <c r="F409" s="17" t="s">
        <v>42</v>
      </c>
      <c r="G409" s="4">
        <f>200-2</f>
        <v>198</v>
      </c>
      <c r="H409" s="4">
        <f>D397/2-18-9-18-2</f>
        <v>553</v>
      </c>
      <c r="I409" s="4">
        <v>2</v>
      </c>
      <c r="J409" s="62" t="s">
        <v>34</v>
      </c>
      <c r="K409" s="17" t="s">
        <v>15</v>
      </c>
      <c r="L409" s="39"/>
      <c r="M409" s="39">
        <v>1</v>
      </c>
      <c r="N409" s="39">
        <v>1</v>
      </c>
      <c r="O409" s="39">
        <v>1</v>
      </c>
      <c r="P409" s="39">
        <v>1</v>
      </c>
      <c r="Q409" s="4"/>
      <c r="R409" s="6">
        <f t="shared" si="110"/>
        <v>10.013333333333334</v>
      </c>
      <c r="S409" s="6">
        <f>R409</f>
        <v>10.013333333333334</v>
      </c>
      <c r="T409" s="65"/>
      <c r="U409" s="65"/>
      <c r="V409" s="65"/>
      <c r="W409" s="74" t="s">
        <v>204</v>
      </c>
      <c r="X409" s="20" t="str">
        <f t="shared" si="111"/>
        <v>MBR-DRSG-B45-DR FACIA</v>
      </c>
      <c r="Y409" s="7">
        <f t="shared" si="109"/>
        <v>10.013333333333334</v>
      </c>
      <c r="AA409"/>
      <c r="AE409"/>
    </row>
    <row r="410" spans="1:31" x14ac:dyDescent="0.3">
      <c r="A410" s="4">
        <f t="shared" si="112"/>
        <v>404</v>
      </c>
      <c r="B410" s="4"/>
      <c r="C410" s="4"/>
      <c r="D410" s="4"/>
      <c r="E410" s="4"/>
      <c r="F410" s="19" t="s">
        <v>36</v>
      </c>
      <c r="G410" s="4">
        <f>C397-110-2</f>
        <v>2013</v>
      </c>
      <c r="H410" s="4">
        <f>D397/2-2</f>
        <v>598</v>
      </c>
      <c r="I410" s="4">
        <v>1</v>
      </c>
      <c r="J410" s="82" t="s">
        <v>141</v>
      </c>
      <c r="K410" s="39" t="s">
        <v>15</v>
      </c>
      <c r="L410" s="39"/>
      <c r="M410" s="39">
        <v>3</v>
      </c>
      <c r="N410" s="39">
        <v>3</v>
      </c>
      <c r="O410" s="39">
        <v>3</v>
      </c>
      <c r="P410" s="39">
        <v>3</v>
      </c>
      <c r="Q410" s="4"/>
      <c r="R410" s="6">
        <f t="shared" si="110"/>
        <v>17.406666666666666</v>
      </c>
      <c r="S410" s="65"/>
      <c r="T410" s="6">
        <f t="shared" ref="T410:T413" si="118">R410</f>
        <v>17.406666666666666</v>
      </c>
      <c r="U410" s="65"/>
      <c r="V410" s="65"/>
      <c r="W410" s="74" t="s">
        <v>204</v>
      </c>
      <c r="X410" s="20" t="str">
        <f t="shared" si="111"/>
        <v>MBR-DRSG-B45-SHUTTER</v>
      </c>
      <c r="Y410" s="7">
        <f t="shared" si="109"/>
        <v>17.406666666666666</v>
      </c>
      <c r="AA410"/>
      <c r="AE410"/>
    </row>
    <row r="411" spans="1:31" x14ac:dyDescent="0.3">
      <c r="A411" s="4">
        <f t="shared" si="112"/>
        <v>405</v>
      </c>
      <c r="B411" s="4"/>
      <c r="C411" s="4"/>
      <c r="D411" s="4"/>
      <c r="E411" s="4"/>
      <c r="F411" s="19" t="s">
        <v>36</v>
      </c>
      <c r="G411" s="4">
        <f>G410</f>
        <v>2013</v>
      </c>
      <c r="H411" s="4">
        <f>H410</f>
        <v>598</v>
      </c>
      <c r="I411" s="4">
        <v>1</v>
      </c>
      <c r="J411" s="61" t="s">
        <v>142</v>
      </c>
      <c r="K411" s="39" t="s">
        <v>15</v>
      </c>
      <c r="L411" s="39"/>
      <c r="M411" s="39">
        <v>3</v>
      </c>
      <c r="N411" s="39">
        <v>3</v>
      </c>
      <c r="O411" s="39">
        <v>3</v>
      </c>
      <c r="P411" s="39">
        <v>3</v>
      </c>
      <c r="Q411" s="4"/>
      <c r="R411" s="6">
        <f t="shared" si="110"/>
        <v>17.406666666666666</v>
      </c>
      <c r="S411" s="65"/>
      <c r="T411" s="6">
        <f t="shared" si="118"/>
        <v>17.406666666666666</v>
      </c>
      <c r="U411" s="65"/>
      <c r="V411" s="65"/>
      <c r="W411" s="74" t="s">
        <v>204</v>
      </c>
      <c r="X411" s="20" t="str">
        <f t="shared" si="111"/>
        <v>MBR-DRSG-B45-SHUTTER</v>
      </c>
      <c r="Y411" s="7">
        <f t="shared" si="109"/>
        <v>17.406666666666666</v>
      </c>
      <c r="AA411"/>
      <c r="AE411"/>
    </row>
    <row r="412" spans="1:31" x14ac:dyDescent="0.3">
      <c r="A412" s="4">
        <f t="shared" si="112"/>
        <v>406</v>
      </c>
      <c r="B412" s="4"/>
      <c r="C412" s="4"/>
      <c r="D412" s="4"/>
      <c r="E412" s="4"/>
      <c r="F412" s="17" t="s">
        <v>55</v>
      </c>
      <c r="G412" s="4">
        <f>C397</f>
        <v>2125</v>
      </c>
      <c r="H412" s="4">
        <v>100</v>
      </c>
      <c r="I412" s="4">
        <v>2</v>
      </c>
      <c r="J412" s="35" t="s">
        <v>140</v>
      </c>
      <c r="K412" s="39" t="s">
        <v>15</v>
      </c>
      <c r="L412" s="39"/>
      <c r="M412" s="39">
        <v>3</v>
      </c>
      <c r="N412" s="39">
        <v>3</v>
      </c>
      <c r="O412" s="39">
        <v>3</v>
      </c>
      <c r="P412" s="39">
        <v>3</v>
      </c>
      <c r="Q412" s="4"/>
      <c r="R412" s="6">
        <f t="shared" si="110"/>
        <v>29.666666666666668</v>
      </c>
      <c r="S412" s="65"/>
      <c r="T412" s="6">
        <f t="shared" si="118"/>
        <v>29.666666666666668</v>
      </c>
      <c r="U412" s="65"/>
      <c r="V412" s="65"/>
      <c r="W412" s="74" t="s">
        <v>204</v>
      </c>
      <c r="X412" s="20" t="str">
        <f t="shared" si="111"/>
        <v>MBR-DRSG-B45-FILLERS</v>
      </c>
      <c r="Y412" s="7">
        <f t="shared" si="109"/>
        <v>29.666666666666668</v>
      </c>
      <c r="AA412"/>
      <c r="AE412"/>
    </row>
    <row r="413" spans="1:31" x14ac:dyDescent="0.3">
      <c r="A413" s="4">
        <f t="shared" si="112"/>
        <v>407</v>
      </c>
      <c r="B413" s="4"/>
      <c r="C413" s="4"/>
      <c r="D413" s="4"/>
      <c r="E413" s="4"/>
      <c r="F413" s="17" t="s">
        <v>49</v>
      </c>
      <c r="G413" s="4">
        <f>1350</f>
        <v>1350</v>
      </c>
      <c r="H413" s="4">
        <v>110</v>
      </c>
      <c r="I413" s="4">
        <v>1</v>
      </c>
      <c r="J413" s="35" t="s">
        <v>140</v>
      </c>
      <c r="K413" s="39" t="s">
        <v>15</v>
      </c>
      <c r="L413" s="39"/>
      <c r="M413" s="39">
        <v>3</v>
      </c>
      <c r="N413" s="39">
        <v>3</v>
      </c>
      <c r="O413" s="39">
        <v>3</v>
      </c>
      <c r="P413" s="39">
        <v>3</v>
      </c>
      <c r="Q413" s="4"/>
      <c r="R413" s="6">
        <f t="shared" si="110"/>
        <v>9.7333333333333325</v>
      </c>
      <c r="S413" s="65"/>
      <c r="T413" s="6">
        <f t="shared" si="118"/>
        <v>9.7333333333333325</v>
      </c>
      <c r="U413" s="65"/>
      <c r="V413" s="65"/>
      <c r="W413" s="74" t="s">
        <v>204</v>
      </c>
      <c r="X413" s="20" t="str">
        <f t="shared" si="111"/>
        <v>MBR-DRSG-B45-SKIRTING</v>
      </c>
      <c r="Y413" s="7">
        <f t="shared" si="109"/>
        <v>9.7333333333333325</v>
      </c>
      <c r="AA413"/>
      <c r="AE413"/>
    </row>
    <row r="414" spans="1:31" x14ac:dyDescent="0.3">
      <c r="A414" s="4">
        <f t="shared" si="112"/>
        <v>408</v>
      </c>
      <c r="B414" s="4"/>
      <c r="C414" s="103" t="s">
        <v>44</v>
      </c>
      <c r="D414" s="104"/>
      <c r="E414" s="105"/>
      <c r="F414" s="17" t="s">
        <v>45</v>
      </c>
      <c r="G414" s="4">
        <v>2400</v>
      </c>
      <c r="H414" s="4">
        <v>100</v>
      </c>
      <c r="I414" s="4">
        <v>2</v>
      </c>
      <c r="J414" s="62" t="s">
        <v>34</v>
      </c>
      <c r="K414" s="17" t="s">
        <v>15</v>
      </c>
      <c r="L414" s="39"/>
      <c r="M414" s="39">
        <v>1</v>
      </c>
      <c r="N414" s="39">
        <v>1</v>
      </c>
      <c r="O414" s="39">
        <v>1</v>
      </c>
      <c r="P414" s="39">
        <v>1</v>
      </c>
      <c r="Q414" s="4"/>
      <c r="R414" s="6">
        <f t="shared" si="110"/>
        <v>33.333333333333336</v>
      </c>
      <c r="S414" s="6">
        <f>R414</f>
        <v>33.333333333333336</v>
      </c>
      <c r="T414" s="65"/>
      <c r="U414" s="65"/>
      <c r="V414" s="65"/>
      <c r="W414" s="74" t="s">
        <v>204</v>
      </c>
      <c r="X414" s="20" t="str">
        <f t="shared" si="111"/>
        <v>MBR-DRSG-B45-LOFT FRAMES</v>
      </c>
      <c r="Y414" s="7">
        <f t="shared" si="109"/>
        <v>33.333333333333336</v>
      </c>
      <c r="AA414"/>
      <c r="AE414"/>
    </row>
    <row r="415" spans="1:31" x14ac:dyDescent="0.3">
      <c r="A415" s="4">
        <f t="shared" si="112"/>
        <v>409</v>
      </c>
      <c r="B415" s="4"/>
      <c r="C415" s="39"/>
      <c r="D415" s="39"/>
      <c r="E415" s="39"/>
      <c r="F415" s="17" t="s">
        <v>46</v>
      </c>
      <c r="G415" s="4">
        <v>2400</v>
      </c>
      <c r="H415" s="4">
        <v>100</v>
      </c>
      <c r="I415" s="4">
        <v>1</v>
      </c>
      <c r="J415" s="81" t="s">
        <v>140</v>
      </c>
      <c r="K415" s="39" t="s">
        <v>15</v>
      </c>
      <c r="L415" s="39"/>
      <c r="M415" s="39">
        <v>3</v>
      </c>
      <c r="N415" s="39">
        <v>3</v>
      </c>
      <c r="O415" s="39">
        <v>3</v>
      </c>
      <c r="P415" s="39">
        <v>3</v>
      </c>
      <c r="Q415" s="4"/>
      <c r="R415" s="6">
        <f t="shared" si="110"/>
        <v>16.666666666666668</v>
      </c>
      <c r="S415" s="65"/>
      <c r="T415" s="6">
        <f t="shared" ref="T415:T417" si="119">R415</f>
        <v>16.666666666666668</v>
      </c>
      <c r="U415" s="65"/>
      <c r="V415" s="65"/>
      <c r="W415" s="74" t="s">
        <v>204</v>
      </c>
      <c r="X415" s="20" t="str">
        <f t="shared" si="111"/>
        <v>MBR-DRSG-B45-LOFT FILLERS</v>
      </c>
      <c r="Y415" s="7">
        <f t="shared" si="109"/>
        <v>16.666666666666668</v>
      </c>
      <c r="AA415"/>
      <c r="AE415"/>
    </row>
    <row r="416" spans="1:31" x14ac:dyDescent="0.3">
      <c r="A416" s="4">
        <f t="shared" si="112"/>
        <v>410</v>
      </c>
      <c r="B416" s="4"/>
      <c r="C416" s="39"/>
      <c r="D416" s="39"/>
      <c r="E416" s="39"/>
      <c r="F416" s="17" t="s">
        <v>48</v>
      </c>
      <c r="G416" s="49">
        <f>520-2</f>
        <v>518</v>
      </c>
      <c r="H416" s="49">
        <f>1200/2-2</f>
        <v>598</v>
      </c>
      <c r="I416" s="4">
        <v>1</v>
      </c>
      <c r="J416" s="82" t="s">
        <v>143</v>
      </c>
      <c r="K416" s="39" t="s">
        <v>15</v>
      </c>
      <c r="L416" s="39"/>
      <c r="M416" s="39">
        <v>3</v>
      </c>
      <c r="N416" s="39">
        <v>3</v>
      </c>
      <c r="O416" s="39">
        <v>3</v>
      </c>
      <c r="P416" s="39">
        <v>3</v>
      </c>
      <c r="Q416" s="4"/>
      <c r="R416" s="6">
        <f t="shared" si="110"/>
        <v>7.44</v>
      </c>
      <c r="S416" s="65"/>
      <c r="T416" s="6">
        <f t="shared" si="119"/>
        <v>7.44</v>
      </c>
      <c r="U416" s="65"/>
      <c r="V416" s="65"/>
      <c r="W416" s="74" t="s">
        <v>204</v>
      </c>
      <c r="X416" s="20" t="str">
        <f t="shared" si="111"/>
        <v>MBR-DRSG-B45-LOFT SHUTTERS</v>
      </c>
      <c r="Y416" s="7">
        <f t="shared" si="109"/>
        <v>7.44</v>
      </c>
      <c r="AA416"/>
      <c r="AE416"/>
    </row>
    <row r="417" spans="1:31" x14ac:dyDescent="0.3">
      <c r="A417" s="4">
        <f t="shared" si="112"/>
        <v>411</v>
      </c>
      <c r="B417" s="4"/>
      <c r="C417" s="4"/>
      <c r="D417" s="4"/>
      <c r="E417" s="4"/>
      <c r="F417" s="17" t="s">
        <v>48</v>
      </c>
      <c r="G417" s="49">
        <f>G416</f>
        <v>518</v>
      </c>
      <c r="H417" s="49">
        <f>H416</f>
        <v>598</v>
      </c>
      <c r="I417" s="4">
        <v>1</v>
      </c>
      <c r="J417" s="61" t="s">
        <v>148</v>
      </c>
      <c r="K417" s="39" t="s">
        <v>15</v>
      </c>
      <c r="L417" s="39"/>
      <c r="M417" s="39">
        <v>3</v>
      </c>
      <c r="N417" s="39">
        <v>3</v>
      </c>
      <c r="O417" s="39">
        <v>3</v>
      </c>
      <c r="P417" s="39">
        <v>3</v>
      </c>
      <c r="Q417" s="4"/>
      <c r="R417" s="6">
        <f t="shared" si="110"/>
        <v>7.44</v>
      </c>
      <c r="S417" s="65"/>
      <c r="T417" s="6">
        <f t="shared" si="119"/>
        <v>7.44</v>
      </c>
      <c r="U417" s="65"/>
      <c r="V417" s="65"/>
      <c r="W417" s="74" t="s">
        <v>204</v>
      </c>
      <c r="X417" s="20" t="str">
        <f t="shared" si="111"/>
        <v>MBR-DRSG-B45-LOFT SHUTTERS</v>
      </c>
      <c r="Y417" s="7">
        <f t="shared" si="109"/>
        <v>7.44</v>
      </c>
      <c r="AA417"/>
      <c r="AE417"/>
    </row>
    <row r="418" spans="1:31" x14ac:dyDescent="0.3">
      <c r="A418" s="4">
        <f t="shared" si="112"/>
        <v>412</v>
      </c>
      <c r="B418" s="23" t="s">
        <v>205</v>
      </c>
      <c r="C418" s="23">
        <v>2120</v>
      </c>
      <c r="D418" s="23">
        <v>1950</v>
      </c>
      <c r="E418" s="23">
        <f>580</f>
        <v>580</v>
      </c>
      <c r="F418" s="19" t="s">
        <v>28</v>
      </c>
      <c r="G418" s="4">
        <f>C418</f>
        <v>2120</v>
      </c>
      <c r="H418" s="4">
        <f>E418</f>
        <v>580</v>
      </c>
      <c r="I418" s="4">
        <v>1</v>
      </c>
      <c r="J418" s="62" t="s">
        <v>34</v>
      </c>
      <c r="K418" s="17" t="s">
        <v>15</v>
      </c>
      <c r="L418" s="39"/>
      <c r="M418" s="39">
        <v>1</v>
      </c>
      <c r="N418" s="39">
        <v>1</v>
      </c>
      <c r="O418" s="39">
        <v>1</v>
      </c>
      <c r="P418" s="39">
        <v>1</v>
      </c>
      <c r="Q418" s="4"/>
      <c r="R418" s="6">
        <f t="shared" si="110"/>
        <v>18</v>
      </c>
      <c r="S418" s="6">
        <f>R418</f>
        <v>18</v>
      </c>
      <c r="T418" s="65"/>
      <c r="U418" s="65"/>
      <c r="V418" s="65"/>
      <c r="W418" s="74" t="s">
        <v>205</v>
      </c>
      <c r="X418" s="20" t="str">
        <f t="shared" si="111"/>
        <v>BR1-B46-LHS</v>
      </c>
      <c r="Y418" s="7">
        <f t="shared" si="109"/>
        <v>18</v>
      </c>
      <c r="AA418"/>
      <c r="AE418"/>
    </row>
    <row r="419" spans="1:31" x14ac:dyDescent="0.3">
      <c r="A419" s="4">
        <f t="shared" si="112"/>
        <v>413</v>
      </c>
      <c r="B419" s="4"/>
      <c r="C419" s="4"/>
      <c r="D419" s="4"/>
      <c r="E419" s="4"/>
      <c r="F419" s="19" t="s">
        <v>29</v>
      </c>
      <c r="G419" s="4">
        <f>G418</f>
        <v>2120</v>
      </c>
      <c r="H419" s="4">
        <f>H418</f>
        <v>580</v>
      </c>
      <c r="I419" s="4">
        <v>1</v>
      </c>
      <c r="J419" s="61" t="s">
        <v>72</v>
      </c>
      <c r="K419" s="39"/>
      <c r="L419" s="39"/>
      <c r="M419" s="39">
        <v>2</v>
      </c>
      <c r="N419" s="39">
        <v>2</v>
      </c>
      <c r="O419" s="39">
        <v>2</v>
      </c>
      <c r="P419" s="39">
        <v>2</v>
      </c>
      <c r="Q419" s="17" t="s">
        <v>64</v>
      </c>
      <c r="R419" s="6">
        <f t="shared" si="110"/>
        <v>18</v>
      </c>
      <c r="S419" s="65"/>
      <c r="T419" s="65"/>
      <c r="U419" s="6">
        <f>R419</f>
        <v>18</v>
      </c>
      <c r="V419" s="65"/>
      <c r="W419" s="74" t="s">
        <v>205</v>
      </c>
      <c r="X419" s="20" t="str">
        <f t="shared" si="111"/>
        <v>BR1-B46-RHS</v>
      </c>
      <c r="Y419" s="7">
        <f t="shared" si="109"/>
        <v>18</v>
      </c>
      <c r="AA419"/>
      <c r="AE419"/>
    </row>
    <row r="420" spans="1:31" x14ac:dyDescent="0.3">
      <c r="A420" s="4">
        <f t="shared" si="112"/>
        <v>414</v>
      </c>
      <c r="B420" s="4"/>
      <c r="C420" s="4"/>
      <c r="D420" s="4"/>
      <c r="E420" s="4"/>
      <c r="F420" s="19" t="s">
        <v>30</v>
      </c>
      <c r="G420" s="4">
        <f>D418-36</f>
        <v>1914</v>
      </c>
      <c r="H420" s="4">
        <f>H419</f>
        <v>580</v>
      </c>
      <c r="I420" s="4">
        <v>1</v>
      </c>
      <c r="J420" s="62" t="s">
        <v>34</v>
      </c>
      <c r="K420" s="17" t="s">
        <v>15</v>
      </c>
      <c r="L420" s="39"/>
      <c r="M420" s="39">
        <v>1</v>
      </c>
      <c r="N420" s="39">
        <v>1</v>
      </c>
      <c r="O420" s="39">
        <v>1</v>
      </c>
      <c r="P420" s="39">
        <v>1</v>
      </c>
      <c r="Q420" s="4"/>
      <c r="R420" s="6">
        <f t="shared" si="110"/>
        <v>16.626666666666665</v>
      </c>
      <c r="S420" s="6">
        <f t="shared" ref="S420:S421" si="120">R420</f>
        <v>16.626666666666665</v>
      </c>
      <c r="T420" s="65"/>
      <c r="U420" s="65"/>
      <c r="V420" s="65"/>
      <c r="W420" s="74" t="s">
        <v>205</v>
      </c>
      <c r="X420" s="20" t="str">
        <f t="shared" si="111"/>
        <v>BR1-B46-TOP</v>
      </c>
      <c r="Y420" s="7">
        <f t="shared" si="109"/>
        <v>16.626666666666665</v>
      </c>
      <c r="AA420"/>
      <c r="AE420"/>
    </row>
    <row r="421" spans="1:31" x14ac:dyDescent="0.3">
      <c r="A421" s="4">
        <f t="shared" si="112"/>
        <v>415</v>
      </c>
      <c r="B421" s="4"/>
      <c r="C421" s="4"/>
      <c r="D421" s="4"/>
      <c r="E421" s="4"/>
      <c r="F421" s="19" t="s">
        <v>31</v>
      </c>
      <c r="G421" s="4">
        <f>G420</f>
        <v>1914</v>
      </c>
      <c r="H421" s="4">
        <f>H420</f>
        <v>580</v>
      </c>
      <c r="I421" s="4">
        <v>1</v>
      </c>
      <c r="J421" s="62" t="s">
        <v>34</v>
      </c>
      <c r="K421" s="17" t="s">
        <v>15</v>
      </c>
      <c r="L421" s="39"/>
      <c r="M421" s="39">
        <v>1</v>
      </c>
      <c r="N421" s="39">
        <v>1</v>
      </c>
      <c r="O421" s="39">
        <v>1</v>
      </c>
      <c r="P421" s="39">
        <v>1</v>
      </c>
      <c r="Q421" s="4"/>
      <c r="R421" s="6">
        <f t="shared" si="110"/>
        <v>16.626666666666665</v>
      </c>
      <c r="S421" s="6">
        <f t="shared" si="120"/>
        <v>16.626666666666665</v>
      </c>
      <c r="T421" s="65"/>
      <c r="U421" s="65"/>
      <c r="V421" s="65"/>
      <c r="W421" s="74" t="s">
        <v>205</v>
      </c>
      <c r="X421" s="20" t="str">
        <f t="shared" si="111"/>
        <v>BR1-B46-BTM</v>
      </c>
      <c r="Y421" s="7">
        <f t="shared" si="109"/>
        <v>16.626666666666665</v>
      </c>
      <c r="AA421"/>
      <c r="AE421"/>
    </row>
    <row r="422" spans="1:31" x14ac:dyDescent="0.3">
      <c r="A422" s="4">
        <f t="shared" si="112"/>
        <v>416</v>
      </c>
      <c r="B422" s="4"/>
      <c r="C422" s="4"/>
      <c r="D422" s="4"/>
      <c r="E422" s="4"/>
      <c r="F422" s="19" t="s">
        <v>159</v>
      </c>
      <c r="G422" s="4">
        <f>C418-110-20</f>
        <v>1990</v>
      </c>
      <c r="H422" s="4">
        <f>D418/2-27+13</f>
        <v>961</v>
      </c>
      <c r="I422" s="4">
        <v>2</v>
      </c>
      <c r="J422" s="62" t="s">
        <v>35</v>
      </c>
      <c r="K422" s="17" t="s">
        <v>15</v>
      </c>
      <c r="L422" s="4"/>
      <c r="M422" s="4"/>
      <c r="N422" s="4"/>
      <c r="O422" s="4"/>
      <c r="P422" s="4"/>
      <c r="Q422" s="4"/>
      <c r="R422" s="6">
        <f t="shared" si="110"/>
        <v>39.346666666666664</v>
      </c>
      <c r="S422" s="65"/>
      <c r="T422" s="65"/>
      <c r="U422" s="65"/>
      <c r="V422" s="65"/>
      <c r="W422" s="74" t="s">
        <v>205</v>
      </c>
      <c r="X422" s="20" t="str">
        <f t="shared" si="111"/>
        <v>BR1-B46-BP</v>
      </c>
      <c r="Y422" s="7">
        <f t="shared" si="109"/>
        <v>39.346666666666664</v>
      </c>
      <c r="AA422"/>
      <c r="AE422"/>
    </row>
    <row r="423" spans="1:31" x14ac:dyDescent="0.3">
      <c r="A423" s="4">
        <f t="shared" si="112"/>
        <v>417</v>
      </c>
      <c r="B423" s="4"/>
      <c r="C423" s="4"/>
      <c r="D423" s="4"/>
      <c r="E423" s="4"/>
      <c r="F423" s="19" t="s">
        <v>160</v>
      </c>
      <c r="G423" s="4">
        <f>C418-110-36</f>
        <v>1974</v>
      </c>
      <c r="H423" s="4">
        <f>E418-20</f>
        <v>560</v>
      </c>
      <c r="I423" s="4">
        <v>1</v>
      </c>
      <c r="J423" s="62" t="s">
        <v>34</v>
      </c>
      <c r="K423" s="17" t="s">
        <v>15</v>
      </c>
      <c r="L423" s="39"/>
      <c r="M423" s="39">
        <v>1</v>
      </c>
      <c r="N423" s="39">
        <v>1</v>
      </c>
      <c r="O423" s="39">
        <v>1</v>
      </c>
      <c r="P423" s="39">
        <v>1</v>
      </c>
      <c r="Q423" s="4"/>
      <c r="R423" s="6">
        <f t="shared" si="110"/>
        <v>16.893333333333334</v>
      </c>
      <c r="S423" s="6">
        <f t="shared" ref="S423:S427" si="121">R423</f>
        <v>16.893333333333334</v>
      </c>
      <c r="T423" s="65"/>
      <c r="U423" s="65"/>
      <c r="V423" s="65"/>
      <c r="W423" s="74" t="s">
        <v>205</v>
      </c>
      <c r="X423" s="20" t="str">
        <f t="shared" si="111"/>
        <v>BR1-B46-CV</v>
      </c>
      <c r="Y423" s="7">
        <f t="shared" si="109"/>
        <v>16.893333333333334</v>
      </c>
      <c r="AA423"/>
      <c r="AE423"/>
    </row>
    <row r="424" spans="1:31" x14ac:dyDescent="0.3">
      <c r="A424" s="4">
        <f t="shared" si="112"/>
        <v>418</v>
      </c>
      <c r="B424" s="4"/>
      <c r="C424" s="4"/>
      <c r="D424" s="4"/>
      <c r="E424" s="4"/>
      <c r="F424" s="19" t="s">
        <v>161</v>
      </c>
      <c r="G424" s="4">
        <f>D418/2-18-9</f>
        <v>948</v>
      </c>
      <c r="H424" s="4">
        <f>E418-20</f>
        <v>560</v>
      </c>
      <c r="I424" s="4">
        <v>2</v>
      </c>
      <c r="J424" s="62" t="s">
        <v>34</v>
      </c>
      <c r="K424" s="17" t="s">
        <v>15</v>
      </c>
      <c r="L424" s="39"/>
      <c r="M424" s="39">
        <v>1</v>
      </c>
      <c r="N424" s="39">
        <v>1</v>
      </c>
      <c r="O424" s="39">
        <v>1</v>
      </c>
      <c r="P424" s="39">
        <v>1</v>
      </c>
      <c r="Q424" s="4"/>
      <c r="R424" s="6">
        <f t="shared" si="110"/>
        <v>20.106666666666666</v>
      </c>
      <c r="S424" s="6">
        <f t="shared" si="121"/>
        <v>20.106666666666666</v>
      </c>
      <c r="T424" s="65"/>
      <c r="U424" s="65"/>
      <c r="V424" s="65"/>
      <c r="W424" s="74" t="s">
        <v>205</v>
      </c>
      <c r="X424" s="20" t="str">
        <f t="shared" si="111"/>
        <v>BR1-B46-F SHELF</v>
      </c>
      <c r="Y424" s="7">
        <f t="shared" si="109"/>
        <v>20.106666666666666</v>
      </c>
      <c r="AA424"/>
      <c r="AE424"/>
    </row>
    <row r="425" spans="1:31" x14ac:dyDescent="0.3">
      <c r="A425" s="4">
        <f t="shared" si="112"/>
        <v>419</v>
      </c>
      <c r="B425" s="4"/>
      <c r="C425" s="4"/>
      <c r="D425" s="4"/>
      <c r="E425" s="4"/>
      <c r="F425" s="17" t="s">
        <v>162</v>
      </c>
      <c r="G425" s="4">
        <f>G424</f>
        <v>948</v>
      </c>
      <c r="H425" s="4">
        <f>E418-25</f>
        <v>555</v>
      </c>
      <c r="I425" s="4">
        <v>4</v>
      </c>
      <c r="J425" s="62" t="s">
        <v>34</v>
      </c>
      <c r="K425" s="17" t="s">
        <v>15</v>
      </c>
      <c r="L425" s="39"/>
      <c r="M425" s="39">
        <v>1</v>
      </c>
      <c r="N425" s="39">
        <v>1</v>
      </c>
      <c r="O425" s="39">
        <v>1</v>
      </c>
      <c r="P425" s="39">
        <v>1</v>
      </c>
      <c r="Q425" s="4"/>
      <c r="R425" s="6">
        <f t="shared" si="110"/>
        <v>40.08</v>
      </c>
      <c r="S425" s="6">
        <f t="shared" si="121"/>
        <v>40.08</v>
      </c>
      <c r="T425" s="65"/>
      <c r="U425" s="65"/>
      <c r="V425" s="65"/>
      <c r="W425" s="74" t="s">
        <v>205</v>
      </c>
      <c r="X425" s="20" t="str">
        <f t="shared" si="111"/>
        <v>BR1-B46-L SHELF</v>
      </c>
      <c r="Y425" s="7">
        <f t="shared" si="109"/>
        <v>40.08</v>
      </c>
      <c r="AA425"/>
      <c r="AE425"/>
    </row>
    <row r="426" spans="1:31" x14ac:dyDescent="0.3">
      <c r="A426" s="4">
        <f t="shared" si="112"/>
        <v>420</v>
      </c>
      <c r="B426" s="4"/>
      <c r="C426" s="4"/>
      <c r="D426" s="4"/>
      <c r="E426" s="4"/>
      <c r="F426" s="17" t="s">
        <v>163</v>
      </c>
      <c r="G426" s="4">
        <f>150</f>
        <v>150</v>
      </c>
      <c r="H426" s="4">
        <f>500</f>
        <v>500</v>
      </c>
      <c r="I426" s="4">
        <v>4</v>
      </c>
      <c r="J426" s="62" t="s">
        <v>34</v>
      </c>
      <c r="K426" s="17" t="s">
        <v>15</v>
      </c>
      <c r="L426" s="39"/>
      <c r="M426" s="39">
        <v>1</v>
      </c>
      <c r="N426" s="39">
        <v>1</v>
      </c>
      <c r="O426" s="39">
        <v>1</v>
      </c>
      <c r="P426" s="39">
        <v>1</v>
      </c>
      <c r="Q426" s="4"/>
      <c r="R426" s="6">
        <f t="shared" si="110"/>
        <v>17.333333333333332</v>
      </c>
      <c r="S426" s="6">
        <f t="shared" si="121"/>
        <v>17.333333333333332</v>
      </c>
      <c r="T426" s="65"/>
      <c r="U426" s="65"/>
      <c r="V426" s="65"/>
      <c r="W426" s="74" t="s">
        <v>205</v>
      </c>
      <c r="X426" s="20" t="str">
        <f t="shared" si="111"/>
        <v>BR1-B46-DR.LR</v>
      </c>
      <c r="Y426" s="7">
        <f t="shared" si="109"/>
        <v>17.333333333333332</v>
      </c>
      <c r="AA426"/>
      <c r="AE426"/>
    </row>
    <row r="427" spans="1:31" x14ac:dyDescent="0.3">
      <c r="A427" s="4">
        <f t="shared" si="112"/>
        <v>421</v>
      </c>
      <c r="B427" s="4"/>
      <c r="C427" s="4"/>
      <c r="D427" s="4"/>
      <c r="E427" s="4"/>
      <c r="F427" s="17" t="s">
        <v>164</v>
      </c>
      <c r="G427" s="4">
        <f>G426</f>
        <v>150</v>
      </c>
      <c r="H427" s="4">
        <f>848</f>
        <v>848</v>
      </c>
      <c r="I427" s="4">
        <v>4</v>
      </c>
      <c r="J427" s="62" t="s">
        <v>34</v>
      </c>
      <c r="K427" s="17" t="s">
        <v>15</v>
      </c>
      <c r="L427" s="39"/>
      <c r="M427" s="39">
        <v>1</v>
      </c>
      <c r="N427" s="39">
        <v>1</v>
      </c>
      <c r="O427" s="39">
        <v>1</v>
      </c>
      <c r="P427" s="39">
        <v>1</v>
      </c>
      <c r="Q427" s="4"/>
      <c r="R427" s="6">
        <f t="shared" si="110"/>
        <v>26.613333333333333</v>
      </c>
      <c r="S427" s="6">
        <f t="shared" si="121"/>
        <v>26.613333333333333</v>
      </c>
      <c r="T427" s="65"/>
      <c r="U427" s="65"/>
      <c r="V427" s="65"/>
      <c r="W427" s="74" t="s">
        <v>205</v>
      </c>
      <c r="X427" s="20" t="str">
        <f t="shared" si="111"/>
        <v>BR1-B46-DR.IO</v>
      </c>
      <c r="Y427" s="7">
        <f t="shared" si="109"/>
        <v>26.613333333333333</v>
      </c>
      <c r="AA427"/>
      <c r="AE427"/>
    </row>
    <row r="428" spans="1:31" x14ac:dyDescent="0.3">
      <c r="A428" s="4">
        <f t="shared" si="112"/>
        <v>422</v>
      </c>
      <c r="B428" s="4"/>
      <c r="C428" s="4"/>
      <c r="D428" s="4"/>
      <c r="E428" s="4"/>
      <c r="F428" s="17" t="s">
        <v>165</v>
      </c>
      <c r="G428" s="4">
        <f>H426-20</f>
        <v>480</v>
      </c>
      <c r="H428" s="4">
        <f>H427+16</f>
        <v>864</v>
      </c>
      <c r="I428" s="4">
        <v>2</v>
      </c>
      <c r="J428" s="62" t="s">
        <v>35</v>
      </c>
      <c r="K428" s="17" t="s">
        <v>15</v>
      </c>
      <c r="L428" s="4"/>
      <c r="M428" s="4"/>
      <c r="N428" s="4"/>
      <c r="O428" s="4"/>
      <c r="P428" s="4"/>
      <c r="Q428" s="4"/>
      <c r="R428" s="6">
        <f t="shared" si="110"/>
        <v>17.920000000000002</v>
      </c>
      <c r="S428" s="65"/>
      <c r="T428" s="65"/>
      <c r="U428" s="65"/>
      <c r="V428" s="65"/>
      <c r="W428" s="74" t="s">
        <v>205</v>
      </c>
      <c r="X428" s="20" t="str">
        <f t="shared" si="111"/>
        <v>BR1-B46-DR.BP</v>
      </c>
      <c r="Y428" s="7">
        <f t="shared" si="109"/>
        <v>17.920000000000002</v>
      </c>
      <c r="AA428"/>
      <c r="AE428"/>
    </row>
    <row r="429" spans="1:31" x14ac:dyDescent="0.3">
      <c r="A429" s="4">
        <f t="shared" si="112"/>
        <v>423</v>
      </c>
      <c r="B429" s="4"/>
      <c r="C429" s="4"/>
      <c r="D429" s="4"/>
      <c r="E429" s="4"/>
      <c r="F429" s="17" t="s">
        <v>166</v>
      </c>
      <c r="G429" s="4">
        <f>198</f>
        <v>198</v>
      </c>
      <c r="H429" s="4">
        <v>910</v>
      </c>
      <c r="I429" s="4">
        <v>2</v>
      </c>
      <c r="J429" s="62" t="s">
        <v>34</v>
      </c>
      <c r="K429" s="17" t="s">
        <v>15</v>
      </c>
      <c r="L429" s="39"/>
      <c r="M429" s="39">
        <v>1</v>
      </c>
      <c r="N429" s="39">
        <v>1</v>
      </c>
      <c r="O429" s="39">
        <v>1</v>
      </c>
      <c r="P429" s="39">
        <v>1</v>
      </c>
      <c r="Q429" s="4"/>
      <c r="R429" s="6">
        <f t="shared" si="110"/>
        <v>14.773333333333333</v>
      </c>
      <c r="S429" s="6">
        <f t="shared" ref="S429:S430" si="122">R429</f>
        <v>14.773333333333333</v>
      </c>
      <c r="T429" s="65"/>
      <c r="U429" s="65"/>
      <c r="V429" s="65"/>
      <c r="W429" s="74" t="s">
        <v>205</v>
      </c>
      <c r="X429" s="20" t="str">
        <f t="shared" si="111"/>
        <v>BR1-B46-DR.FACIA</v>
      </c>
      <c r="Y429" s="7">
        <f t="shared" si="109"/>
        <v>14.773333333333333</v>
      </c>
      <c r="AA429"/>
      <c r="AE429"/>
    </row>
    <row r="430" spans="1:31" x14ac:dyDescent="0.3">
      <c r="A430" s="4">
        <f t="shared" si="112"/>
        <v>424</v>
      </c>
      <c r="B430" s="4"/>
      <c r="C430" s="4"/>
      <c r="D430" s="4"/>
      <c r="E430" s="4"/>
      <c r="F430" s="17" t="s">
        <v>167</v>
      </c>
      <c r="G430" s="4">
        <f>200</f>
        <v>200</v>
      </c>
      <c r="H430" s="4">
        <v>500</v>
      </c>
      <c r="I430" s="4">
        <v>4</v>
      </c>
      <c r="J430" s="62" t="s">
        <v>34</v>
      </c>
      <c r="K430" s="17" t="s">
        <v>15</v>
      </c>
      <c r="L430" s="39"/>
      <c r="M430" s="39">
        <v>1</v>
      </c>
      <c r="N430" s="39">
        <v>1</v>
      </c>
      <c r="O430" s="39">
        <v>1</v>
      </c>
      <c r="P430" s="39">
        <v>1</v>
      </c>
      <c r="Q430" s="4"/>
      <c r="R430" s="6">
        <f t="shared" si="110"/>
        <v>18.666666666666668</v>
      </c>
      <c r="S430" s="6">
        <f t="shared" si="122"/>
        <v>18.666666666666668</v>
      </c>
      <c r="T430" s="65"/>
      <c r="U430" s="65"/>
      <c r="V430" s="65"/>
      <c r="W430" s="74" t="s">
        <v>205</v>
      </c>
      <c r="X430" s="20" t="str">
        <f t="shared" si="111"/>
        <v>BR1-B46-DR.DUMMY</v>
      </c>
      <c r="Y430" s="7">
        <f t="shared" si="109"/>
        <v>18.666666666666668</v>
      </c>
      <c r="AA430"/>
      <c r="AE430"/>
    </row>
    <row r="431" spans="1:31" x14ac:dyDescent="0.3">
      <c r="A431" s="4">
        <f t="shared" si="112"/>
        <v>425</v>
      </c>
      <c r="B431" s="4"/>
      <c r="C431" s="4"/>
      <c r="D431" s="4"/>
      <c r="E431" s="4"/>
      <c r="F431" s="17" t="s">
        <v>36</v>
      </c>
      <c r="G431" s="4">
        <f>C418-110-2</f>
        <v>2008</v>
      </c>
      <c r="H431" s="4">
        <f>D418/4-2</f>
        <v>485.5</v>
      </c>
      <c r="I431" s="4">
        <v>4</v>
      </c>
      <c r="J431" s="82" t="s">
        <v>153</v>
      </c>
      <c r="K431" s="5" t="s">
        <v>15</v>
      </c>
      <c r="L431" s="4"/>
      <c r="M431" s="4">
        <v>3</v>
      </c>
      <c r="N431" s="4">
        <v>3</v>
      </c>
      <c r="O431" s="4">
        <v>3</v>
      </c>
      <c r="P431" s="4">
        <v>3</v>
      </c>
      <c r="Q431" s="4"/>
      <c r="R431" s="6">
        <f t="shared" si="110"/>
        <v>66.493333333333339</v>
      </c>
      <c r="S431" s="65"/>
      <c r="T431" s="6">
        <f>R431</f>
        <v>66.493333333333339</v>
      </c>
      <c r="U431" s="65"/>
      <c r="V431" s="65"/>
      <c r="W431" s="74" t="s">
        <v>205</v>
      </c>
      <c r="X431" s="20" t="str">
        <f t="shared" si="111"/>
        <v>BR1-B46-SHUTTER</v>
      </c>
      <c r="Y431" s="7">
        <f t="shared" si="109"/>
        <v>66.493333333333339</v>
      </c>
      <c r="AA431"/>
      <c r="AE431"/>
    </row>
    <row r="432" spans="1:31" x14ac:dyDescent="0.3">
      <c r="A432" s="4">
        <f t="shared" si="112"/>
        <v>426</v>
      </c>
      <c r="B432" s="4"/>
      <c r="C432" s="4"/>
      <c r="D432" s="4"/>
      <c r="E432" s="4"/>
      <c r="F432" s="17" t="s">
        <v>49</v>
      </c>
      <c r="G432" s="4">
        <v>2400</v>
      </c>
      <c r="H432" s="4">
        <v>110</v>
      </c>
      <c r="I432" s="4">
        <v>1</v>
      </c>
      <c r="J432" s="61" t="s">
        <v>72</v>
      </c>
      <c r="K432" s="39"/>
      <c r="L432" s="39"/>
      <c r="M432" s="39">
        <v>2</v>
      </c>
      <c r="N432" s="39">
        <v>2</v>
      </c>
      <c r="O432" s="39">
        <v>2</v>
      </c>
      <c r="P432" s="39">
        <v>2</v>
      </c>
      <c r="Q432" s="17" t="s">
        <v>64</v>
      </c>
      <c r="R432" s="6">
        <f t="shared" si="110"/>
        <v>16.733333333333334</v>
      </c>
      <c r="S432" s="65"/>
      <c r="T432" s="65"/>
      <c r="U432" s="6">
        <f>R432</f>
        <v>16.733333333333334</v>
      </c>
      <c r="V432" s="65"/>
      <c r="W432" s="74" t="s">
        <v>205</v>
      </c>
      <c r="X432" s="20" t="str">
        <f t="shared" si="111"/>
        <v>BR1-B46-SKIRTING</v>
      </c>
      <c r="Y432" s="7">
        <f t="shared" si="109"/>
        <v>16.733333333333334</v>
      </c>
      <c r="AA432"/>
      <c r="AE432"/>
    </row>
    <row r="433" spans="1:31" x14ac:dyDescent="0.3">
      <c r="A433" s="4">
        <f t="shared" si="112"/>
        <v>427</v>
      </c>
      <c r="B433" s="4"/>
      <c r="C433" s="103" t="s">
        <v>44</v>
      </c>
      <c r="D433" s="104"/>
      <c r="E433" s="105"/>
      <c r="F433" s="17" t="s">
        <v>45</v>
      </c>
      <c r="G433" s="4">
        <v>2400</v>
      </c>
      <c r="H433" s="4">
        <v>100</v>
      </c>
      <c r="I433" s="4">
        <v>4</v>
      </c>
      <c r="J433" s="62" t="s">
        <v>34</v>
      </c>
      <c r="K433" s="17" t="s">
        <v>15</v>
      </c>
      <c r="L433" s="39"/>
      <c r="M433" s="39">
        <v>1</v>
      </c>
      <c r="N433" s="39">
        <v>1</v>
      </c>
      <c r="O433" s="39">
        <v>1</v>
      </c>
      <c r="P433" s="39">
        <v>1</v>
      </c>
      <c r="Q433" s="4"/>
      <c r="R433" s="6">
        <f t="shared" si="110"/>
        <v>66.666666666666671</v>
      </c>
      <c r="S433" s="6">
        <f>R433</f>
        <v>66.666666666666671</v>
      </c>
      <c r="T433" s="65"/>
      <c r="U433" s="65"/>
      <c r="V433" s="65"/>
      <c r="W433" s="74" t="s">
        <v>205</v>
      </c>
      <c r="X433" s="20" t="str">
        <f t="shared" si="111"/>
        <v>BR1-B46-LOFT FRAMES</v>
      </c>
      <c r="Y433" s="7">
        <f t="shared" si="109"/>
        <v>66.666666666666671</v>
      </c>
      <c r="AA433"/>
      <c r="AE433"/>
    </row>
    <row r="434" spans="1:31" x14ac:dyDescent="0.3">
      <c r="A434" s="4">
        <f t="shared" si="112"/>
        <v>428</v>
      </c>
      <c r="B434" s="4"/>
      <c r="C434" s="4"/>
      <c r="D434" s="4"/>
      <c r="E434" s="4"/>
      <c r="F434" s="17" t="s">
        <v>46</v>
      </c>
      <c r="G434" s="4">
        <v>2400</v>
      </c>
      <c r="H434" s="4">
        <v>100</v>
      </c>
      <c r="I434" s="4">
        <v>2</v>
      </c>
      <c r="J434" s="61" t="s">
        <v>72</v>
      </c>
      <c r="K434" s="39"/>
      <c r="L434" s="39"/>
      <c r="M434" s="39">
        <v>2</v>
      </c>
      <c r="N434" s="39">
        <v>2</v>
      </c>
      <c r="O434" s="39">
        <v>2</v>
      </c>
      <c r="P434" s="39">
        <v>2</v>
      </c>
      <c r="Q434" s="17" t="s">
        <v>64</v>
      </c>
      <c r="R434" s="6">
        <f t="shared" si="110"/>
        <v>33.333333333333336</v>
      </c>
      <c r="S434" s="65"/>
      <c r="T434" s="65"/>
      <c r="U434" s="6">
        <f>R434</f>
        <v>33.333333333333336</v>
      </c>
      <c r="V434" s="65"/>
      <c r="W434" s="74" t="s">
        <v>205</v>
      </c>
      <c r="X434" s="20" t="str">
        <f t="shared" si="111"/>
        <v>BR1-B46-LOFT FILLERS</v>
      </c>
      <c r="Y434" s="7">
        <f t="shared" si="109"/>
        <v>33.333333333333336</v>
      </c>
      <c r="AA434"/>
      <c r="AE434"/>
    </row>
    <row r="435" spans="1:31" x14ac:dyDescent="0.3">
      <c r="A435" s="4">
        <f t="shared" si="112"/>
        <v>429</v>
      </c>
      <c r="B435" s="4"/>
      <c r="C435" s="4"/>
      <c r="D435" s="4"/>
      <c r="E435" s="4"/>
      <c r="F435" s="17" t="s">
        <v>48</v>
      </c>
      <c r="G435" s="4">
        <v>508</v>
      </c>
      <c r="H435" s="4">
        <v>486</v>
      </c>
      <c r="I435" s="4">
        <v>4</v>
      </c>
      <c r="J435" s="82" t="s">
        <v>153</v>
      </c>
      <c r="K435" s="5" t="s">
        <v>15</v>
      </c>
      <c r="L435" s="4"/>
      <c r="M435" s="4">
        <v>3</v>
      </c>
      <c r="N435" s="4">
        <v>3</v>
      </c>
      <c r="O435" s="4">
        <v>3</v>
      </c>
      <c r="P435" s="4">
        <v>3</v>
      </c>
      <c r="Q435" s="4"/>
      <c r="R435" s="6">
        <f t="shared" si="110"/>
        <v>26.506666666666668</v>
      </c>
      <c r="S435" s="65"/>
      <c r="T435" s="6">
        <f>R435</f>
        <v>26.506666666666668</v>
      </c>
      <c r="U435" s="65"/>
      <c r="V435" s="65"/>
      <c r="W435" s="74" t="s">
        <v>205</v>
      </c>
      <c r="X435" s="20" t="str">
        <f t="shared" si="111"/>
        <v>BR1-B46-LOFT SHUTTERS</v>
      </c>
      <c r="Y435" s="7">
        <f t="shared" si="109"/>
        <v>26.506666666666668</v>
      </c>
      <c r="AA435"/>
      <c r="AE435"/>
    </row>
    <row r="436" spans="1:31" x14ac:dyDescent="0.3">
      <c r="A436" s="4">
        <f t="shared" si="112"/>
        <v>430</v>
      </c>
      <c r="B436" s="4"/>
      <c r="C436" s="4"/>
      <c r="D436" s="4"/>
      <c r="E436" s="4"/>
      <c r="F436" s="17" t="s">
        <v>47</v>
      </c>
      <c r="G436" s="4">
        <v>650</v>
      </c>
      <c r="H436" s="4">
        <v>600</v>
      </c>
      <c r="I436" s="4">
        <v>1</v>
      </c>
      <c r="J436" s="61" t="s">
        <v>72</v>
      </c>
      <c r="K436" s="39"/>
      <c r="L436" s="39"/>
      <c r="M436" s="39">
        <v>2</v>
      </c>
      <c r="N436" s="39">
        <v>2</v>
      </c>
      <c r="O436" s="39">
        <v>2</v>
      </c>
      <c r="P436" s="39">
        <v>2</v>
      </c>
      <c r="Q436" s="17" t="s">
        <v>64</v>
      </c>
      <c r="R436" s="6">
        <f t="shared" si="110"/>
        <v>8.3333333333333339</v>
      </c>
      <c r="S436" s="65"/>
      <c r="T436" s="65"/>
      <c r="U436" s="6">
        <f>R436</f>
        <v>8.3333333333333339</v>
      </c>
      <c r="V436" s="65"/>
      <c r="W436" s="74" t="s">
        <v>205</v>
      </c>
      <c r="X436" s="20" t="str">
        <f t="shared" si="111"/>
        <v>BR1-B46-LOFT END PANEL</v>
      </c>
      <c r="Y436" s="7">
        <f t="shared" si="109"/>
        <v>8.3333333333333339</v>
      </c>
      <c r="AA436"/>
      <c r="AE436"/>
    </row>
    <row r="437" spans="1:31" x14ac:dyDescent="0.3">
      <c r="A437" s="4">
        <f t="shared" si="112"/>
        <v>431</v>
      </c>
      <c r="B437" s="23" t="s">
        <v>206</v>
      </c>
      <c r="C437" s="23">
        <v>720</v>
      </c>
      <c r="D437" s="23">
        <v>450</v>
      </c>
      <c r="E437" s="23">
        <v>430</v>
      </c>
      <c r="F437" s="19" t="s">
        <v>28</v>
      </c>
      <c r="G437" s="4">
        <f>C437</f>
        <v>720</v>
      </c>
      <c r="H437" s="4">
        <f>E437</f>
        <v>430</v>
      </c>
      <c r="I437" s="4">
        <v>1</v>
      </c>
      <c r="J437" s="62" t="s">
        <v>34</v>
      </c>
      <c r="K437" s="17" t="s">
        <v>15</v>
      </c>
      <c r="L437" s="39"/>
      <c r="M437" s="39">
        <v>1</v>
      </c>
      <c r="N437" s="39">
        <v>1</v>
      </c>
      <c r="O437" s="39">
        <v>1</v>
      </c>
      <c r="P437" s="39">
        <v>1</v>
      </c>
      <c r="Q437" s="4"/>
      <c r="R437" s="6">
        <f t="shared" si="110"/>
        <v>7.666666666666667</v>
      </c>
      <c r="S437" s="6">
        <f>R437</f>
        <v>7.666666666666667</v>
      </c>
      <c r="T437" s="65"/>
      <c r="U437" s="65"/>
      <c r="V437" s="65"/>
      <c r="W437" s="74" t="s">
        <v>206</v>
      </c>
      <c r="X437" s="20" t="str">
        <f t="shared" si="111"/>
        <v>BR1 STUDY-B47-LHS</v>
      </c>
      <c r="Y437" s="7">
        <f t="shared" si="109"/>
        <v>7.666666666666667</v>
      </c>
      <c r="AA437"/>
      <c r="AE437"/>
    </row>
    <row r="438" spans="1:31" x14ac:dyDescent="0.3">
      <c r="A438" s="4">
        <f t="shared" si="112"/>
        <v>432</v>
      </c>
      <c r="B438" s="4"/>
      <c r="C438" s="4"/>
      <c r="D438" s="4"/>
      <c r="E438" s="4"/>
      <c r="F438" s="19" t="s">
        <v>29</v>
      </c>
      <c r="G438" s="4">
        <f>G437</f>
        <v>720</v>
      </c>
      <c r="H438" s="4">
        <f>H437</f>
        <v>430</v>
      </c>
      <c r="I438" s="4">
        <v>1</v>
      </c>
      <c r="J438" s="81" t="s">
        <v>154</v>
      </c>
      <c r="K438" s="5" t="s">
        <v>15</v>
      </c>
      <c r="L438" s="4"/>
      <c r="M438" s="4">
        <v>3</v>
      </c>
      <c r="N438" s="4">
        <v>3</v>
      </c>
      <c r="O438" s="4">
        <v>3</v>
      </c>
      <c r="P438" s="4">
        <v>3</v>
      </c>
      <c r="Q438" s="4"/>
      <c r="R438" s="6">
        <f t="shared" si="110"/>
        <v>7.666666666666667</v>
      </c>
      <c r="S438" s="65"/>
      <c r="T438" s="6">
        <f>R438</f>
        <v>7.666666666666667</v>
      </c>
      <c r="U438" s="65"/>
      <c r="V438" s="65"/>
      <c r="W438" s="74" t="s">
        <v>206</v>
      </c>
      <c r="X438" s="20" t="str">
        <f t="shared" si="111"/>
        <v>BR1 STUDY-B47-RHS</v>
      </c>
      <c r="Y438" s="7">
        <f t="shared" si="109"/>
        <v>7.666666666666667</v>
      </c>
      <c r="AA438"/>
      <c r="AE438"/>
    </row>
    <row r="439" spans="1:31" x14ac:dyDescent="0.3">
      <c r="A439" s="4">
        <f t="shared" si="112"/>
        <v>433</v>
      </c>
      <c r="B439" s="4"/>
      <c r="C439" s="4"/>
      <c r="D439" s="4"/>
      <c r="E439" s="4"/>
      <c r="F439" s="19" t="s">
        <v>30</v>
      </c>
      <c r="G439" s="4">
        <f>D437-36</f>
        <v>414</v>
      </c>
      <c r="H439" s="4">
        <f>H438</f>
        <v>430</v>
      </c>
      <c r="I439" s="4">
        <v>1</v>
      </c>
      <c r="J439" s="62" t="s">
        <v>34</v>
      </c>
      <c r="K439" s="17" t="s">
        <v>15</v>
      </c>
      <c r="L439" s="39"/>
      <c r="M439" s="39">
        <v>1</v>
      </c>
      <c r="N439" s="39">
        <v>1</v>
      </c>
      <c r="O439" s="39">
        <v>1</v>
      </c>
      <c r="P439" s="39">
        <v>1</v>
      </c>
      <c r="Q439" s="4"/>
      <c r="R439" s="6">
        <f t="shared" si="110"/>
        <v>5.6266666666666669</v>
      </c>
      <c r="S439" s="6">
        <f t="shared" ref="S439:S440" si="123">R439</f>
        <v>5.6266666666666669</v>
      </c>
      <c r="T439" s="65"/>
      <c r="U439" s="65"/>
      <c r="V439" s="65"/>
      <c r="W439" s="74" t="s">
        <v>206</v>
      </c>
      <c r="X439" s="20" t="str">
        <f t="shared" si="111"/>
        <v>BR1 STUDY-B47-TOP</v>
      </c>
      <c r="Y439" s="7">
        <f t="shared" si="109"/>
        <v>5.6266666666666669</v>
      </c>
      <c r="AA439"/>
      <c r="AE439"/>
    </row>
    <row r="440" spans="1:31" x14ac:dyDescent="0.3">
      <c r="A440" s="4">
        <f t="shared" si="112"/>
        <v>434</v>
      </c>
      <c r="B440" s="4"/>
      <c r="C440" s="4"/>
      <c r="D440" s="4"/>
      <c r="E440" s="4"/>
      <c r="F440" s="19" t="s">
        <v>31</v>
      </c>
      <c r="G440" s="4">
        <f>G439</f>
        <v>414</v>
      </c>
      <c r="H440" s="4">
        <f>H439</f>
        <v>430</v>
      </c>
      <c r="I440" s="4">
        <v>1</v>
      </c>
      <c r="J440" s="62" t="s">
        <v>34</v>
      </c>
      <c r="K440" s="17" t="s">
        <v>15</v>
      </c>
      <c r="L440" s="39"/>
      <c r="M440" s="39">
        <v>1</v>
      </c>
      <c r="N440" s="39">
        <v>1</v>
      </c>
      <c r="O440" s="39">
        <v>1</v>
      </c>
      <c r="P440" s="39">
        <v>1</v>
      </c>
      <c r="Q440" s="4"/>
      <c r="R440" s="6">
        <f t="shared" si="110"/>
        <v>5.6266666666666669</v>
      </c>
      <c r="S440" s="6">
        <f t="shared" si="123"/>
        <v>5.6266666666666669</v>
      </c>
      <c r="T440" s="65"/>
      <c r="U440" s="65"/>
      <c r="V440" s="65"/>
      <c r="W440" s="74" t="s">
        <v>206</v>
      </c>
      <c r="X440" s="20" t="str">
        <f t="shared" si="111"/>
        <v>BR1 STUDY-B47-BTM</v>
      </c>
      <c r="Y440" s="7">
        <f t="shared" si="109"/>
        <v>5.6266666666666669</v>
      </c>
      <c r="AA440"/>
      <c r="AE440"/>
    </row>
    <row r="441" spans="1:31" x14ac:dyDescent="0.3">
      <c r="A441" s="4">
        <f t="shared" si="112"/>
        <v>435</v>
      </c>
      <c r="B441" s="4"/>
      <c r="C441" s="4"/>
      <c r="D441" s="4"/>
      <c r="E441" s="4"/>
      <c r="F441" s="19" t="s">
        <v>159</v>
      </c>
      <c r="G441" s="4">
        <f>C437-110-20</f>
        <v>590</v>
      </c>
      <c r="H441" s="4">
        <f>D437-20</f>
        <v>430</v>
      </c>
      <c r="I441" s="4">
        <v>1</v>
      </c>
      <c r="J441" s="62" t="s">
        <v>35</v>
      </c>
      <c r="K441" s="17" t="s">
        <v>15</v>
      </c>
      <c r="L441" s="4"/>
      <c r="M441" s="4"/>
      <c r="N441" s="4"/>
      <c r="O441" s="4"/>
      <c r="P441" s="4"/>
      <c r="Q441" s="4"/>
      <c r="R441" s="6">
        <f t="shared" si="110"/>
        <v>6.8</v>
      </c>
      <c r="S441" s="65"/>
      <c r="T441" s="65"/>
      <c r="U441" s="65"/>
      <c r="V441" s="65"/>
      <c r="W441" s="74" t="s">
        <v>206</v>
      </c>
      <c r="X441" s="20" t="str">
        <f t="shared" si="111"/>
        <v>BR1 STUDY-B47-BP</v>
      </c>
      <c r="Y441" s="7">
        <f t="shared" si="109"/>
        <v>6.8</v>
      </c>
      <c r="AA441"/>
      <c r="AE441"/>
    </row>
    <row r="442" spans="1:31" x14ac:dyDescent="0.3">
      <c r="A442" s="4">
        <f t="shared" si="112"/>
        <v>436</v>
      </c>
      <c r="B442" s="4"/>
      <c r="C442" s="4"/>
      <c r="D442" s="4"/>
      <c r="E442" s="4"/>
      <c r="F442" s="54" t="s">
        <v>260</v>
      </c>
      <c r="G442" s="4">
        <f>G440</f>
        <v>414</v>
      </c>
      <c r="H442" s="4">
        <f>E437-20</f>
        <v>410</v>
      </c>
      <c r="I442" s="4">
        <v>1</v>
      </c>
      <c r="J442" s="62" t="s">
        <v>34</v>
      </c>
      <c r="K442" s="17" t="s">
        <v>15</v>
      </c>
      <c r="L442" s="39"/>
      <c r="M442" s="39">
        <v>1</v>
      </c>
      <c r="N442" s="39">
        <v>1</v>
      </c>
      <c r="O442" s="39">
        <v>1</v>
      </c>
      <c r="P442" s="39">
        <v>1</v>
      </c>
      <c r="Q442" s="4"/>
      <c r="R442" s="6">
        <f t="shared" si="110"/>
        <v>5.4933333333333332</v>
      </c>
      <c r="S442" s="6">
        <f t="shared" ref="S442:S444" si="124">R442</f>
        <v>5.4933333333333332</v>
      </c>
      <c r="T442" s="65"/>
      <c r="U442" s="65"/>
      <c r="V442" s="65"/>
      <c r="W442" s="74" t="s">
        <v>206</v>
      </c>
      <c r="X442" s="20" t="str">
        <f t="shared" si="111"/>
        <v>BR1 STUDY-B47-LSHELF</v>
      </c>
      <c r="Y442" s="7">
        <f t="shared" si="109"/>
        <v>5.4933333333333332</v>
      </c>
      <c r="AA442"/>
      <c r="AE442"/>
    </row>
    <row r="443" spans="1:31" x14ac:dyDescent="0.3">
      <c r="A443" s="4">
        <f t="shared" si="112"/>
        <v>437</v>
      </c>
      <c r="B443" s="4"/>
      <c r="C443" s="4"/>
      <c r="D443" s="4"/>
      <c r="E443" s="4"/>
      <c r="F443" s="17" t="s">
        <v>163</v>
      </c>
      <c r="G443" s="4">
        <v>100</v>
      </c>
      <c r="H443" s="4">
        <v>400</v>
      </c>
      <c r="I443" s="4">
        <v>2</v>
      </c>
      <c r="J443" s="62" t="s">
        <v>34</v>
      </c>
      <c r="K443" s="17" t="s">
        <v>15</v>
      </c>
      <c r="L443" s="39"/>
      <c r="M443" s="39">
        <v>1</v>
      </c>
      <c r="N443" s="39">
        <v>1</v>
      </c>
      <c r="O443" s="39">
        <v>1</v>
      </c>
      <c r="P443" s="39">
        <v>1</v>
      </c>
      <c r="Q443" s="4"/>
      <c r="R443" s="6">
        <f t="shared" si="110"/>
        <v>6.666666666666667</v>
      </c>
      <c r="S443" s="6">
        <f t="shared" si="124"/>
        <v>6.666666666666667</v>
      </c>
      <c r="T443" s="65"/>
      <c r="U443" s="65"/>
      <c r="V443" s="65"/>
      <c r="W443" s="74" t="s">
        <v>206</v>
      </c>
      <c r="X443" s="20" t="str">
        <f t="shared" si="111"/>
        <v>BR1 STUDY-B47-DR.LR</v>
      </c>
      <c r="Y443" s="7">
        <f t="shared" si="109"/>
        <v>6.666666666666667</v>
      </c>
      <c r="AA443"/>
      <c r="AE443"/>
    </row>
    <row r="444" spans="1:31" x14ac:dyDescent="0.3">
      <c r="A444" s="4">
        <f t="shared" si="112"/>
        <v>438</v>
      </c>
      <c r="B444" s="4"/>
      <c r="C444" s="4"/>
      <c r="D444" s="4"/>
      <c r="E444" s="4"/>
      <c r="F444" s="17" t="s">
        <v>164</v>
      </c>
      <c r="G444" s="4">
        <v>100</v>
      </c>
      <c r="H444" s="4">
        <v>350</v>
      </c>
      <c r="I444" s="4">
        <v>1</v>
      </c>
      <c r="J444" s="62" t="s">
        <v>34</v>
      </c>
      <c r="K444" s="17" t="s">
        <v>15</v>
      </c>
      <c r="L444" s="39"/>
      <c r="M444" s="39">
        <v>1</v>
      </c>
      <c r="N444" s="39">
        <v>1</v>
      </c>
      <c r="O444" s="39">
        <v>1</v>
      </c>
      <c r="P444" s="39">
        <v>1</v>
      </c>
      <c r="Q444" s="4"/>
      <c r="R444" s="6">
        <f t="shared" si="110"/>
        <v>3</v>
      </c>
      <c r="S444" s="6">
        <f t="shared" si="124"/>
        <v>3</v>
      </c>
      <c r="T444" s="65"/>
      <c r="U444" s="65"/>
      <c r="V444" s="65"/>
      <c r="W444" s="74" t="s">
        <v>206</v>
      </c>
      <c r="X444" s="20" t="str">
        <f t="shared" si="111"/>
        <v>BR1 STUDY-B47-DR.IO</v>
      </c>
      <c r="Y444" s="7">
        <f t="shared" si="109"/>
        <v>3</v>
      </c>
      <c r="AA444"/>
      <c r="AE444"/>
    </row>
    <row r="445" spans="1:31" x14ac:dyDescent="0.3">
      <c r="A445" s="4">
        <f t="shared" si="112"/>
        <v>439</v>
      </c>
      <c r="B445" s="4"/>
      <c r="C445" s="4"/>
      <c r="D445" s="4"/>
      <c r="E445" s="4"/>
      <c r="F445" s="17" t="s">
        <v>165</v>
      </c>
      <c r="G445" s="4">
        <f>H443-20</f>
        <v>380</v>
      </c>
      <c r="H445" s="4">
        <f>H444+16</f>
        <v>366</v>
      </c>
      <c r="I445" s="4">
        <v>1</v>
      </c>
      <c r="J445" s="62" t="s">
        <v>35</v>
      </c>
      <c r="K445" s="17" t="s">
        <v>15</v>
      </c>
      <c r="L445" s="4"/>
      <c r="M445" s="4"/>
      <c r="N445" s="4"/>
      <c r="O445" s="4"/>
      <c r="P445" s="4"/>
      <c r="Q445" s="4"/>
      <c r="R445" s="6">
        <f t="shared" si="110"/>
        <v>4.9733333333333336</v>
      </c>
      <c r="S445" s="65"/>
      <c r="T445" s="65"/>
      <c r="U445" s="65"/>
      <c r="V445" s="65"/>
      <c r="W445" s="74" t="s">
        <v>206</v>
      </c>
      <c r="X445" s="20" t="str">
        <f t="shared" si="111"/>
        <v>BR1 STUDY-B47-DR.BP</v>
      </c>
      <c r="Y445" s="7">
        <f t="shared" si="109"/>
        <v>4.9733333333333336</v>
      </c>
      <c r="AA445"/>
      <c r="AE445"/>
    </row>
    <row r="446" spans="1:31" x14ac:dyDescent="0.3">
      <c r="A446" s="4">
        <f t="shared" si="112"/>
        <v>440</v>
      </c>
      <c r="B446" s="4"/>
      <c r="C446" s="4"/>
      <c r="D446" s="4"/>
      <c r="E446" s="4"/>
      <c r="F446" s="17" t="s">
        <v>166</v>
      </c>
      <c r="G446" s="4">
        <v>148</v>
      </c>
      <c r="H446" s="4">
        <v>448</v>
      </c>
      <c r="I446" s="4">
        <v>1</v>
      </c>
      <c r="J446" s="82" t="s">
        <v>153</v>
      </c>
      <c r="K446" s="5" t="s">
        <v>15</v>
      </c>
      <c r="L446" s="4"/>
      <c r="M446" s="4">
        <v>3</v>
      </c>
      <c r="N446" s="4">
        <v>3</v>
      </c>
      <c r="O446" s="4">
        <v>3</v>
      </c>
      <c r="P446" s="4">
        <v>3</v>
      </c>
      <c r="Q446" s="4"/>
      <c r="R446" s="6">
        <f t="shared" si="110"/>
        <v>3.9733333333333332</v>
      </c>
      <c r="S446" s="65"/>
      <c r="T446" s="6">
        <f t="shared" ref="T446:T447" si="125">R446</f>
        <v>3.9733333333333332</v>
      </c>
      <c r="U446" s="65"/>
      <c r="V446" s="65"/>
      <c r="W446" s="74" t="s">
        <v>206</v>
      </c>
      <c r="X446" s="20" t="str">
        <f t="shared" si="111"/>
        <v>BR1 STUDY-B47-DR.FACIA</v>
      </c>
      <c r="Y446" s="7">
        <f t="shared" si="109"/>
        <v>3.9733333333333332</v>
      </c>
      <c r="AA446"/>
      <c r="AE446"/>
    </row>
    <row r="447" spans="1:31" x14ac:dyDescent="0.3">
      <c r="A447" s="4">
        <f t="shared" si="112"/>
        <v>441</v>
      </c>
      <c r="B447" s="4"/>
      <c r="C447" s="4"/>
      <c r="D447" s="4"/>
      <c r="E447" s="4"/>
      <c r="F447" s="19" t="s">
        <v>168</v>
      </c>
      <c r="G447" s="4">
        <v>458</v>
      </c>
      <c r="H447" s="4">
        <v>448</v>
      </c>
      <c r="I447" s="4">
        <v>1</v>
      </c>
      <c r="J447" s="82" t="s">
        <v>153</v>
      </c>
      <c r="K447" s="5" t="s">
        <v>15</v>
      </c>
      <c r="L447" s="4"/>
      <c r="M447" s="4">
        <v>3</v>
      </c>
      <c r="N447" s="4">
        <v>3</v>
      </c>
      <c r="O447" s="4">
        <v>3</v>
      </c>
      <c r="P447" s="4">
        <v>3</v>
      </c>
      <c r="Q447" s="4"/>
      <c r="R447" s="6">
        <f t="shared" si="110"/>
        <v>6.04</v>
      </c>
      <c r="S447" s="65"/>
      <c r="T447" s="6">
        <f t="shared" si="125"/>
        <v>6.04</v>
      </c>
      <c r="U447" s="65"/>
      <c r="V447" s="65"/>
      <c r="W447" s="74" t="s">
        <v>206</v>
      </c>
      <c r="X447" s="20" t="str">
        <f t="shared" si="111"/>
        <v>BR1 STUDY-B47-SHUTER</v>
      </c>
      <c r="Y447" s="7">
        <f t="shared" si="109"/>
        <v>6.04</v>
      </c>
      <c r="AA447"/>
      <c r="AE447"/>
    </row>
    <row r="448" spans="1:31" x14ac:dyDescent="0.3">
      <c r="A448" s="4">
        <f t="shared" si="112"/>
        <v>442</v>
      </c>
      <c r="B448" s="4"/>
      <c r="C448" s="4"/>
      <c r="D448" s="4"/>
      <c r="E448" s="4"/>
      <c r="F448" s="19" t="s">
        <v>49</v>
      </c>
      <c r="G448" s="4">
        <v>450</v>
      </c>
      <c r="H448" s="4">
        <v>110</v>
      </c>
      <c r="I448" s="4">
        <v>1</v>
      </c>
      <c r="J448" s="61" t="s">
        <v>72</v>
      </c>
      <c r="K448" s="39"/>
      <c r="L448" s="39"/>
      <c r="M448" s="39">
        <v>2</v>
      </c>
      <c r="N448" s="39">
        <v>2</v>
      </c>
      <c r="O448" s="39">
        <v>2</v>
      </c>
      <c r="P448" s="39">
        <v>2</v>
      </c>
      <c r="Q448" s="17" t="s">
        <v>64</v>
      </c>
      <c r="R448" s="6">
        <f t="shared" si="110"/>
        <v>3.7333333333333334</v>
      </c>
      <c r="S448" s="65"/>
      <c r="T448" s="65"/>
      <c r="U448" s="6">
        <f t="shared" ref="U448:U449" si="126">R448</f>
        <v>3.7333333333333334</v>
      </c>
      <c r="V448" s="65"/>
      <c r="W448" s="74" t="s">
        <v>206</v>
      </c>
      <c r="X448" s="20" t="str">
        <f t="shared" si="111"/>
        <v>BR1 STUDY-B47-SKIRTING</v>
      </c>
      <c r="Y448" s="7">
        <f t="shared" si="109"/>
        <v>3.7333333333333334</v>
      </c>
      <c r="AA448"/>
      <c r="AE448"/>
    </row>
    <row r="449" spans="1:31" x14ac:dyDescent="0.3">
      <c r="A449" s="4">
        <f t="shared" si="112"/>
        <v>443</v>
      </c>
      <c r="B449" s="4"/>
      <c r="C449" s="4"/>
      <c r="D449" s="4"/>
      <c r="E449" s="4"/>
      <c r="F449" s="19" t="s">
        <v>55</v>
      </c>
      <c r="G449" s="4">
        <v>720</v>
      </c>
      <c r="H449" s="4">
        <v>100</v>
      </c>
      <c r="I449" s="4">
        <v>1</v>
      </c>
      <c r="J449" s="61" t="s">
        <v>72</v>
      </c>
      <c r="K449" s="39"/>
      <c r="L449" s="39"/>
      <c r="M449" s="39">
        <v>2</v>
      </c>
      <c r="N449" s="39">
        <v>2</v>
      </c>
      <c r="O449" s="39">
        <v>2</v>
      </c>
      <c r="P449" s="39">
        <v>2</v>
      </c>
      <c r="Q449" s="17" t="s">
        <v>64</v>
      </c>
      <c r="R449" s="6">
        <f t="shared" si="110"/>
        <v>5.4666666666666668</v>
      </c>
      <c r="S449" s="65"/>
      <c r="T449" s="65"/>
      <c r="U449" s="6">
        <f t="shared" si="126"/>
        <v>5.4666666666666668</v>
      </c>
      <c r="V449" s="65"/>
      <c r="W449" s="74" t="s">
        <v>206</v>
      </c>
      <c r="X449" s="20" t="str">
        <f t="shared" si="111"/>
        <v>BR1 STUDY-B47-FILLERS</v>
      </c>
      <c r="Y449" s="7">
        <f t="shared" si="109"/>
        <v>5.4666666666666668</v>
      </c>
      <c r="AA449"/>
      <c r="AE449"/>
    </row>
    <row r="450" spans="1:31" x14ac:dyDescent="0.3">
      <c r="A450" s="4">
        <f t="shared" si="112"/>
        <v>444</v>
      </c>
      <c r="B450" s="23" t="s">
        <v>186</v>
      </c>
      <c r="C450" s="23">
        <v>150</v>
      </c>
      <c r="D450" s="23">
        <v>500</v>
      </c>
      <c r="E450" s="23">
        <v>430</v>
      </c>
      <c r="F450" s="19" t="s">
        <v>28</v>
      </c>
      <c r="G450" s="4">
        <f>C450</f>
        <v>150</v>
      </c>
      <c r="H450" s="4">
        <f>E450</f>
        <v>430</v>
      </c>
      <c r="I450" s="4">
        <v>1</v>
      </c>
      <c r="J450" s="81" t="s">
        <v>154</v>
      </c>
      <c r="K450" s="5" t="s">
        <v>15</v>
      </c>
      <c r="L450" s="4"/>
      <c r="M450" s="4">
        <v>3</v>
      </c>
      <c r="N450" s="4">
        <v>3</v>
      </c>
      <c r="O450" s="4">
        <v>3</v>
      </c>
      <c r="P450" s="4">
        <v>3</v>
      </c>
      <c r="Q450" s="4"/>
      <c r="R450" s="6">
        <f t="shared" si="110"/>
        <v>3.8666666666666667</v>
      </c>
      <c r="S450" s="65"/>
      <c r="T450" s="6">
        <f>R450</f>
        <v>3.8666666666666667</v>
      </c>
      <c r="U450" s="65"/>
      <c r="V450" s="65"/>
      <c r="W450" s="74" t="s">
        <v>186</v>
      </c>
      <c r="X450" s="20" t="str">
        <f t="shared" si="111"/>
        <v>BR1 STUDY-B48-LHS</v>
      </c>
      <c r="Y450" s="7">
        <f t="shared" si="109"/>
        <v>3.8666666666666667</v>
      </c>
      <c r="AA450"/>
      <c r="AE450"/>
    </row>
    <row r="451" spans="1:31" x14ac:dyDescent="0.3">
      <c r="A451" s="4">
        <f t="shared" si="112"/>
        <v>445</v>
      </c>
      <c r="B451" s="4"/>
      <c r="C451" s="4"/>
      <c r="D451" s="4"/>
      <c r="E451" s="4"/>
      <c r="F451" s="19" t="s">
        <v>29</v>
      </c>
      <c r="G451" s="4">
        <f>G450</f>
        <v>150</v>
      </c>
      <c r="H451" s="4">
        <f>H450</f>
        <v>430</v>
      </c>
      <c r="I451" s="4">
        <v>1</v>
      </c>
      <c r="J451" s="62" t="s">
        <v>34</v>
      </c>
      <c r="K451" s="17" t="s">
        <v>15</v>
      </c>
      <c r="L451" s="39"/>
      <c r="M451" s="39">
        <v>1</v>
      </c>
      <c r="N451" s="39">
        <v>1</v>
      </c>
      <c r="O451" s="39">
        <v>1</v>
      </c>
      <c r="P451" s="39">
        <v>1</v>
      </c>
      <c r="Q451" s="4"/>
      <c r="R451" s="6">
        <f t="shared" si="110"/>
        <v>3.8666666666666667</v>
      </c>
      <c r="S451" s="6">
        <f t="shared" ref="S451:S453" si="127">R451</f>
        <v>3.8666666666666667</v>
      </c>
      <c r="T451" s="65"/>
      <c r="U451" s="65"/>
      <c r="V451" s="65"/>
      <c r="W451" s="74" t="s">
        <v>186</v>
      </c>
      <c r="X451" s="20" t="str">
        <f t="shared" si="111"/>
        <v>BR1 STUDY-B48-RHS</v>
      </c>
      <c r="Y451" s="7">
        <f t="shared" si="109"/>
        <v>3.8666666666666667</v>
      </c>
      <c r="AA451"/>
      <c r="AE451"/>
    </row>
    <row r="452" spans="1:31" x14ac:dyDescent="0.3">
      <c r="A452" s="4">
        <f t="shared" si="112"/>
        <v>446</v>
      </c>
      <c r="B452" s="4"/>
      <c r="C452" s="4"/>
      <c r="D452" s="4"/>
      <c r="E452" s="4"/>
      <c r="F452" s="19" t="s">
        <v>30</v>
      </c>
      <c r="G452" s="4">
        <f>D450-36</f>
        <v>464</v>
      </c>
      <c r="H452" s="4">
        <f>H451</f>
        <v>430</v>
      </c>
      <c r="I452" s="4">
        <v>1</v>
      </c>
      <c r="J452" s="62" t="s">
        <v>34</v>
      </c>
      <c r="K452" s="17" t="s">
        <v>15</v>
      </c>
      <c r="L452" s="39"/>
      <c r="M452" s="39">
        <v>1</v>
      </c>
      <c r="N452" s="39">
        <v>1</v>
      </c>
      <c r="O452" s="39">
        <v>1</v>
      </c>
      <c r="P452" s="39">
        <v>1</v>
      </c>
      <c r="Q452" s="4"/>
      <c r="R452" s="6">
        <f t="shared" si="110"/>
        <v>5.96</v>
      </c>
      <c r="S452" s="6">
        <f t="shared" si="127"/>
        <v>5.96</v>
      </c>
      <c r="T452" s="65"/>
      <c r="U452" s="65"/>
      <c r="V452" s="65"/>
      <c r="W452" s="74" t="s">
        <v>186</v>
      </c>
      <c r="X452" s="20" t="str">
        <f t="shared" si="111"/>
        <v>BR1 STUDY-B48-TOP</v>
      </c>
      <c r="Y452" s="7">
        <f t="shared" si="109"/>
        <v>5.96</v>
      </c>
      <c r="AA452"/>
      <c r="AE452"/>
    </row>
    <row r="453" spans="1:31" x14ac:dyDescent="0.3">
      <c r="A453" s="4">
        <f t="shared" si="112"/>
        <v>447</v>
      </c>
      <c r="B453" s="4"/>
      <c r="C453" s="4"/>
      <c r="D453" s="4"/>
      <c r="E453" s="4"/>
      <c r="F453" s="19" t="s">
        <v>31</v>
      </c>
      <c r="G453" s="4">
        <f>G452</f>
        <v>464</v>
      </c>
      <c r="H453" s="4">
        <f>H452</f>
        <v>430</v>
      </c>
      <c r="I453" s="4">
        <v>1</v>
      </c>
      <c r="J453" s="62" t="s">
        <v>34</v>
      </c>
      <c r="K453" s="17" t="s">
        <v>15</v>
      </c>
      <c r="L453" s="39"/>
      <c r="M453" s="39">
        <v>1</v>
      </c>
      <c r="N453" s="39">
        <v>1</v>
      </c>
      <c r="O453" s="39">
        <v>1</v>
      </c>
      <c r="P453" s="39">
        <v>1</v>
      </c>
      <c r="Q453" s="4"/>
      <c r="R453" s="6">
        <f t="shared" si="110"/>
        <v>5.96</v>
      </c>
      <c r="S453" s="6">
        <f t="shared" si="127"/>
        <v>5.96</v>
      </c>
      <c r="T453" s="65"/>
      <c r="U453" s="65"/>
      <c r="V453" s="65"/>
      <c r="W453" s="74" t="s">
        <v>186</v>
      </c>
      <c r="X453" s="20" t="str">
        <f t="shared" si="111"/>
        <v>BR1 STUDY-B48-BTM</v>
      </c>
      <c r="Y453" s="7">
        <f t="shared" ref="Y453:Y516" si="128">(G453+H453)*2*I453/300</f>
        <v>5.96</v>
      </c>
      <c r="AA453"/>
      <c r="AE453"/>
    </row>
    <row r="454" spans="1:31" x14ac:dyDescent="0.3">
      <c r="A454" s="4">
        <f t="shared" si="112"/>
        <v>448</v>
      </c>
      <c r="B454" s="4"/>
      <c r="C454" s="4"/>
      <c r="D454" s="4"/>
      <c r="E454" s="4"/>
      <c r="F454" s="19" t="s">
        <v>159</v>
      </c>
      <c r="G454" s="4">
        <f>C450-20</f>
        <v>130</v>
      </c>
      <c r="H454" s="4">
        <f>D450-20</f>
        <v>480</v>
      </c>
      <c r="I454" s="4">
        <v>1</v>
      </c>
      <c r="J454" s="62" t="s">
        <v>35</v>
      </c>
      <c r="K454" s="17" t="s">
        <v>15</v>
      </c>
      <c r="L454" s="4"/>
      <c r="M454" s="4"/>
      <c r="N454" s="4"/>
      <c r="O454" s="4"/>
      <c r="P454" s="4"/>
      <c r="Q454" s="4"/>
      <c r="R454" s="6">
        <f t="shared" si="110"/>
        <v>4.0666666666666664</v>
      </c>
      <c r="S454" s="65"/>
      <c r="T454" s="65"/>
      <c r="U454" s="65"/>
      <c r="V454" s="65"/>
      <c r="W454" s="74" t="s">
        <v>186</v>
      </c>
      <c r="X454" s="20" t="str">
        <f t="shared" si="111"/>
        <v>BR1 STUDY-B48-BP</v>
      </c>
      <c r="Y454" s="7">
        <f t="shared" si="128"/>
        <v>4.0666666666666664</v>
      </c>
      <c r="AA454"/>
      <c r="AE454"/>
    </row>
    <row r="455" spans="1:31" x14ac:dyDescent="0.3">
      <c r="A455" s="4">
        <f t="shared" si="112"/>
        <v>449</v>
      </c>
      <c r="B455" s="4"/>
      <c r="C455" s="4"/>
      <c r="D455" s="4"/>
      <c r="E455" s="4"/>
      <c r="F455" s="17" t="s">
        <v>163</v>
      </c>
      <c r="G455" s="4">
        <v>100</v>
      </c>
      <c r="H455" s="4">
        <v>400</v>
      </c>
      <c r="I455" s="4">
        <v>2</v>
      </c>
      <c r="J455" s="62" t="s">
        <v>34</v>
      </c>
      <c r="K455" s="17" t="s">
        <v>15</v>
      </c>
      <c r="L455" s="39"/>
      <c r="M455" s="39">
        <v>1</v>
      </c>
      <c r="N455" s="39">
        <v>1</v>
      </c>
      <c r="O455" s="39">
        <v>1</v>
      </c>
      <c r="P455" s="39">
        <v>1</v>
      </c>
      <c r="Q455" s="4"/>
      <c r="R455" s="6">
        <f t="shared" si="110"/>
        <v>6.666666666666667</v>
      </c>
      <c r="S455" s="6">
        <f t="shared" ref="S455:S456" si="129">R455</f>
        <v>6.666666666666667</v>
      </c>
      <c r="T455" s="65"/>
      <c r="U455" s="65"/>
      <c r="V455" s="65"/>
      <c r="W455" s="74" t="s">
        <v>186</v>
      </c>
      <c r="X455" s="20" t="str">
        <f t="shared" si="111"/>
        <v>BR1 STUDY-B48-DR.LR</v>
      </c>
      <c r="Y455" s="7">
        <f t="shared" si="128"/>
        <v>6.666666666666667</v>
      </c>
      <c r="AA455"/>
      <c r="AE455"/>
    </row>
    <row r="456" spans="1:31" x14ac:dyDescent="0.3">
      <c r="A456" s="4">
        <f t="shared" si="112"/>
        <v>450</v>
      </c>
      <c r="B456" s="4"/>
      <c r="C456" s="4"/>
      <c r="D456" s="4"/>
      <c r="E456" s="4"/>
      <c r="F456" s="17" t="s">
        <v>164</v>
      </c>
      <c r="G456" s="4">
        <v>100</v>
      </c>
      <c r="H456" s="4">
        <v>400</v>
      </c>
      <c r="I456" s="4">
        <v>2</v>
      </c>
      <c r="J456" s="62" t="s">
        <v>34</v>
      </c>
      <c r="K456" s="17" t="s">
        <v>15</v>
      </c>
      <c r="L456" s="39"/>
      <c r="M456" s="39">
        <v>1</v>
      </c>
      <c r="N456" s="39">
        <v>1</v>
      </c>
      <c r="O456" s="39">
        <v>1</v>
      </c>
      <c r="P456" s="39">
        <v>1</v>
      </c>
      <c r="Q456" s="4"/>
      <c r="R456" s="6">
        <f t="shared" ref="R456:R519" si="130">(G456+H456)*2*I456/300</f>
        <v>6.666666666666667</v>
      </c>
      <c r="S456" s="6">
        <f t="shared" si="129"/>
        <v>6.666666666666667</v>
      </c>
      <c r="T456" s="65"/>
      <c r="U456" s="65"/>
      <c r="V456" s="65"/>
      <c r="W456" s="74" t="s">
        <v>186</v>
      </c>
      <c r="X456" s="20" t="str">
        <f t="shared" ref="X456:X519" si="131">W456&amp;"-"&amp;F456</f>
        <v>BR1 STUDY-B48-DR.IO</v>
      </c>
      <c r="Y456" s="7">
        <f t="shared" si="128"/>
        <v>6.666666666666667</v>
      </c>
      <c r="AA456"/>
      <c r="AE456"/>
    </row>
    <row r="457" spans="1:31" x14ac:dyDescent="0.3">
      <c r="A457" s="4">
        <f t="shared" ref="A457:A520" si="132">A456+1</f>
        <v>451</v>
      </c>
      <c r="B457" s="4"/>
      <c r="C457" s="4"/>
      <c r="D457" s="4"/>
      <c r="E457" s="4"/>
      <c r="F457" s="17" t="s">
        <v>165</v>
      </c>
      <c r="G457" s="4">
        <f>H455-20</f>
        <v>380</v>
      </c>
      <c r="H457" s="4">
        <f>H456+16</f>
        <v>416</v>
      </c>
      <c r="I457" s="4">
        <v>1</v>
      </c>
      <c r="J457" s="62" t="s">
        <v>35</v>
      </c>
      <c r="K457" s="17" t="s">
        <v>15</v>
      </c>
      <c r="L457" s="4"/>
      <c r="M457" s="4"/>
      <c r="N457" s="4"/>
      <c r="O457" s="4"/>
      <c r="P457" s="4"/>
      <c r="Q457" s="4"/>
      <c r="R457" s="6">
        <f t="shared" si="130"/>
        <v>5.3066666666666666</v>
      </c>
      <c r="S457" s="65"/>
      <c r="T457" s="65"/>
      <c r="U457" s="65"/>
      <c r="V457" s="65"/>
      <c r="W457" s="74" t="s">
        <v>186</v>
      </c>
      <c r="X457" s="20" t="str">
        <f t="shared" si="131"/>
        <v>BR1 STUDY-B48-DR.BP</v>
      </c>
      <c r="Y457" s="7">
        <f t="shared" si="128"/>
        <v>5.3066666666666666</v>
      </c>
      <c r="AA457"/>
      <c r="AE457"/>
    </row>
    <row r="458" spans="1:31" x14ac:dyDescent="0.3">
      <c r="A458" s="4">
        <f t="shared" si="132"/>
        <v>452</v>
      </c>
      <c r="B458" s="4"/>
      <c r="C458" s="4"/>
      <c r="D458" s="4"/>
      <c r="E458" s="4"/>
      <c r="F458" s="17" t="s">
        <v>166</v>
      </c>
      <c r="G458" s="4">
        <f>148</f>
        <v>148</v>
      </c>
      <c r="H458" s="4">
        <v>498</v>
      </c>
      <c r="I458" s="4">
        <v>1</v>
      </c>
      <c r="J458" s="82" t="s">
        <v>153</v>
      </c>
      <c r="K458" s="5" t="s">
        <v>15</v>
      </c>
      <c r="L458" s="4"/>
      <c r="M458" s="4">
        <v>3</v>
      </c>
      <c r="N458" s="4">
        <v>3</v>
      </c>
      <c r="O458" s="4">
        <v>3</v>
      </c>
      <c r="P458" s="4">
        <v>3</v>
      </c>
      <c r="Q458" s="4"/>
      <c r="R458" s="6">
        <f t="shared" si="130"/>
        <v>4.3066666666666666</v>
      </c>
      <c r="S458" s="65"/>
      <c r="T458" s="6">
        <f>R458</f>
        <v>4.3066666666666666</v>
      </c>
      <c r="U458" s="65"/>
      <c r="V458" s="65"/>
      <c r="W458" s="74" t="s">
        <v>186</v>
      </c>
      <c r="X458" s="20" t="str">
        <f t="shared" si="131"/>
        <v>BR1 STUDY-B48-DR.FACIA</v>
      </c>
      <c r="Y458" s="7">
        <f t="shared" si="128"/>
        <v>4.3066666666666666</v>
      </c>
      <c r="AA458"/>
      <c r="AE458"/>
    </row>
    <row r="459" spans="1:31" x14ac:dyDescent="0.3">
      <c r="A459" s="4">
        <f t="shared" si="132"/>
        <v>453</v>
      </c>
      <c r="B459" s="4"/>
      <c r="C459" s="4"/>
      <c r="D459" s="4"/>
      <c r="E459" s="4"/>
      <c r="F459" s="19" t="s">
        <v>169</v>
      </c>
      <c r="G459" s="4">
        <v>720</v>
      </c>
      <c r="H459" s="4">
        <v>450</v>
      </c>
      <c r="I459" s="4">
        <v>1</v>
      </c>
      <c r="J459" s="61" t="s">
        <v>73</v>
      </c>
      <c r="K459" s="39"/>
      <c r="L459" s="39"/>
      <c r="M459" s="39">
        <v>2</v>
      </c>
      <c r="N459" s="39">
        <v>2</v>
      </c>
      <c r="O459" s="39">
        <v>2</v>
      </c>
      <c r="P459" s="39">
        <v>2</v>
      </c>
      <c r="Q459" s="17" t="s">
        <v>64</v>
      </c>
      <c r="R459" s="6">
        <f t="shared" si="130"/>
        <v>7.8</v>
      </c>
      <c r="S459" s="65"/>
      <c r="T459" s="65"/>
      <c r="U459" s="6">
        <f t="shared" ref="U459:U461" si="133">R459</f>
        <v>7.8</v>
      </c>
      <c r="V459" s="65"/>
      <c r="W459" s="74" t="s">
        <v>186</v>
      </c>
      <c r="X459" s="20" t="str">
        <f t="shared" si="131"/>
        <v>BR1 STUDY-B48-STUDY SIDE</v>
      </c>
      <c r="Y459" s="7">
        <f t="shared" si="128"/>
        <v>7.8</v>
      </c>
      <c r="AA459"/>
      <c r="AE459"/>
    </row>
    <row r="460" spans="1:31" x14ac:dyDescent="0.3">
      <c r="A460" s="4">
        <f t="shared" si="132"/>
        <v>454</v>
      </c>
      <c r="B460" s="4"/>
      <c r="C460" s="4"/>
      <c r="D460" s="4"/>
      <c r="E460" s="4"/>
      <c r="F460" s="19" t="s">
        <v>170</v>
      </c>
      <c r="G460" s="4">
        <v>2400</v>
      </c>
      <c r="H460" s="4">
        <v>450</v>
      </c>
      <c r="I460" s="4">
        <v>1</v>
      </c>
      <c r="J460" s="83" t="s">
        <v>72</v>
      </c>
      <c r="K460" s="39"/>
      <c r="L460" s="39"/>
      <c r="M460" s="39">
        <v>2</v>
      </c>
      <c r="N460" s="39">
        <v>2</v>
      </c>
      <c r="O460" s="39">
        <v>2</v>
      </c>
      <c r="P460" s="39">
        <v>2</v>
      </c>
      <c r="Q460" s="17" t="s">
        <v>64</v>
      </c>
      <c r="R460" s="6">
        <f t="shared" si="130"/>
        <v>19</v>
      </c>
      <c r="S460" s="65"/>
      <c r="T460" s="65"/>
      <c r="U460" s="6">
        <f t="shared" si="133"/>
        <v>19</v>
      </c>
      <c r="V460" s="65"/>
      <c r="W460" s="74" t="s">
        <v>186</v>
      </c>
      <c r="X460" s="20" t="str">
        <f t="shared" si="131"/>
        <v>BR1 STUDY-B48-STUDY TOP</v>
      </c>
      <c r="Y460" s="7">
        <f t="shared" si="128"/>
        <v>19</v>
      </c>
      <c r="AA460"/>
      <c r="AE460"/>
    </row>
    <row r="461" spans="1:31" x14ac:dyDescent="0.3">
      <c r="A461" s="4">
        <f t="shared" si="132"/>
        <v>455</v>
      </c>
      <c r="B461" s="4"/>
      <c r="C461" s="4"/>
      <c r="D461" s="4"/>
      <c r="E461" s="4"/>
      <c r="F461" s="19" t="s">
        <v>55</v>
      </c>
      <c r="G461" s="4">
        <v>1500</v>
      </c>
      <c r="H461" s="4">
        <v>100</v>
      </c>
      <c r="I461" s="4">
        <v>1</v>
      </c>
      <c r="J461" s="61" t="s">
        <v>72</v>
      </c>
      <c r="K461" s="5"/>
      <c r="L461" s="4"/>
      <c r="M461" s="4">
        <v>2</v>
      </c>
      <c r="N461" s="4">
        <v>2</v>
      </c>
      <c r="O461" s="4">
        <v>2</v>
      </c>
      <c r="P461" s="4">
        <v>2</v>
      </c>
      <c r="Q461" s="17" t="s">
        <v>64</v>
      </c>
      <c r="R461" s="6">
        <f t="shared" si="130"/>
        <v>10.666666666666666</v>
      </c>
      <c r="S461" s="65"/>
      <c r="T461" s="65"/>
      <c r="U461" s="6">
        <f t="shared" si="133"/>
        <v>10.666666666666666</v>
      </c>
      <c r="V461" s="65"/>
      <c r="W461" s="74" t="s">
        <v>186</v>
      </c>
      <c r="X461" s="20" t="str">
        <f t="shared" si="131"/>
        <v>BR1 STUDY-B48-FILLERS</v>
      </c>
      <c r="Y461" s="7">
        <f t="shared" si="128"/>
        <v>10.666666666666666</v>
      </c>
      <c r="AA461"/>
      <c r="AE461"/>
    </row>
    <row r="462" spans="1:31" x14ac:dyDescent="0.3">
      <c r="A462" s="4">
        <f t="shared" si="132"/>
        <v>456</v>
      </c>
      <c r="B462" s="23" t="s">
        <v>187</v>
      </c>
      <c r="C462" s="23">
        <v>1362</v>
      </c>
      <c r="D462" s="23">
        <v>450</v>
      </c>
      <c r="E462" s="23">
        <v>300</v>
      </c>
      <c r="F462" s="19" t="s">
        <v>28</v>
      </c>
      <c r="G462" s="4">
        <f>C462</f>
        <v>1362</v>
      </c>
      <c r="H462" s="4">
        <f>E462</f>
        <v>300</v>
      </c>
      <c r="I462" s="4">
        <v>1</v>
      </c>
      <c r="J462" s="81" t="s">
        <v>154</v>
      </c>
      <c r="K462" s="5" t="s">
        <v>15</v>
      </c>
      <c r="L462" s="4"/>
      <c r="M462" s="4">
        <v>3</v>
      </c>
      <c r="N462" s="4">
        <v>3</v>
      </c>
      <c r="O462" s="4">
        <v>3</v>
      </c>
      <c r="P462" s="4">
        <v>3</v>
      </c>
      <c r="Q462" s="4"/>
      <c r="R462" s="6">
        <f t="shared" si="130"/>
        <v>11.08</v>
      </c>
      <c r="S462" s="65"/>
      <c r="T462" s="6">
        <f t="shared" ref="T462:T465" si="134">R462</f>
        <v>11.08</v>
      </c>
      <c r="U462" s="65"/>
      <c r="V462" s="65"/>
      <c r="W462" s="74" t="s">
        <v>187</v>
      </c>
      <c r="X462" s="20" t="str">
        <f t="shared" si="131"/>
        <v>BR1 STUDY-B49-LHS</v>
      </c>
      <c r="Y462" s="7">
        <f t="shared" si="128"/>
        <v>11.08</v>
      </c>
      <c r="AA462"/>
      <c r="AE462"/>
    </row>
    <row r="463" spans="1:31" x14ac:dyDescent="0.3">
      <c r="A463" s="4">
        <f t="shared" si="132"/>
        <v>457</v>
      </c>
      <c r="B463" s="49" t="s">
        <v>261</v>
      </c>
      <c r="C463" s="4"/>
      <c r="D463" s="4"/>
      <c r="E463" s="4"/>
      <c r="F463" s="19" t="s">
        <v>29</v>
      </c>
      <c r="G463" s="4">
        <f>G462</f>
        <v>1362</v>
      </c>
      <c r="H463" s="4">
        <f>H462</f>
        <v>300</v>
      </c>
      <c r="I463" s="4">
        <v>1</v>
      </c>
      <c r="J463" s="80" t="s">
        <v>173</v>
      </c>
      <c r="K463" s="5" t="s">
        <v>15</v>
      </c>
      <c r="L463" s="4"/>
      <c r="M463" s="4">
        <v>3</v>
      </c>
      <c r="N463" s="4">
        <v>3</v>
      </c>
      <c r="O463" s="4">
        <v>3</v>
      </c>
      <c r="P463" s="4">
        <v>3</v>
      </c>
      <c r="Q463" s="4"/>
      <c r="R463" s="6">
        <f t="shared" si="130"/>
        <v>11.08</v>
      </c>
      <c r="S463" s="65"/>
      <c r="T463" s="6">
        <f t="shared" si="134"/>
        <v>11.08</v>
      </c>
      <c r="U463" s="65"/>
      <c r="V463" s="65"/>
      <c r="W463" s="74" t="s">
        <v>187</v>
      </c>
      <c r="X463" s="20" t="str">
        <f t="shared" si="131"/>
        <v>BR1 STUDY-B49-RHS</v>
      </c>
      <c r="Y463" s="7">
        <f t="shared" si="128"/>
        <v>11.08</v>
      </c>
      <c r="AA463"/>
      <c r="AE463"/>
    </row>
    <row r="464" spans="1:31" x14ac:dyDescent="0.3">
      <c r="A464" s="4">
        <f t="shared" si="132"/>
        <v>458</v>
      </c>
      <c r="B464" s="4"/>
      <c r="C464" s="4"/>
      <c r="D464" s="4"/>
      <c r="E464" s="4"/>
      <c r="F464" s="19" t="s">
        <v>30</v>
      </c>
      <c r="G464" s="4">
        <f>D462-36</f>
        <v>414</v>
      </c>
      <c r="H464" s="4">
        <f>H463</f>
        <v>300</v>
      </c>
      <c r="I464" s="4">
        <v>1</v>
      </c>
      <c r="J464" s="81" t="s">
        <v>154</v>
      </c>
      <c r="K464" s="5" t="s">
        <v>15</v>
      </c>
      <c r="L464" s="4"/>
      <c r="M464" s="4">
        <v>3</v>
      </c>
      <c r="N464" s="4">
        <v>3</v>
      </c>
      <c r="O464" s="4">
        <v>3</v>
      </c>
      <c r="P464" s="4">
        <v>3</v>
      </c>
      <c r="Q464" s="4"/>
      <c r="R464" s="6">
        <f t="shared" si="130"/>
        <v>4.76</v>
      </c>
      <c r="S464" s="65"/>
      <c r="T464" s="6">
        <f t="shared" si="134"/>
        <v>4.76</v>
      </c>
      <c r="U464" s="65"/>
      <c r="V464" s="65"/>
      <c r="W464" s="74" t="s">
        <v>187</v>
      </c>
      <c r="X464" s="20" t="str">
        <f t="shared" si="131"/>
        <v>BR1 STUDY-B49-TOP</v>
      </c>
      <c r="Y464" s="7">
        <f t="shared" si="128"/>
        <v>4.76</v>
      </c>
      <c r="AA464"/>
      <c r="AE464"/>
    </row>
    <row r="465" spans="1:31" x14ac:dyDescent="0.3">
      <c r="A465" s="4">
        <f t="shared" si="132"/>
        <v>459</v>
      </c>
      <c r="B465" s="4"/>
      <c r="C465" s="4"/>
      <c r="D465" s="4"/>
      <c r="E465" s="4"/>
      <c r="F465" s="19" t="s">
        <v>31</v>
      </c>
      <c r="G465" s="4">
        <f>G464</f>
        <v>414</v>
      </c>
      <c r="H465" s="4">
        <f>H464</f>
        <v>300</v>
      </c>
      <c r="I465" s="4">
        <v>1</v>
      </c>
      <c r="J465" s="81" t="s">
        <v>154</v>
      </c>
      <c r="K465" s="5" t="s">
        <v>15</v>
      </c>
      <c r="L465" s="4"/>
      <c r="M465" s="4">
        <v>3</v>
      </c>
      <c r="N465" s="4">
        <v>3</v>
      </c>
      <c r="O465" s="4">
        <v>3</v>
      </c>
      <c r="P465" s="4">
        <v>3</v>
      </c>
      <c r="Q465" s="4"/>
      <c r="R465" s="6">
        <f t="shared" si="130"/>
        <v>4.76</v>
      </c>
      <c r="S465" s="65"/>
      <c r="T465" s="6">
        <f t="shared" si="134"/>
        <v>4.76</v>
      </c>
      <c r="U465" s="65"/>
      <c r="V465" s="65"/>
      <c r="W465" s="74" t="s">
        <v>187</v>
      </c>
      <c r="X465" s="20" t="str">
        <f t="shared" si="131"/>
        <v>BR1 STUDY-B49-BTM</v>
      </c>
      <c r="Y465" s="7">
        <f t="shared" si="128"/>
        <v>4.76</v>
      </c>
      <c r="AA465"/>
      <c r="AE465"/>
    </row>
    <row r="466" spans="1:31" x14ac:dyDescent="0.3">
      <c r="A466" s="4">
        <f t="shared" si="132"/>
        <v>460</v>
      </c>
      <c r="B466" s="4"/>
      <c r="C466" s="4"/>
      <c r="D466" s="4"/>
      <c r="E466" s="4"/>
      <c r="F466" s="19" t="s">
        <v>159</v>
      </c>
      <c r="G466" s="4">
        <f>C462-20</f>
        <v>1342</v>
      </c>
      <c r="H466" s="4">
        <f>D462-20</f>
        <v>430</v>
      </c>
      <c r="I466" s="4">
        <v>1</v>
      </c>
      <c r="J466" s="83" t="s">
        <v>174</v>
      </c>
      <c r="K466" s="5" t="s">
        <v>15</v>
      </c>
      <c r="L466" s="4"/>
      <c r="M466" s="4"/>
      <c r="N466" s="4"/>
      <c r="O466" s="4"/>
      <c r="P466" s="4"/>
      <c r="Q466" s="4"/>
      <c r="R466" s="6">
        <f t="shared" si="130"/>
        <v>11.813333333333333</v>
      </c>
      <c r="S466" s="65"/>
      <c r="T466" s="65"/>
      <c r="U466" s="65"/>
      <c r="V466" s="65"/>
      <c r="W466" s="74" t="s">
        <v>187</v>
      </c>
      <c r="X466" s="20" t="str">
        <f t="shared" si="131"/>
        <v>BR1 STUDY-B49-BP</v>
      </c>
      <c r="Y466" s="7">
        <f t="shared" si="128"/>
        <v>11.813333333333333</v>
      </c>
      <c r="AA466"/>
      <c r="AE466"/>
    </row>
    <row r="467" spans="1:31" x14ac:dyDescent="0.3">
      <c r="A467" s="4">
        <f t="shared" si="132"/>
        <v>461</v>
      </c>
      <c r="B467" s="4"/>
      <c r="C467" s="4"/>
      <c r="D467" s="4"/>
      <c r="E467" s="4"/>
      <c r="F467" s="19" t="s">
        <v>162</v>
      </c>
      <c r="G467" s="4">
        <f>G465</f>
        <v>414</v>
      </c>
      <c r="H467" s="4">
        <f>E462-20</f>
        <v>280</v>
      </c>
      <c r="I467" s="4">
        <v>3</v>
      </c>
      <c r="J467" s="61" t="s">
        <v>73</v>
      </c>
      <c r="K467" s="39"/>
      <c r="L467" s="39"/>
      <c r="M467" s="39">
        <v>2</v>
      </c>
      <c r="N467" s="39">
        <v>2</v>
      </c>
      <c r="O467" s="39">
        <v>2</v>
      </c>
      <c r="P467" s="39">
        <v>2</v>
      </c>
      <c r="Q467" s="17" t="s">
        <v>64</v>
      </c>
      <c r="R467" s="6">
        <f t="shared" si="130"/>
        <v>13.88</v>
      </c>
      <c r="S467" s="65"/>
      <c r="T467" s="65"/>
      <c r="U467" s="6">
        <f t="shared" ref="U467:U468" si="135">R467</f>
        <v>13.88</v>
      </c>
      <c r="V467" s="65"/>
      <c r="W467" s="74" t="s">
        <v>187</v>
      </c>
      <c r="X467" s="20" t="str">
        <f t="shared" si="131"/>
        <v>BR1 STUDY-B49-L SHELF</v>
      </c>
      <c r="Y467" s="7">
        <f t="shared" si="128"/>
        <v>13.88</v>
      </c>
      <c r="AA467"/>
      <c r="AE467"/>
    </row>
    <row r="468" spans="1:31" x14ac:dyDescent="0.3">
      <c r="A468" s="4">
        <f t="shared" si="132"/>
        <v>462</v>
      </c>
      <c r="B468" s="4"/>
      <c r="C468" s="4"/>
      <c r="D468" s="4"/>
      <c r="E468" s="4"/>
      <c r="F468" s="19" t="s">
        <v>138</v>
      </c>
      <c r="G468" s="4">
        <v>750</v>
      </c>
      <c r="H468" s="4">
        <v>300</v>
      </c>
      <c r="I468" s="4">
        <v>2</v>
      </c>
      <c r="J468" s="61" t="s">
        <v>73</v>
      </c>
      <c r="K468" s="39"/>
      <c r="L468" s="39"/>
      <c r="M468" s="39">
        <v>2</v>
      </c>
      <c r="N468" s="39">
        <v>2</v>
      </c>
      <c r="O468" s="39">
        <v>2</v>
      </c>
      <c r="P468" s="39">
        <v>2</v>
      </c>
      <c r="Q468" s="17" t="s">
        <v>64</v>
      </c>
      <c r="R468" s="6">
        <f t="shared" si="130"/>
        <v>14</v>
      </c>
      <c r="S468" s="65"/>
      <c r="T468" s="65"/>
      <c r="U468" s="6">
        <f t="shared" si="135"/>
        <v>14</v>
      </c>
      <c r="V468" s="65"/>
      <c r="W468" s="74" t="s">
        <v>187</v>
      </c>
      <c r="X468" s="20" t="str">
        <f t="shared" si="131"/>
        <v>BR1 STUDY-B49-LEDGES</v>
      </c>
      <c r="Y468" s="7">
        <f t="shared" si="128"/>
        <v>14</v>
      </c>
      <c r="AA468"/>
      <c r="AE468"/>
    </row>
    <row r="469" spans="1:31" x14ac:dyDescent="0.3">
      <c r="A469" s="4">
        <f t="shared" si="132"/>
        <v>463</v>
      </c>
      <c r="B469" s="63" t="s">
        <v>207</v>
      </c>
      <c r="C469" s="23">
        <v>2120</v>
      </c>
      <c r="D469" s="23">
        <v>2000</v>
      </c>
      <c r="E469" s="23">
        <v>580</v>
      </c>
      <c r="F469" s="19" t="s">
        <v>28</v>
      </c>
      <c r="G469" s="4">
        <f>C469</f>
        <v>2120</v>
      </c>
      <c r="H469" s="4">
        <f>E469</f>
        <v>580</v>
      </c>
      <c r="I469" s="4">
        <v>1</v>
      </c>
      <c r="J469" s="62" t="s">
        <v>34</v>
      </c>
      <c r="K469" s="17" t="s">
        <v>15</v>
      </c>
      <c r="L469" s="39"/>
      <c r="M469" s="39">
        <v>1</v>
      </c>
      <c r="N469" s="39">
        <v>1</v>
      </c>
      <c r="O469" s="39">
        <v>1</v>
      </c>
      <c r="P469" s="39">
        <v>1</v>
      </c>
      <c r="Q469" s="4"/>
      <c r="R469" s="6">
        <f t="shared" si="130"/>
        <v>18</v>
      </c>
      <c r="S469" s="6">
        <f>R469</f>
        <v>18</v>
      </c>
      <c r="T469" s="65"/>
      <c r="U469" s="65"/>
      <c r="V469" s="65"/>
      <c r="W469" s="74" t="s">
        <v>207</v>
      </c>
      <c r="X469" s="20" t="str">
        <f t="shared" si="131"/>
        <v>BR2-B50-LHS</v>
      </c>
      <c r="Y469" s="7">
        <f t="shared" si="128"/>
        <v>18</v>
      </c>
      <c r="AA469"/>
      <c r="AE469"/>
    </row>
    <row r="470" spans="1:31" x14ac:dyDescent="0.3">
      <c r="A470" s="4">
        <f t="shared" si="132"/>
        <v>464</v>
      </c>
      <c r="B470" s="4"/>
      <c r="C470" s="4"/>
      <c r="D470" s="4"/>
      <c r="E470" s="4"/>
      <c r="F470" s="19" t="s">
        <v>29</v>
      </c>
      <c r="G470" s="4">
        <f>G469</f>
        <v>2120</v>
      </c>
      <c r="H470" s="4">
        <f>H469</f>
        <v>580</v>
      </c>
      <c r="I470" s="4">
        <v>1</v>
      </c>
      <c r="J470" s="61" t="s">
        <v>72</v>
      </c>
      <c r="K470" s="5"/>
      <c r="L470" s="4"/>
      <c r="M470" s="4">
        <v>2</v>
      </c>
      <c r="N470" s="4">
        <v>2</v>
      </c>
      <c r="O470" s="4">
        <v>2</v>
      </c>
      <c r="P470" s="4">
        <v>2</v>
      </c>
      <c r="Q470" s="17" t="s">
        <v>64</v>
      </c>
      <c r="R470" s="6">
        <f t="shared" si="130"/>
        <v>18</v>
      </c>
      <c r="S470" s="65"/>
      <c r="T470" s="65"/>
      <c r="U470" s="6">
        <f>R470</f>
        <v>18</v>
      </c>
      <c r="V470" s="65"/>
      <c r="W470" s="74" t="s">
        <v>207</v>
      </c>
      <c r="X470" s="20" t="str">
        <f t="shared" si="131"/>
        <v>BR2-B50-RHS</v>
      </c>
      <c r="Y470" s="7">
        <f t="shared" si="128"/>
        <v>18</v>
      </c>
      <c r="AA470"/>
      <c r="AE470"/>
    </row>
    <row r="471" spans="1:31" x14ac:dyDescent="0.3">
      <c r="A471" s="4">
        <f t="shared" si="132"/>
        <v>465</v>
      </c>
      <c r="B471" s="4"/>
      <c r="C471" s="4"/>
      <c r="D471" s="4"/>
      <c r="E471" s="4"/>
      <c r="F471" s="19" t="s">
        <v>30</v>
      </c>
      <c r="G471" s="4">
        <f>D469-36</f>
        <v>1964</v>
      </c>
      <c r="H471" s="4">
        <f>H470</f>
        <v>580</v>
      </c>
      <c r="I471" s="4">
        <v>1</v>
      </c>
      <c r="J471" s="62" t="s">
        <v>34</v>
      </c>
      <c r="K471" s="17" t="s">
        <v>15</v>
      </c>
      <c r="L471" s="39"/>
      <c r="M471" s="39">
        <v>1</v>
      </c>
      <c r="N471" s="39">
        <v>1</v>
      </c>
      <c r="O471" s="39">
        <v>1</v>
      </c>
      <c r="P471" s="39">
        <v>1</v>
      </c>
      <c r="Q471" s="4"/>
      <c r="R471" s="6">
        <f t="shared" si="130"/>
        <v>16.96</v>
      </c>
      <c r="S471" s="6">
        <f t="shared" ref="S471:S472" si="136">R471</f>
        <v>16.96</v>
      </c>
      <c r="T471" s="65"/>
      <c r="U471" s="65"/>
      <c r="V471" s="65"/>
      <c r="W471" s="74" t="s">
        <v>207</v>
      </c>
      <c r="X471" s="20" t="str">
        <f t="shared" si="131"/>
        <v>BR2-B50-TOP</v>
      </c>
      <c r="Y471" s="7">
        <f t="shared" si="128"/>
        <v>16.96</v>
      </c>
      <c r="AA471"/>
      <c r="AE471"/>
    </row>
    <row r="472" spans="1:31" x14ac:dyDescent="0.3">
      <c r="A472" s="4">
        <f t="shared" si="132"/>
        <v>466</v>
      </c>
      <c r="B472" s="4"/>
      <c r="C472" s="4"/>
      <c r="D472" s="4"/>
      <c r="E472" s="4"/>
      <c r="F472" s="19" t="s">
        <v>31</v>
      </c>
      <c r="G472" s="4">
        <f>G471</f>
        <v>1964</v>
      </c>
      <c r="H472" s="4">
        <f>H471</f>
        <v>580</v>
      </c>
      <c r="I472" s="4">
        <v>1</v>
      </c>
      <c r="J472" s="62" t="s">
        <v>34</v>
      </c>
      <c r="K472" s="17" t="s">
        <v>15</v>
      </c>
      <c r="L472" s="39"/>
      <c r="M472" s="39">
        <v>1</v>
      </c>
      <c r="N472" s="39">
        <v>1</v>
      </c>
      <c r="O472" s="39">
        <v>1</v>
      </c>
      <c r="P472" s="39">
        <v>1</v>
      </c>
      <c r="Q472" s="4"/>
      <c r="R472" s="6">
        <f t="shared" si="130"/>
        <v>16.96</v>
      </c>
      <c r="S472" s="6">
        <f t="shared" si="136"/>
        <v>16.96</v>
      </c>
      <c r="T472" s="65"/>
      <c r="U472" s="65"/>
      <c r="V472" s="65"/>
      <c r="W472" s="74" t="s">
        <v>207</v>
      </c>
      <c r="X472" s="20" t="str">
        <f t="shared" si="131"/>
        <v>BR2-B50-BTM</v>
      </c>
      <c r="Y472" s="7">
        <f t="shared" si="128"/>
        <v>16.96</v>
      </c>
      <c r="AA472"/>
      <c r="AE472"/>
    </row>
    <row r="473" spans="1:31" x14ac:dyDescent="0.3">
      <c r="A473" s="4">
        <f t="shared" si="132"/>
        <v>467</v>
      </c>
      <c r="B473" s="4"/>
      <c r="C473" s="4"/>
      <c r="D473" s="4"/>
      <c r="E473" s="4"/>
      <c r="F473" s="19" t="s">
        <v>159</v>
      </c>
      <c r="G473" s="4">
        <f>C469-110-20</f>
        <v>1990</v>
      </c>
      <c r="H473" s="4">
        <f>D469/2-27+13</f>
        <v>986</v>
      </c>
      <c r="I473" s="4">
        <v>1</v>
      </c>
      <c r="J473" s="62" t="s">
        <v>35</v>
      </c>
      <c r="K473" s="17" t="s">
        <v>15</v>
      </c>
      <c r="L473" s="4"/>
      <c r="M473" s="4"/>
      <c r="N473" s="4"/>
      <c r="O473" s="4"/>
      <c r="P473" s="4"/>
      <c r="Q473" s="4"/>
      <c r="R473" s="6">
        <f t="shared" si="130"/>
        <v>19.84</v>
      </c>
      <c r="S473" s="65"/>
      <c r="T473" s="65"/>
      <c r="U473" s="65"/>
      <c r="V473" s="65"/>
      <c r="W473" s="74" t="s">
        <v>207</v>
      </c>
      <c r="X473" s="20" t="str">
        <f t="shared" si="131"/>
        <v>BR2-B50-BP</v>
      </c>
      <c r="Y473" s="7">
        <f t="shared" si="128"/>
        <v>19.84</v>
      </c>
      <c r="AA473"/>
      <c r="AE473"/>
    </row>
    <row r="474" spans="1:31" x14ac:dyDescent="0.3">
      <c r="A474" s="4">
        <f t="shared" si="132"/>
        <v>468</v>
      </c>
      <c r="B474" s="4"/>
      <c r="C474" s="4"/>
      <c r="D474" s="4"/>
      <c r="E474" s="4"/>
      <c r="F474" s="19" t="s">
        <v>160</v>
      </c>
      <c r="G474" s="4">
        <f>C469-110-36</f>
        <v>1974</v>
      </c>
      <c r="H474" s="4">
        <f>E469-20</f>
        <v>560</v>
      </c>
      <c r="I474" s="4">
        <v>1</v>
      </c>
      <c r="J474" s="62" t="s">
        <v>34</v>
      </c>
      <c r="K474" s="17" t="s">
        <v>15</v>
      </c>
      <c r="L474" s="39"/>
      <c r="M474" s="39">
        <v>1</v>
      </c>
      <c r="N474" s="39">
        <v>1</v>
      </c>
      <c r="O474" s="39">
        <v>1</v>
      </c>
      <c r="P474" s="39">
        <v>1</v>
      </c>
      <c r="Q474" s="4"/>
      <c r="R474" s="6">
        <f t="shared" si="130"/>
        <v>16.893333333333334</v>
      </c>
      <c r="S474" s="6">
        <f t="shared" ref="S474:S478" si="137">R474</f>
        <v>16.893333333333334</v>
      </c>
      <c r="T474" s="65"/>
      <c r="U474" s="65"/>
      <c r="V474" s="65"/>
      <c r="W474" s="74" t="s">
        <v>207</v>
      </c>
      <c r="X474" s="20" t="str">
        <f t="shared" si="131"/>
        <v>BR2-B50-CV</v>
      </c>
      <c r="Y474" s="7">
        <f t="shared" si="128"/>
        <v>16.893333333333334</v>
      </c>
      <c r="AA474"/>
      <c r="AE474"/>
    </row>
    <row r="475" spans="1:31" x14ac:dyDescent="0.3">
      <c r="A475" s="4">
        <f t="shared" si="132"/>
        <v>469</v>
      </c>
      <c r="B475" s="4"/>
      <c r="C475" s="4"/>
      <c r="D475" s="4"/>
      <c r="E475" s="4"/>
      <c r="F475" s="19" t="s">
        <v>161</v>
      </c>
      <c r="G475" s="4">
        <f>D469/2-18-9</f>
        <v>973</v>
      </c>
      <c r="H475" s="4">
        <f>E469-20</f>
        <v>560</v>
      </c>
      <c r="I475" s="4">
        <v>2</v>
      </c>
      <c r="J475" s="62" t="s">
        <v>34</v>
      </c>
      <c r="K475" s="17" t="s">
        <v>15</v>
      </c>
      <c r="L475" s="39"/>
      <c r="M475" s="39">
        <v>1</v>
      </c>
      <c r="N475" s="39">
        <v>1</v>
      </c>
      <c r="O475" s="39">
        <v>1</v>
      </c>
      <c r="P475" s="39">
        <v>1</v>
      </c>
      <c r="Q475" s="4"/>
      <c r="R475" s="6">
        <f t="shared" si="130"/>
        <v>20.440000000000001</v>
      </c>
      <c r="S475" s="6">
        <f t="shared" si="137"/>
        <v>20.440000000000001</v>
      </c>
      <c r="T475" s="65"/>
      <c r="U475" s="65"/>
      <c r="V475" s="65"/>
      <c r="W475" s="74" t="s">
        <v>207</v>
      </c>
      <c r="X475" s="20" t="str">
        <f t="shared" si="131"/>
        <v>BR2-B50-F SHELF</v>
      </c>
      <c r="Y475" s="7">
        <f t="shared" si="128"/>
        <v>20.440000000000001</v>
      </c>
      <c r="AA475"/>
      <c r="AE475"/>
    </row>
    <row r="476" spans="1:31" x14ac:dyDescent="0.3">
      <c r="A476" s="4">
        <f t="shared" si="132"/>
        <v>470</v>
      </c>
      <c r="B476" s="4"/>
      <c r="C476" s="4"/>
      <c r="D476" s="4"/>
      <c r="E476" s="4"/>
      <c r="F476" s="17" t="s">
        <v>162</v>
      </c>
      <c r="G476" s="4">
        <f>G475</f>
        <v>973</v>
      </c>
      <c r="H476" s="4">
        <f>E469-25</f>
        <v>555</v>
      </c>
      <c r="I476" s="4">
        <v>2</v>
      </c>
      <c r="J476" s="62" t="s">
        <v>34</v>
      </c>
      <c r="K476" s="17" t="s">
        <v>15</v>
      </c>
      <c r="L476" s="39"/>
      <c r="M476" s="39">
        <v>1</v>
      </c>
      <c r="N476" s="39">
        <v>1</v>
      </c>
      <c r="O476" s="39">
        <v>1</v>
      </c>
      <c r="P476" s="39">
        <v>1</v>
      </c>
      <c r="Q476" s="4"/>
      <c r="R476" s="6">
        <f t="shared" si="130"/>
        <v>20.373333333333335</v>
      </c>
      <c r="S476" s="6">
        <f t="shared" si="137"/>
        <v>20.373333333333335</v>
      </c>
      <c r="T476" s="65"/>
      <c r="U476" s="65"/>
      <c r="V476" s="65"/>
      <c r="W476" s="74" t="s">
        <v>207</v>
      </c>
      <c r="X476" s="20" t="str">
        <f t="shared" si="131"/>
        <v>BR2-B50-L SHELF</v>
      </c>
      <c r="Y476" s="7">
        <f t="shared" si="128"/>
        <v>20.373333333333335</v>
      </c>
      <c r="AA476"/>
      <c r="AE476"/>
    </row>
    <row r="477" spans="1:31" x14ac:dyDescent="0.3">
      <c r="A477" s="4">
        <f t="shared" si="132"/>
        <v>471</v>
      </c>
      <c r="B477" s="4"/>
      <c r="C477" s="4"/>
      <c r="D477" s="4"/>
      <c r="E477" s="4"/>
      <c r="F477" s="17" t="s">
        <v>163</v>
      </c>
      <c r="G477" s="4">
        <v>150</v>
      </c>
      <c r="H477" s="4">
        <v>500</v>
      </c>
      <c r="I477" s="4">
        <v>4</v>
      </c>
      <c r="J477" s="62" t="s">
        <v>34</v>
      </c>
      <c r="K477" s="17" t="s">
        <v>15</v>
      </c>
      <c r="L477" s="39"/>
      <c r="M477" s="39">
        <v>1</v>
      </c>
      <c r="N477" s="39">
        <v>1</v>
      </c>
      <c r="O477" s="39">
        <v>1</v>
      </c>
      <c r="P477" s="39">
        <v>1</v>
      </c>
      <c r="Q477" s="4"/>
      <c r="R477" s="6">
        <f t="shared" si="130"/>
        <v>17.333333333333332</v>
      </c>
      <c r="S477" s="6">
        <f t="shared" si="137"/>
        <v>17.333333333333332</v>
      </c>
      <c r="T477" s="65"/>
      <c r="U477" s="65"/>
      <c r="V477" s="65"/>
      <c r="W477" s="74" t="s">
        <v>207</v>
      </c>
      <c r="X477" s="20" t="str">
        <f t="shared" si="131"/>
        <v>BR2-B50-DR.LR</v>
      </c>
      <c r="Y477" s="7">
        <f t="shared" si="128"/>
        <v>17.333333333333332</v>
      </c>
      <c r="AA477"/>
      <c r="AE477"/>
    </row>
    <row r="478" spans="1:31" x14ac:dyDescent="0.3">
      <c r="A478" s="4">
        <f t="shared" si="132"/>
        <v>472</v>
      </c>
      <c r="B478" s="4"/>
      <c r="C478" s="4"/>
      <c r="D478" s="4"/>
      <c r="E478" s="4"/>
      <c r="F478" s="17" t="s">
        <v>164</v>
      </c>
      <c r="G478" s="4">
        <v>150</v>
      </c>
      <c r="H478" s="4">
        <f>D469/2-18-9-36-28-36</f>
        <v>873</v>
      </c>
      <c r="I478" s="4">
        <v>4</v>
      </c>
      <c r="J478" s="62" t="s">
        <v>34</v>
      </c>
      <c r="K478" s="17" t="s">
        <v>15</v>
      </c>
      <c r="L478" s="39"/>
      <c r="M478" s="39">
        <v>1</v>
      </c>
      <c r="N478" s="39">
        <v>1</v>
      </c>
      <c r="O478" s="39">
        <v>1</v>
      </c>
      <c r="P478" s="39">
        <v>1</v>
      </c>
      <c r="Q478" s="4"/>
      <c r="R478" s="6">
        <f t="shared" si="130"/>
        <v>27.28</v>
      </c>
      <c r="S478" s="6">
        <f t="shared" si="137"/>
        <v>27.28</v>
      </c>
      <c r="T478" s="65"/>
      <c r="U478" s="65"/>
      <c r="V478" s="65"/>
      <c r="W478" s="74" t="s">
        <v>207</v>
      </c>
      <c r="X478" s="20" t="str">
        <f t="shared" si="131"/>
        <v>BR2-B50-DR.IO</v>
      </c>
      <c r="Y478" s="7">
        <f t="shared" si="128"/>
        <v>27.28</v>
      </c>
      <c r="AA478"/>
      <c r="AE478"/>
    </row>
    <row r="479" spans="1:31" x14ac:dyDescent="0.3">
      <c r="A479" s="4">
        <f t="shared" si="132"/>
        <v>473</v>
      </c>
      <c r="B479" s="4"/>
      <c r="C479" s="4"/>
      <c r="D479" s="4"/>
      <c r="E479" s="4"/>
      <c r="F479" s="17" t="s">
        <v>165</v>
      </c>
      <c r="G479" s="4">
        <f>H477-20</f>
        <v>480</v>
      </c>
      <c r="H479" s="4">
        <f>H478+16</f>
        <v>889</v>
      </c>
      <c r="I479" s="4">
        <v>2</v>
      </c>
      <c r="J479" s="62" t="s">
        <v>35</v>
      </c>
      <c r="K479" s="17" t="s">
        <v>15</v>
      </c>
      <c r="L479" s="4"/>
      <c r="M479" s="4"/>
      <c r="N479" s="4"/>
      <c r="O479" s="4"/>
      <c r="P479" s="4"/>
      <c r="Q479" s="4"/>
      <c r="R479" s="6">
        <f t="shared" si="130"/>
        <v>18.253333333333334</v>
      </c>
      <c r="S479" s="65"/>
      <c r="T479" s="65"/>
      <c r="U479" s="65"/>
      <c r="V479" s="65"/>
      <c r="W479" s="74" t="s">
        <v>207</v>
      </c>
      <c r="X479" s="20" t="str">
        <f t="shared" si="131"/>
        <v>BR2-B50-DR.BP</v>
      </c>
      <c r="Y479" s="7">
        <f t="shared" si="128"/>
        <v>18.253333333333334</v>
      </c>
      <c r="AA479"/>
      <c r="AE479"/>
    </row>
    <row r="480" spans="1:31" x14ac:dyDescent="0.3">
      <c r="A480" s="4">
        <f t="shared" si="132"/>
        <v>474</v>
      </c>
      <c r="B480" s="4"/>
      <c r="C480" s="4"/>
      <c r="D480" s="4"/>
      <c r="E480" s="4"/>
      <c r="F480" s="17" t="s">
        <v>166</v>
      </c>
      <c r="G480" s="4">
        <f>200-2</f>
        <v>198</v>
      </c>
      <c r="H480" s="4">
        <v>935</v>
      </c>
      <c r="I480" s="4">
        <v>2</v>
      </c>
      <c r="J480" s="62" t="s">
        <v>34</v>
      </c>
      <c r="K480" s="17" t="s">
        <v>15</v>
      </c>
      <c r="L480" s="39"/>
      <c r="M480" s="39">
        <v>1</v>
      </c>
      <c r="N480" s="39">
        <v>1</v>
      </c>
      <c r="O480" s="39">
        <v>1</v>
      </c>
      <c r="P480" s="39">
        <v>1</v>
      </c>
      <c r="Q480" s="4"/>
      <c r="R480" s="6">
        <f t="shared" si="130"/>
        <v>15.106666666666667</v>
      </c>
      <c r="S480" s="6">
        <f t="shared" ref="S480:S481" si="138">R480</f>
        <v>15.106666666666667</v>
      </c>
      <c r="T480" s="65"/>
      <c r="U480" s="65"/>
      <c r="V480" s="65"/>
      <c r="W480" s="74" t="s">
        <v>207</v>
      </c>
      <c r="X480" s="20" t="str">
        <f t="shared" si="131"/>
        <v>BR2-B50-DR.FACIA</v>
      </c>
      <c r="Y480" s="7">
        <f t="shared" si="128"/>
        <v>15.106666666666667</v>
      </c>
      <c r="AA480"/>
      <c r="AE480"/>
    </row>
    <row r="481" spans="1:31" x14ac:dyDescent="0.3">
      <c r="A481" s="4">
        <f t="shared" si="132"/>
        <v>475</v>
      </c>
      <c r="B481" s="4"/>
      <c r="C481" s="4"/>
      <c r="D481" s="4"/>
      <c r="E481" s="4"/>
      <c r="F481" s="17" t="s">
        <v>167</v>
      </c>
      <c r="G481" s="4">
        <v>200</v>
      </c>
      <c r="H481" s="4">
        <v>500</v>
      </c>
      <c r="I481" s="4">
        <v>4</v>
      </c>
      <c r="J481" s="62" t="s">
        <v>34</v>
      </c>
      <c r="K481" s="17" t="s">
        <v>15</v>
      </c>
      <c r="L481" s="39"/>
      <c r="M481" s="39">
        <v>1</v>
      </c>
      <c r="N481" s="39">
        <v>1</v>
      </c>
      <c r="O481" s="39">
        <v>1</v>
      </c>
      <c r="P481" s="39">
        <v>1</v>
      </c>
      <c r="Q481" s="4"/>
      <c r="R481" s="6">
        <f t="shared" si="130"/>
        <v>18.666666666666668</v>
      </c>
      <c r="S481" s="6">
        <f t="shared" si="138"/>
        <v>18.666666666666668</v>
      </c>
      <c r="T481" s="65"/>
      <c r="U481" s="65"/>
      <c r="V481" s="65"/>
      <c r="W481" s="74" t="s">
        <v>207</v>
      </c>
      <c r="X481" s="20" t="str">
        <f t="shared" si="131"/>
        <v>BR2-B50-DR.DUMMY</v>
      </c>
      <c r="Y481" s="7">
        <f t="shared" si="128"/>
        <v>18.666666666666668</v>
      </c>
      <c r="AA481"/>
      <c r="AE481"/>
    </row>
    <row r="482" spans="1:31" x14ac:dyDescent="0.3">
      <c r="A482" s="4">
        <f t="shared" si="132"/>
        <v>476</v>
      </c>
      <c r="B482" s="4"/>
      <c r="C482" s="4"/>
      <c r="D482" s="4"/>
      <c r="E482" s="4"/>
      <c r="F482" s="19" t="s">
        <v>36</v>
      </c>
      <c r="G482" s="4">
        <f>C469-110-2</f>
        <v>2008</v>
      </c>
      <c r="H482" s="4">
        <f>D469/4-2</f>
        <v>498</v>
      </c>
      <c r="I482" s="4">
        <v>4</v>
      </c>
      <c r="J482" s="82" t="s">
        <v>177</v>
      </c>
      <c r="K482" s="5" t="s">
        <v>15</v>
      </c>
      <c r="L482" s="4"/>
      <c r="M482" s="4">
        <v>3</v>
      </c>
      <c r="N482" s="4">
        <v>3</v>
      </c>
      <c r="O482" s="4">
        <v>3</v>
      </c>
      <c r="P482" s="4">
        <v>3</v>
      </c>
      <c r="Q482" s="4"/>
      <c r="R482" s="6">
        <f t="shared" si="130"/>
        <v>66.826666666666668</v>
      </c>
      <c r="S482" s="65"/>
      <c r="T482" s="6">
        <f>R482</f>
        <v>66.826666666666668</v>
      </c>
      <c r="U482" s="65"/>
      <c r="V482" s="65"/>
      <c r="W482" s="74" t="s">
        <v>207</v>
      </c>
      <c r="X482" s="20" t="str">
        <f t="shared" si="131"/>
        <v>BR2-B50-SHUTTER</v>
      </c>
      <c r="Y482" s="7">
        <f t="shared" si="128"/>
        <v>66.826666666666668</v>
      </c>
      <c r="AA482"/>
      <c r="AE482"/>
    </row>
    <row r="483" spans="1:31" x14ac:dyDescent="0.3">
      <c r="A483" s="4">
        <f t="shared" si="132"/>
        <v>477</v>
      </c>
      <c r="B483" s="4"/>
      <c r="C483" s="4"/>
      <c r="D483" s="4"/>
      <c r="E483" s="4"/>
      <c r="F483" s="19" t="s">
        <v>49</v>
      </c>
      <c r="G483" s="4">
        <v>2400</v>
      </c>
      <c r="H483" s="4">
        <v>110</v>
      </c>
      <c r="I483" s="4">
        <v>1</v>
      </c>
      <c r="J483" s="61" t="s">
        <v>72</v>
      </c>
      <c r="K483" s="5"/>
      <c r="L483" s="4"/>
      <c r="M483" s="4">
        <v>2</v>
      </c>
      <c r="N483" s="4">
        <v>2</v>
      </c>
      <c r="O483" s="4">
        <v>2</v>
      </c>
      <c r="P483" s="4">
        <v>2</v>
      </c>
      <c r="Q483" s="17" t="s">
        <v>64</v>
      </c>
      <c r="R483" s="6">
        <f t="shared" si="130"/>
        <v>16.733333333333334</v>
      </c>
      <c r="S483" s="65"/>
      <c r="T483" s="65"/>
      <c r="U483" s="6">
        <f>R483</f>
        <v>16.733333333333334</v>
      </c>
      <c r="V483" s="65"/>
      <c r="W483" s="74" t="s">
        <v>207</v>
      </c>
      <c r="X483" s="20" t="str">
        <f t="shared" si="131"/>
        <v>BR2-B50-SKIRTING</v>
      </c>
      <c r="Y483" s="7">
        <f t="shared" si="128"/>
        <v>16.733333333333334</v>
      </c>
      <c r="AA483"/>
      <c r="AE483"/>
    </row>
    <row r="484" spans="1:31" x14ac:dyDescent="0.3">
      <c r="A484" s="4">
        <f t="shared" si="132"/>
        <v>478</v>
      </c>
      <c r="B484" s="4"/>
      <c r="C484" s="103" t="s">
        <v>44</v>
      </c>
      <c r="D484" s="104"/>
      <c r="E484" s="105"/>
      <c r="F484" s="17" t="s">
        <v>45</v>
      </c>
      <c r="G484" s="4">
        <v>2400</v>
      </c>
      <c r="H484" s="4">
        <v>100</v>
      </c>
      <c r="I484" s="4">
        <v>4</v>
      </c>
      <c r="J484" s="62" t="s">
        <v>34</v>
      </c>
      <c r="K484" s="17" t="s">
        <v>15</v>
      </c>
      <c r="L484" s="39"/>
      <c r="M484" s="39">
        <v>1</v>
      </c>
      <c r="N484" s="39">
        <v>1</v>
      </c>
      <c r="O484" s="39">
        <v>1</v>
      </c>
      <c r="P484" s="39">
        <v>1</v>
      </c>
      <c r="Q484" s="4"/>
      <c r="R484" s="6">
        <f t="shared" si="130"/>
        <v>66.666666666666671</v>
      </c>
      <c r="S484" s="6">
        <f>R484</f>
        <v>66.666666666666671</v>
      </c>
      <c r="T484" s="65"/>
      <c r="U484" s="65"/>
      <c r="V484" s="65"/>
      <c r="W484" s="74" t="s">
        <v>207</v>
      </c>
      <c r="X484" s="20" t="str">
        <f t="shared" si="131"/>
        <v>BR2-B50-LOFT FRAMES</v>
      </c>
      <c r="Y484" s="7">
        <f t="shared" si="128"/>
        <v>66.666666666666671</v>
      </c>
      <c r="AA484"/>
      <c r="AE484"/>
    </row>
    <row r="485" spans="1:31" x14ac:dyDescent="0.3">
      <c r="A485" s="4">
        <f t="shared" si="132"/>
        <v>479</v>
      </c>
      <c r="B485" s="4"/>
      <c r="C485" s="4"/>
      <c r="D485" s="4"/>
      <c r="E485" s="4"/>
      <c r="F485" s="17" t="s">
        <v>46</v>
      </c>
      <c r="G485" s="4">
        <v>2400</v>
      </c>
      <c r="H485" s="4">
        <v>100</v>
      </c>
      <c r="I485" s="4">
        <v>2</v>
      </c>
      <c r="J485" s="61" t="s">
        <v>72</v>
      </c>
      <c r="K485" s="5"/>
      <c r="L485" s="4"/>
      <c r="M485" s="4">
        <v>2</v>
      </c>
      <c r="N485" s="4">
        <v>2</v>
      </c>
      <c r="O485" s="4">
        <v>2</v>
      </c>
      <c r="P485" s="4">
        <v>2</v>
      </c>
      <c r="Q485" s="17" t="s">
        <v>64</v>
      </c>
      <c r="R485" s="6">
        <f t="shared" si="130"/>
        <v>33.333333333333336</v>
      </c>
      <c r="S485" s="65"/>
      <c r="T485" s="65"/>
      <c r="U485" s="6">
        <f>R485</f>
        <v>33.333333333333336</v>
      </c>
      <c r="V485" s="65"/>
      <c r="W485" s="74" t="s">
        <v>207</v>
      </c>
      <c r="X485" s="20" t="str">
        <f t="shared" si="131"/>
        <v>BR2-B50-LOFT FILLERS</v>
      </c>
      <c r="Y485" s="7">
        <f t="shared" si="128"/>
        <v>33.333333333333336</v>
      </c>
      <c r="AA485"/>
      <c r="AE485"/>
    </row>
    <row r="486" spans="1:31" x14ac:dyDescent="0.3">
      <c r="A486" s="4">
        <f t="shared" si="132"/>
        <v>480</v>
      </c>
      <c r="B486" s="4"/>
      <c r="C486" s="4"/>
      <c r="D486" s="4"/>
      <c r="E486" s="4"/>
      <c r="F486" s="17" t="s">
        <v>48</v>
      </c>
      <c r="G486" s="4">
        <v>508</v>
      </c>
      <c r="H486" s="4">
        <v>498</v>
      </c>
      <c r="I486" s="4">
        <v>4</v>
      </c>
      <c r="J486" s="82" t="s">
        <v>177</v>
      </c>
      <c r="K486" s="5" t="s">
        <v>15</v>
      </c>
      <c r="L486" s="4"/>
      <c r="M486" s="4">
        <v>3</v>
      </c>
      <c r="N486" s="4">
        <v>3</v>
      </c>
      <c r="O486" s="4">
        <v>3</v>
      </c>
      <c r="P486" s="4">
        <v>3</v>
      </c>
      <c r="Q486" s="4"/>
      <c r="R486" s="6">
        <f t="shared" si="130"/>
        <v>26.826666666666668</v>
      </c>
      <c r="S486" s="65"/>
      <c r="T486" s="6">
        <f>R486</f>
        <v>26.826666666666668</v>
      </c>
      <c r="U486" s="65"/>
      <c r="V486" s="65"/>
      <c r="W486" s="74" t="s">
        <v>207</v>
      </c>
      <c r="X486" s="20" t="str">
        <f t="shared" si="131"/>
        <v>BR2-B50-LOFT SHUTTERS</v>
      </c>
      <c r="Y486" s="7">
        <f t="shared" si="128"/>
        <v>26.826666666666668</v>
      </c>
      <c r="AA486"/>
      <c r="AE486"/>
    </row>
    <row r="487" spans="1:31" x14ac:dyDescent="0.3">
      <c r="A487" s="4">
        <f t="shared" si="132"/>
        <v>481</v>
      </c>
      <c r="B487" s="4"/>
      <c r="C487" s="4"/>
      <c r="D487" s="4"/>
      <c r="E487" s="4"/>
      <c r="F487" s="17" t="s">
        <v>47</v>
      </c>
      <c r="G487" s="4">
        <v>650</v>
      </c>
      <c r="H487" s="4">
        <v>600</v>
      </c>
      <c r="I487" s="4">
        <v>1</v>
      </c>
      <c r="J487" s="61" t="s">
        <v>72</v>
      </c>
      <c r="K487" s="5"/>
      <c r="L487" s="4"/>
      <c r="M487" s="4">
        <v>2</v>
      </c>
      <c r="N487" s="4">
        <v>2</v>
      </c>
      <c r="O487" s="4">
        <v>2</v>
      </c>
      <c r="P487" s="4">
        <v>2</v>
      </c>
      <c r="Q487" s="17" t="s">
        <v>64</v>
      </c>
      <c r="R487" s="6">
        <f t="shared" si="130"/>
        <v>8.3333333333333339</v>
      </c>
      <c r="S487" s="65"/>
      <c r="T487" s="65"/>
      <c r="U487" s="6">
        <f>R487</f>
        <v>8.3333333333333339</v>
      </c>
      <c r="V487" s="65"/>
      <c r="W487" s="74" t="s">
        <v>207</v>
      </c>
      <c r="X487" s="20" t="str">
        <f t="shared" si="131"/>
        <v>BR2-B50-LOFT END PANEL</v>
      </c>
      <c r="Y487" s="7">
        <f t="shared" si="128"/>
        <v>8.3333333333333339</v>
      </c>
      <c r="AA487"/>
      <c r="AE487"/>
    </row>
    <row r="488" spans="1:31" x14ac:dyDescent="0.3">
      <c r="A488" s="4">
        <f t="shared" si="132"/>
        <v>482</v>
      </c>
      <c r="B488" s="23" t="s">
        <v>208</v>
      </c>
      <c r="C488" s="23">
        <v>250</v>
      </c>
      <c r="D488" s="23">
        <v>500</v>
      </c>
      <c r="E488" s="23">
        <v>430</v>
      </c>
      <c r="F488" s="19" t="s">
        <v>28</v>
      </c>
      <c r="G488" s="4">
        <f>C488-18</f>
        <v>232</v>
      </c>
      <c r="H488" s="4">
        <f>E488</f>
        <v>430</v>
      </c>
      <c r="I488" s="4">
        <v>1</v>
      </c>
      <c r="J488" s="62" t="s">
        <v>34</v>
      </c>
      <c r="K488" s="17" t="s">
        <v>15</v>
      </c>
      <c r="L488" s="39"/>
      <c r="M488" s="39">
        <v>1</v>
      </c>
      <c r="N488" s="39">
        <v>1</v>
      </c>
      <c r="O488" s="39">
        <v>1</v>
      </c>
      <c r="P488" s="39">
        <v>1</v>
      </c>
      <c r="Q488" s="4"/>
      <c r="R488" s="6">
        <f t="shared" si="130"/>
        <v>4.4133333333333331</v>
      </c>
      <c r="S488" s="6">
        <f>R488</f>
        <v>4.4133333333333331</v>
      </c>
      <c r="T488" s="65"/>
      <c r="U488" s="65"/>
      <c r="V488" s="65"/>
      <c r="W488" s="74" t="s">
        <v>208</v>
      </c>
      <c r="X488" s="20" t="str">
        <f t="shared" si="131"/>
        <v>BR2-DRSG-B51-LHS</v>
      </c>
      <c r="Y488" s="7">
        <f t="shared" si="128"/>
        <v>4.4133333333333331</v>
      </c>
      <c r="AA488"/>
      <c r="AE488"/>
    </row>
    <row r="489" spans="1:31" x14ac:dyDescent="0.3">
      <c r="A489" s="4">
        <f t="shared" si="132"/>
        <v>483</v>
      </c>
      <c r="B489" s="4"/>
      <c r="C489" s="4"/>
      <c r="D489" s="4"/>
      <c r="E489" s="4"/>
      <c r="F489" s="19" t="s">
        <v>29</v>
      </c>
      <c r="G489" s="4">
        <f>G488</f>
        <v>232</v>
      </c>
      <c r="H489" s="4">
        <f>H488</f>
        <v>430</v>
      </c>
      <c r="I489" s="4">
        <v>1</v>
      </c>
      <c r="J489" s="61" t="s">
        <v>176</v>
      </c>
      <c r="K489" s="5" t="s">
        <v>15</v>
      </c>
      <c r="L489" s="4"/>
      <c r="M489" s="4">
        <v>3</v>
      </c>
      <c r="N489" s="4">
        <v>3</v>
      </c>
      <c r="O489" s="4">
        <v>3</v>
      </c>
      <c r="P489" s="4">
        <v>3</v>
      </c>
      <c r="Q489" s="4"/>
      <c r="R489" s="6">
        <f t="shared" si="130"/>
        <v>4.4133333333333331</v>
      </c>
      <c r="S489" s="65"/>
      <c r="T489" s="6">
        <f t="shared" ref="T489:T490" si="139">R489</f>
        <v>4.4133333333333331</v>
      </c>
      <c r="U489" s="65"/>
      <c r="V489" s="65"/>
      <c r="W489" s="74" t="s">
        <v>208</v>
      </c>
      <c r="X489" s="20" t="str">
        <f t="shared" si="131"/>
        <v>BR2-DRSG-B51-RHS</v>
      </c>
      <c r="Y489" s="7">
        <f t="shared" si="128"/>
        <v>4.4133333333333331</v>
      </c>
      <c r="AA489"/>
      <c r="AE489"/>
    </row>
    <row r="490" spans="1:31" x14ac:dyDescent="0.3">
      <c r="A490" s="4">
        <f t="shared" si="132"/>
        <v>484</v>
      </c>
      <c r="B490" s="4"/>
      <c r="C490" s="4"/>
      <c r="D490" s="4"/>
      <c r="E490" s="4"/>
      <c r="F490" s="19" t="s">
        <v>30</v>
      </c>
      <c r="G490" s="4">
        <f>D488</f>
        <v>500</v>
      </c>
      <c r="H490" s="4">
        <f>E488+20</f>
        <v>450</v>
      </c>
      <c r="I490" s="4">
        <v>1</v>
      </c>
      <c r="J490" s="61" t="s">
        <v>176</v>
      </c>
      <c r="K490" s="5" t="s">
        <v>15</v>
      </c>
      <c r="L490" s="4"/>
      <c r="M490" s="4">
        <v>3</v>
      </c>
      <c r="N490" s="4">
        <v>3</v>
      </c>
      <c r="O490" s="4">
        <v>3</v>
      </c>
      <c r="P490" s="4">
        <v>3</v>
      </c>
      <c r="Q490" s="4"/>
      <c r="R490" s="6">
        <f t="shared" si="130"/>
        <v>6.333333333333333</v>
      </c>
      <c r="S490" s="65"/>
      <c r="T490" s="6">
        <f t="shared" si="139"/>
        <v>6.333333333333333</v>
      </c>
      <c r="U490" s="65"/>
      <c r="V490" s="65"/>
      <c r="W490" s="74" t="s">
        <v>208</v>
      </c>
      <c r="X490" s="20" t="str">
        <f t="shared" si="131"/>
        <v>BR2-DRSG-B51-TOP</v>
      </c>
      <c r="Y490" s="7">
        <f t="shared" si="128"/>
        <v>6.333333333333333</v>
      </c>
      <c r="AA490"/>
      <c r="AE490"/>
    </row>
    <row r="491" spans="1:31" x14ac:dyDescent="0.3">
      <c r="A491" s="4">
        <f t="shared" si="132"/>
        <v>485</v>
      </c>
      <c r="B491" s="4"/>
      <c r="C491" s="4"/>
      <c r="D491" s="4"/>
      <c r="E491" s="4"/>
      <c r="F491" s="19" t="s">
        <v>31</v>
      </c>
      <c r="G491" s="4">
        <f>D488-36</f>
        <v>464</v>
      </c>
      <c r="H491" s="4">
        <f>E488</f>
        <v>430</v>
      </c>
      <c r="I491" s="4">
        <v>1</v>
      </c>
      <c r="J491" s="62" t="s">
        <v>34</v>
      </c>
      <c r="K491" s="17" t="s">
        <v>15</v>
      </c>
      <c r="L491" s="39"/>
      <c r="M491" s="39">
        <v>1</v>
      </c>
      <c r="N491" s="39">
        <v>1</v>
      </c>
      <c r="O491" s="39">
        <v>1</v>
      </c>
      <c r="P491" s="39">
        <v>1</v>
      </c>
      <c r="Q491" s="4"/>
      <c r="R491" s="6">
        <f t="shared" si="130"/>
        <v>5.96</v>
      </c>
      <c r="S491" s="6">
        <f>R491</f>
        <v>5.96</v>
      </c>
      <c r="T491" s="65"/>
      <c r="U491" s="65"/>
      <c r="V491" s="65"/>
      <c r="W491" s="74" t="s">
        <v>208</v>
      </c>
      <c r="X491" s="20" t="str">
        <f t="shared" si="131"/>
        <v>BR2-DRSG-B51-BTM</v>
      </c>
      <c r="Y491" s="7">
        <f t="shared" si="128"/>
        <v>5.96</v>
      </c>
      <c r="AA491"/>
      <c r="AE491"/>
    </row>
    <row r="492" spans="1:31" x14ac:dyDescent="0.3">
      <c r="A492" s="4">
        <f t="shared" si="132"/>
        <v>486</v>
      </c>
      <c r="B492" s="4"/>
      <c r="C492" s="4"/>
      <c r="D492" s="4"/>
      <c r="E492" s="4"/>
      <c r="F492" s="19" t="s">
        <v>159</v>
      </c>
      <c r="G492" s="4">
        <f>C488-20</f>
        <v>230</v>
      </c>
      <c r="H492" s="4">
        <f>D488-20</f>
        <v>480</v>
      </c>
      <c r="I492" s="4">
        <v>1</v>
      </c>
      <c r="J492" s="62" t="s">
        <v>35</v>
      </c>
      <c r="K492" s="17" t="s">
        <v>15</v>
      </c>
      <c r="L492" s="4"/>
      <c r="M492" s="4"/>
      <c r="N492" s="4"/>
      <c r="O492" s="4"/>
      <c r="P492" s="4"/>
      <c r="Q492" s="4"/>
      <c r="R492" s="6">
        <f t="shared" si="130"/>
        <v>4.7333333333333334</v>
      </c>
      <c r="S492" s="65"/>
      <c r="T492" s="65"/>
      <c r="U492" s="65"/>
      <c r="V492" s="65"/>
      <c r="W492" s="74" t="s">
        <v>208</v>
      </c>
      <c r="X492" s="20" t="str">
        <f t="shared" si="131"/>
        <v>BR2-DRSG-B51-BP</v>
      </c>
      <c r="Y492" s="7">
        <f t="shared" si="128"/>
        <v>4.7333333333333334</v>
      </c>
      <c r="AA492"/>
      <c r="AE492"/>
    </row>
    <row r="493" spans="1:31" x14ac:dyDescent="0.3">
      <c r="A493" s="4">
        <f t="shared" si="132"/>
        <v>487</v>
      </c>
      <c r="B493" s="4"/>
      <c r="C493" s="4"/>
      <c r="D493" s="4"/>
      <c r="E493" s="4"/>
      <c r="F493" s="17" t="s">
        <v>163</v>
      </c>
      <c r="G493" s="4">
        <v>190</v>
      </c>
      <c r="H493" s="4">
        <v>450</v>
      </c>
      <c r="I493" s="4">
        <v>2</v>
      </c>
      <c r="J493" s="62" t="s">
        <v>34</v>
      </c>
      <c r="K493" s="17" t="s">
        <v>15</v>
      </c>
      <c r="L493" s="39"/>
      <c r="M493" s="39">
        <v>1</v>
      </c>
      <c r="N493" s="39">
        <v>1</v>
      </c>
      <c r="O493" s="39">
        <v>1</v>
      </c>
      <c r="P493" s="39">
        <v>1</v>
      </c>
      <c r="Q493" s="4"/>
      <c r="R493" s="6">
        <f t="shared" si="130"/>
        <v>8.5333333333333332</v>
      </c>
      <c r="S493" s="6">
        <f t="shared" ref="S493:S494" si="140">R493</f>
        <v>8.5333333333333332</v>
      </c>
      <c r="T493" s="65"/>
      <c r="U493" s="65"/>
      <c r="V493" s="65"/>
      <c r="W493" s="74" t="s">
        <v>208</v>
      </c>
      <c r="X493" s="20" t="str">
        <f t="shared" si="131"/>
        <v>BR2-DRSG-B51-DR.LR</v>
      </c>
      <c r="Y493" s="7">
        <f t="shared" si="128"/>
        <v>8.5333333333333332</v>
      </c>
      <c r="AA493"/>
      <c r="AE493"/>
    </row>
    <row r="494" spans="1:31" x14ac:dyDescent="0.3">
      <c r="A494" s="4">
        <f t="shared" si="132"/>
        <v>488</v>
      </c>
      <c r="B494" s="4"/>
      <c r="C494" s="4"/>
      <c r="D494" s="4"/>
      <c r="E494" s="4"/>
      <c r="F494" s="17" t="s">
        <v>164</v>
      </c>
      <c r="G494" s="4">
        <v>190</v>
      </c>
      <c r="H494" s="4">
        <v>400</v>
      </c>
      <c r="I494" s="4">
        <v>2</v>
      </c>
      <c r="J494" s="62" t="s">
        <v>34</v>
      </c>
      <c r="K494" s="17" t="s">
        <v>15</v>
      </c>
      <c r="L494" s="39"/>
      <c r="M494" s="39">
        <v>1</v>
      </c>
      <c r="N494" s="39">
        <v>1</v>
      </c>
      <c r="O494" s="39">
        <v>1</v>
      </c>
      <c r="P494" s="39">
        <v>1</v>
      </c>
      <c r="Q494" s="4"/>
      <c r="R494" s="6">
        <f t="shared" si="130"/>
        <v>7.8666666666666663</v>
      </c>
      <c r="S494" s="6">
        <f t="shared" si="140"/>
        <v>7.8666666666666663</v>
      </c>
      <c r="T494" s="65"/>
      <c r="U494" s="65"/>
      <c r="V494" s="65"/>
      <c r="W494" s="74" t="s">
        <v>208</v>
      </c>
      <c r="X494" s="20" t="str">
        <f t="shared" si="131"/>
        <v>BR2-DRSG-B51-DR.IO</v>
      </c>
      <c r="Y494" s="7">
        <f t="shared" si="128"/>
        <v>7.8666666666666663</v>
      </c>
      <c r="AA494"/>
      <c r="AE494"/>
    </row>
    <row r="495" spans="1:31" x14ac:dyDescent="0.3">
      <c r="A495" s="4">
        <f t="shared" si="132"/>
        <v>489</v>
      </c>
      <c r="B495" s="4"/>
      <c r="C495" s="4"/>
      <c r="D495" s="4"/>
      <c r="E495" s="4"/>
      <c r="F495" s="17" t="s">
        <v>165</v>
      </c>
      <c r="G495" s="4">
        <f>H493-20</f>
        <v>430</v>
      </c>
      <c r="H495" s="4">
        <f>H494+16</f>
        <v>416</v>
      </c>
      <c r="I495" s="4">
        <v>1</v>
      </c>
      <c r="J495" s="62" t="s">
        <v>35</v>
      </c>
      <c r="K495" s="17" t="s">
        <v>15</v>
      </c>
      <c r="L495" s="4"/>
      <c r="M495" s="4"/>
      <c r="N495" s="4"/>
      <c r="O495" s="4"/>
      <c r="P495" s="4"/>
      <c r="Q495" s="4"/>
      <c r="R495" s="6">
        <f t="shared" si="130"/>
        <v>5.64</v>
      </c>
      <c r="S495" s="65"/>
      <c r="T495" s="65"/>
      <c r="U495" s="65"/>
      <c r="V495" s="65"/>
      <c r="W495" s="74" t="s">
        <v>208</v>
      </c>
      <c r="X495" s="20" t="str">
        <f t="shared" si="131"/>
        <v>BR2-DRSG-B51-DR.BP</v>
      </c>
      <c r="Y495" s="7">
        <f t="shared" si="128"/>
        <v>5.64</v>
      </c>
      <c r="AA495"/>
      <c r="AE495"/>
    </row>
    <row r="496" spans="1:31" x14ac:dyDescent="0.3">
      <c r="A496" s="4">
        <f t="shared" si="132"/>
        <v>490</v>
      </c>
      <c r="B496" s="4"/>
      <c r="C496" s="4"/>
      <c r="D496" s="4"/>
      <c r="E496" s="4"/>
      <c r="F496" s="17" t="s">
        <v>166</v>
      </c>
      <c r="G496" s="4">
        <v>230</v>
      </c>
      <c r="H496" s="4">
        <v>498</v>
      </c>
      <c r="I496" s="4">
        <v>1</v>
      </c>
      <c r="J496" s="82" t="s">
        <v>177</v>
      </c>
      <c r="K496" s="5" t="s">
        <v>15</v>
      </c>
      <c r="L496" s="4"/>
      <c r="M496" s="4">
        <v>3</v>
      </c>
      <c r="N496" s="4">
        <v>3</v>
      </c>
      <c r="O496" s="4">
        <v>3</v>
      </c>
      <c r="P496" s="4">
        <v>3</v>
      </c>
      <c r="Q496" s="4"/>
      <c r="R496" s="6">
        <f t="shared" si="130"/>
        <v>4.8533333333333335</v>
      </c>
      <c r="S496" s="65"/>
      <c r="T496" s="6">
        <f>R496</f>
        <v>4.8533333333333335</v>
      </c>
      <c r="U496" s="65"/>
      <c r="V496" s="65"/>
      <c r="W496" s="74" t="s">
        <v>208</v>
      </c>
      <c r="X496" s="20" t="str">
        <f t="shared" si="131"/>
        <v>BR2-DRSG-B51-DR.FACIA</v>
      </c>
      <c r="Y496" s="7">
        <f t="shared" si="128"/>
        <v>4.8533333333333335</v>
      </c>
      <c r="AA496"/>
      <c r="AE496"/>
    </row>
    <row r="497" spans="1:31" x14ac:dyDescent="0.3">
      <c r="A497" s="4">
        <f t="shared" si="132"/>
        <v>491</v>
      </c>
      <c r="B497" s="23" t="s">
        <v>209</v>
      </c>
      <c r="C497" s="23">
        <v>2112</v>
      </c>
      <c r="D497" s="23">
        <v>450</v>
      </c>
      <c r="E497" s="23">
        <v>200</v>
      </c>
      <c r="F497" s="19" t="s">
        <v>28</v>
      </c>
      <c r="G497" s="4">
        <f>C497</f>
        <v>2112</v>
      </c>
      <c r="H497" s="4">
        <f>E497</f>
        <v>200</v>
      </c>
      <c r="I497" s="4">
        <v>1</v>
      </c>
      <c r="J497" s="61" t="s">
        <v>73</v>
      </c>
      <c r="K497" s="5"/>
      <c r="L497" s="4"/>
      <c r="M497" s="4">
        <v>2</v>
      </c>
      <c r="N497" s="4">
        <v>2</v>
      </c>
      <c r="O497" s="4">
        <v>2</v>
      </c>
      <c r="P497" s="4">
        <v>2</v>
      </c>
      <c r="Q497" s="17" t="s">
        <v>64</v>
      </c>
      <c r="R497" s="6">
        <f t="shared" si="130"/>
        <v>15.413333333333334</v>
      </c>
      <c r="S497" s="65"/>
      <c r="T497" s="65"/>
      <c r="U497" s="6">
        <f t="shared" ref="U497:U500" si="141">R497</f>
        <v>15.413333333333334</v>
      </c>
      <c r="V497" s="65"/>
      <c r="W497" s="74" t="s">
        <v>209</v>
      </c>
      <c r="X497" s="20" t="str">
        <f t="shared" si="131"/>
        <v>BR2-STUDY-B52-LHS</v>
      </c>
      <c r="Y497" s="7">
        <f t="shared" si="128"/>
        <v>15.413333333333334</v>
      </c>
      <c r="AA497"/>
      <c r="AE497"/>
    </row>
    <row r="498" spans="1:31" x14ac:dyDescent="0.3">
      <c r="A498" s="4">
        <f t="shared" si="132"/>
        <v>492</v>
      </c>
      <c r="B498" s="4"/>
      <c r="C498" s="4"/>
      <c r="D498" s="4"/>
      <c r="E498" s="4"/>
      <c r="F498" s="19" t="s">
        <v>29</v>
      </c>
      <c r="G498" s="4">
        <f>G497</f>
        <v>2112</v>
      </c>
      <c r="H498" s="4">
        <f>H497</f>
        <v>200</v>
      </c>
      <c r="I498" s="4">
        <v>1</v>
      </c>
      <c r="J498" s="61" t="s">
        <v>72</v>
      </c>
      <c r="K498" s="5"/>
      <c r="L498" s="4"/>
      <c r="M498" s="4">
        <v>2</v>
      </c>
      <c r="N498" s="4">
        <v>2</v>
      </c>
      <c r="O498" s="4">
        <v>2</v>
      </c>
      <c r="P498" s="4">
        <v>2</v>
      </c>
      <c r="Q498" s="17" t="s">
        <v>64</v>
      </c>
      <c r="R498" s="6">
        <f t="shared" si="130"/>
        <v>15.413333333333334</v>
      </c>
      <c r="S498" s="65"/>
      <c r="T498" s="65"/>
      <c r="U498" s="6">
        <f t="shared" si="141"/>
        <v>15.413333333333334</v>
      </c>
      <c r="V498" s="65"/>
      <c r="W498" s="74" t="s">
        <v>209</v>
      </c>
      <c r="X498" s="20" t="str">
        <f t="shared" si="131"/>
        <v>BR2-STUDY-B52-RHS</v>
      </c>
      <c r="Y498" s="7">
        <f t="shared" si="128"/>
        <v>15.413333333333334</v>
      </c>
      <c r="AA498"/>
      <c r="AE498"/>
    </row>
    <row r="499" spans="1:31" x14ac:dyDescent="0.3">
      <c r="A499" s="4">
        <f t="shared" si="132"/>
        <v>493</v>
      </c>
      <c r="B499" s="4"/>
      <c r="C499" s="4"/>
      <c r="D499" s="4"/>
      <c r="E499" s="4"/>
      <c r="F499" s="19" t="s">
        <v>30</v>
      </c>
      <c r="G499" s="4">
        <f>D497-36</f>
        <v>414</v>
      </c>
      <c r="H499" s="4">
        <f>H498</f>
        <v>200</v>
      </c>
      <c r="I499" s="4">
        <v>1</v>
      </c>
      <c r="J499" s="61" t="s">
        <v>72</v>
      </c>
      <c r="K499" s="5"/>
      <c r="L499" s="4"/>
      <c r="M499" s="4">
        <v>2</v>
      </c>
      <c r="N499" s="4">
        <v>2</v>
      </c>
      <c r="O499" s="4">
        <v>2</v>
      </c>
      <c r="P499" s="4">
        <v>2</v>
      </c>
      <c r="Q499" s="17" t="s">
        <v>64</v>
      </c>
      <c r="R499" s="6">
        <f t="shared" si="130"/>
        <v>4.0933333333333337</v>
      </c>
      <c r="S499" s="65"/>
      <c r="T499" s="65"/>
      <c r="U499" s="6">
        <f t="shared" si="141"/>
        <v>4.0933333333333337</v>
      </c>
      <c r="V499" s="65"/>
      <c r="W499" s="74" t="s">
        <v>209</v>
      </c>
      <c r="X499" s="20" t="str">
        <f t="shared" si="131"/>
        <v>BR2-STUDY-B52-TOP</v>
      </c>
      <c r="Y499" s="7">
        <f t="shared" si="128"/>
        <v>4.0933333333333337</v>
      </c>
      <c r="AA499"/>
      <c r="AE499"/>
    </row>
    <row r="500" spans="1:31" x14ac:dyDescent="0.3">
      <c r="A500" s="4">
        <f t="shared" si="132"/>
        <v>494</v>
      </c>
      <c r="B500" s="4"/>
      <c r="C500" s="4"/>
      <c r="D500" s="4"/>
      <c r="E500" s="4"/>
      <c r="F500" s="19" t="s">
        <v>31</v>
      </c>
      <c r="G500" s="4">
        <f>G499</f>
        <v>414</v>
      </c>
      <c r="H500" s="4">
        <f>H499</f>
        <v>200</v>
      </c>
      <c r="I500" s="4">
        <v>1</v>
      </c>
      <c r="J500" s="61" t="s">
        <v>72</v>
      </c>
      <c r="K500" s="5"/>
      <c r="L500" s="4"/>
      <c r="M500" s="4">
        <v>2</v>
      </c>
      <c r="N500" s="4">
        <v>2</v>
      </c>
      <c r="O500" s="4">
        <v>2</v>
      </c>
      <c r="P500" s="4">
        <v>2</v>
      </c>
      <c r="Q500" s="17" t="s">
        <v>64</v>
      </c>
      <c r="R500" s="6">
        <f t="shared" si="130"/>
        <v>4.0933333333333337</v>
      </c>
      <c r="S500" s="65"/>
      <c r="T500" s="65"/>
      <c r="U500" s="6">
        <f t="shared" si="141"/>
        <v>4.0933333333333337</v>
      </c>
      <c r="V500" s="65"/>
      <c r="W500" s="74" t="s">
        <v>209</v>
      </c>
      <c r="X500" s="20" t="str">
        <f t="shared" si="131"/>
        <v>BR2-STUDY-B52-BTM</v>
      </c>
      <c r="Y500" s="7">
        <f t="shared" si="128"/>
        <v>4.0933333333333337</v>
      </c>
      <c r="AA500"/>
      <c r="AE500"/>
    </row>
    <row r="501" spans="1:31" x14ac:dyDescent="0.3">
      <c r="A501" s="4">
        <f t="shared" si="132"/>
        <v>495</v>
      </c>
      <c r="B501" s="4"/>
      <c r="C501" s="4"/>
      <c r="D501" s="4"/>
      <c r="E501" s="4"/>
      <c r="F501" s="19" t="s">
        <v>159</v>
      </c>
      <c r="G501" s="4">
        <f>C497-20</f>
        <v>2092</v>
      </c>
      <c r="H501" s="4">
        <f>D497-20</f>
        <v>430</v>
      </c>
      <c r="I501" s="4">
        <v>1</v>
      </c>
      <c r="J501" s="61" t="s">
        <v>74</v>
      </c>
      <c r="K501" s="5"/>
      <c r="L501" s="4"/>
      <c r="M501" s="4"/>
      <c r="N501" s="4"/>
      <c r="O501" s="4"/>
      <c r="P501" s="4"/>
      <c r="Q501" s="17" t="s">
        <v>64</v>
      </c>
      <c r="R501" s="6">
        <f t="shared" si="130"/>
        <v>16.813333333333333</v>
      </c>
      <c r="S501" s="65"/>
      <c r="T501" s="65"/>
      <c r="U501" s="65"/>
      <c r="V501" s="65"/>
      <c r="W501" s="74" t="s">
        <v>209</v>
      </c>
      <c r="X501" s="20" t="str">
        <f t="shared" si="131"/>
        <v>BR2-STUDY-B52-BP</v>
      </c>
      <c r="Y501" s="7">
        <f t="shared" si="128"/>
        <v>16.813333333333333</v>
      </c>
      <c r="AA501"/>
      <c r="AE501"/>
    </row>
    <row r="502" spans="1:31" x14ac:dyDescent="0.3">
      <c r="A502" s="4">
        <f t="shared" si="132"/>
        <v>496</v>
      </c>
      <c r="B502" s="4"/>
      <c r="C502" s="4"/>
      <c r="D502" s="4"/>
      <c r="E502" s="4"/>
      <c r="F502" s="19" t="s">
        <v>161</v>
      </c>
      <c r="G502" s="4">
        <f>G500</f>
        <v>414</v>
      </c>
      <c r="H502" s="4">
        <f>E497-20</f>
        <v>180</v>
      </c>
      <c r="I502" s="4">
        <v>1</v>
      </c>
      <c r="J502" s="61" t="s">
        <v>176</v>
      </c>
      <c r="K502" s="5" t="s">
        <v>15</v>
      </c>
      <c r="L502" s="4"/>
      <c r="M502" s="4">
        <v>3</v>
      </c>
      <c r="N502" s="4">
        <v>3</v>
      </c>
      <c r="O502" s="4">
        <v>3</v>
      </c>
      <c r="P502" s="4">
        <v>3</v>
      </c>
      <c r="Q502" s="4"/>
      <c r="R502" s="6">
        <f t="shared" si="130"/>
        <v>3.96</v>
      </c>
      <c r="S502" s="65"/>
      <c r="T502" s="6">
        <f t="shared" ref="T502:T504" si="142">R502</f>
        <v>3.96</v>
      </c>
      <c r="U502" s="65"/>
      <c r="V502" s="65"/>
      <c r="W502" s="74" t="s">
        <v>209</v>
      </c>
      <c r="X502" s="20" t="str">
        <f t="shared" si="131"/>
        <v>BR2-STUDY-B52-F SHELF</v>
      </c>
      <c r="Y502" s="7">
        <f t="shared" si="128"/>
        <v>3.96</v>
      </c>
      <c r="AA502"/>
      <c r="AE502"/>
    </row>
    <row r="503" spans="1:31" x14ac:dyDescent="0.3">
      <c r="A503" s="4">
        <f t="shared" si="132"/>
        <v>497</v>
      </c>
      <c r="B503" s="4"/>
      <c r="C503" s="95" t="s">
        <v>178</v>
      </c>
      <c r="D503" s="96"/>
      <c r="E503" s="97"/>
      <c r="F503" s="19" t="s">
        <v>162</v>
      </c>
      <c r="G503" s="4">
        <v>600</v>
      </c>
      <c r="H503" s="4">
        <v>160</v>
      </c>
      <c r="I503" s="4">
        <v>2</v>
      </c>
      <c r="J503" s="61" t="s">
        <v>175</v>
      </c>
      <c r="K503" s="5" t="s">
        <v>15</v>
      </c>
      <c r="L503" s="4"/>
      <c r="M503" s="4">
        <v>3</v>
      </c>
      <c r="N503" s="4">
        <v>3</v>
      </c>
      <c r="O503" s="4">
        <v>3</v>
      </c>
      <c r="P503" s="4">
        <v>3</v>
      </c>
      <c r="Q503" s="4"/>
      <c r="R503" s="6">
        <f t="shared" si="130"/>
        <v>10.133333333333333</v>
      </c>
      <c r="S503" s="65"/>
      <c r="T503" s="6">
        <f t="shared" si="142"/>
        <v>10.133333333333333</v>
      </c>
      <c r="U503" s="65"/>
      <c r="V503" s="65"/>
      <c r="W503" s="74" t="s">
        <v>209</v>
      </c>
      <c r="X503" s="20" t="str">
        <f t="shared" si="131"/>
        <v>BR2-STUDY-B52-L SHELF</v>
      </c>
      <c r="Y503" s="7">
        <f t="shared" si="128"/>
        <v>10.133333333333333</v>
      </c>
      <c r="AA503"/>
      <c r="AE503"/>
    </row>
    <row r="504" spans="1:31" x14ac:dyDescent="0.3">
      <c r="A504" s="4">
        <f t="shared" si="132"/>
        <v>498</v>
      </c>
      <c r="B504" s="4"/>
      <c r="C504" s="4"/>
      <c r="D504" s="4"/>
      <c r="E504" s="4"/>
      <c r="F504" s="19" t="s">
        <v>179</v>
      </c>
      <c r="G504" s="4">
        <f>1594</f>
        <v>1594</v>
      </c>
      <c r="H504" s="49">
        <f>D497-2</f>
        <v>448</v>
      </c>
      <c r="I504" s="4">
        <v>1</v>
      </c>
      <c r="J504" s="82" t="s">
        <v>177</v>
      </c>
      <c r="K504" s="5" t="s">
        <v>15</v>
      </c>
      <c r="L504" s="4"/>
      <c r="M504" s="4">
        <v>3</v>
      </c>
      <c r="N504" s="4">
        <v>3</v>
      </c>
      <c r="O504" s="4">
        <v>3</v>
      </c>
      <c r="P504" s="4">
        <v>3</v>
      </c>
      <c r="Q504" s="4"/>
      <c r="R504" s="6">
        <f t="shared" si="130"/>
        <v>13.613333333333333</v>
      </c>
      <c r="S504" s="65"/>
      <c r="T504" s="6">
        <f t="shared" si="142"/>
        <v>13.613333333333333</v>
      </c>
      <c r="U504" s="65"/>
      <c r="V504" s="65"/>
      <c r="W504" s="74" t="s">
        <v>209</v>
      </c>
      <c r="X504" s="20" t="str">
        <f t="shared" si="131"/>
        <v>BR2-STUDY-B52-45 angle-Door</v>
      </c>
      <c r="Y504" s="7">
        <f t="shared" si="128"/>
        <v>13.613333333333333</v>
      </c>
      <c r="AA504"/>
      <c r="AE504"/>
    </row>
    <row r="505" spans="1:31" x14ac:dyDescent="0.3">
      <c r="A505" s="4">
        <f t="shared" si="132"/>
        <v>499</v>
      </c>
      <c r="B505" s="23" t="s">
        <v>188</v>
      </c>
      <c r="C505" s="23">
        <v>500</v>
      </c>
      <c r="D505" s="23">
        <f>521+521+521+521</f>
        <v>2084</v>
      </c>
      <c r="E505" s="23">
        <v>430</v>
      </c>
      <c r="F505" s="19" t="s">
        <v>28</v>
      </c>
      <c r="G505" s="4">
        <f>C505</f>
        <v>500</v>
      </c>
      <c r="H505" s="4">
        <f>E505</f>
        <v>430</v>
      </c>
      <c r="I505" s="4">
        <v>1</v>
      </c>
      <c r="J505" s="62" t="s">
        <v>34</v>
      </c>
      <c r="K505" s="17" t="s">
        <v>15</v>
      </c>
      <c r="L505" s="39"/>
      <c r="M505" s="39">
        <v>1</v>
      </c>
      <c r="N505" s="39">
        <v>1</v>
      </c>
      <c r="O505" s="39">
        <v>1</v>
      </c>
      <c r="P505" s="39">
        <v>1</v>
      </c>
      <c r="Q505" s="4"/>
      <c r="R505" s="6">
        <f t="shared" si="130"/>
        <v>6.2</v>
      </c>
      <c r="S505" s="6">
        <f t="shared" ref="S505:S508" si="143">R505</f>
        <v>6.2</v>
      </c>
      <c r="T505" s="65"/>
      <c r="U505" s="65"/>
      <c r="V505" s="65"/>
      <c r="W505" s="74" t="s">
        <v>188</v>
      </c>
      <c r="X505" s="20" t="str">
        <f t="shared" si="131"/>
        <v>BR2-STUDY-B53-LHS</v>
      </c>
      <c r="Y505" s="7">
        <f t="shared" si="128"/>
        <v>6.2</v>
      </c>
      <c r="AA505"/>
      <c r="AE505"/>
    </row>
    <row r="506" spans="1:31" x14ac:dyDescent="0.3">
      <c r="A506" s="4">
        <f t="shared" si="132"/>
        <v>500</v>
      </c>
      <c r="B506" s="4"/>
      <c r="C506" s="4"/>
      <c r="D506" s="4"/>
      <c r="E506" s="4"/>
      <c r="F506" s="19" t="s">
        <v>29</v>
      </c>
      <c r="G506" s="4">
        <f>G505</f>
        <v>500</v>
      </c>
      <c r="H506" s="4">
        <f>H505</f>
        <v>430</v>
      </c>
      <c r="I506" s="4">
        <v>1</v>
      </c>
      <c r="J506" s="62" t="s">
        <v>34</v>
      </c>
      <c r="K506" s="17" t="s">
        <v>15</v>
      </c>
      <c r="L506" s="39"/>
      <c r="M506" s="39">
        <v>1</v>
      </c>
      <c r="N506" s="39">
        <v>1</v>
      </c>
      <c r="O506" s="39">
        <v>1</v>
      </c>
      <c r="P506" s="39">
        <v>1</v>
      </c>
      <c r="Q506" s="4"/>
      <c r="R506" s="6">
        <f t="shared" si="130"/>
        <v>6.2</v>
      </c>
      <c r="S506" s="6">
        <f t="shared" si="143"/>
        <v>6.2</v>
      </c>
      <c r="T506" s="65"/>
      <c r="U506" s="65"/>
      <c r="V506" s="65"/>
      <c r="W506" s="74" t="s">
        <v>188</v>
      </c>
      <c r="X506" s="20" t="str">
        <f t="shared" si="131"/>
        <v>BR2-STUDY-B53-RHS</v>
      </c>
      <c r="Y506" s="7">
        <f t="shared" si="128"/>
        <v>6.2</v>
      </c>
      <c r="AA506"/>
      <c r="AE506"/>
    </row>
    <row r="507" spans="1:31" x14ac:dyDescent="0.3">
      <c r="A507" s="4">
        <f t="shared" si="132"/>
        <v>501</v>
      </c>
      <c r="B507" s="4"/>
      <c r="C507" s="103" t="s">
        <v>50</v>
      </c>
      <c r="D507" s="104"/>
      <c r="E507" s="105"/>
      <c r="F507" s="19" t="s">
        <v>30</v>
      </c>
      <c r="G507" s="4">
        <f>D505-36</f>
        <v>2048</v>
      </c>
      <c r="H507" s="49">
        <f>E505-26</f>
        <v>404</v>
      </c>
      <c r="I507" s="4">
        <v>1</v>
      </c>
      <c r="J507" s="62" t="s">
        <v>34</v>
      </c>
      <c r="K507" s="17" t="s">
        <v>15</v>
      </c>
      <c r="L507" s="39"/>
      <c r="M507" s="39">
        <v>1</v>
      </c>
      <c r="N507" s="39">
        <v>1</v>
      </c>
      <c r="O507" s="39">
        <v>1</v>
      </c>
      <c r="P507" s="39">
        <v>1</v>
      </c>
      <c r="Q507" s="4"/>
      <c r="R507" s="6">
        <f t="shared" si="130"/>
        <v>16.346666666666668</v>
      </c>
      <c r="S507" s="6">
        <f t="shared" si="143"/>
        <v>16.346666666666668</v>
      </c>
      <c r="T507" s="65"/>
      <c r="U507" s="65"/>
      <c r="V507" s="65"/>
      <c r="W507" s="74" t="s">
        <v>188</v>
      </c>
      <c r="X507" s="20" t="str">
        <f t="shared" si="131"/>
        <v>BR2-STUDY-B53-TOP</v>
      </c>
      <c r="Y507" s="7">
        <f t="shared" si="128"/>
        <v>16.346666666666668</v>
      </c>
      <c r="AA507"/>
      <c r="AE507"/>
    </row>
    <row r="508" spans="1:31" x14ac:dyDescent="0.3">
      <c r="A508" s="4">
        <f t="shared" si="132"/>
        <v>502</v>
      </c>
      <c r="B508" s="4"/>
      <c r="C508" s="4"/>
      <c r="D508" s="4"/>
      <c r="E508" s="4"/>
      <c r="F508" s="19" t="s">
        <v>31</v>
      </c>
      <c r="G508" s="4">
        <f>G507</f>
        <v>2048</v>
      </c>
      <c r="H508" s="4">
        <f>H506</f>
        <v>430</v>
      </c>
      <c r="I508" s="4">
        <v>1</v>
      </c>
      <c r="J508" s="62" t="s">
        <v>34</v>
      </c>
      <c r="K508" s="17" t="s">
        <v>15</v>
      </c>
      <c r="L508" s="39"/>
      <c r="M508" s="39">
        <v>1</v>
      </c>
      <c r="N508" s="39">
        <v>1</v>
      </c>
      <c r="O508" s="39">
        <v>1</v>
      </c>
      <c r="P508" s="39">
        <v>1</v>
      </c>
      <c r="Q508" s="4"/>
      <c r="R508" s="6">
        <f t="shared" si="130"/>
        <v>16.52</v>
      </c>
      <c r="S508" s="6">
        <f t="shared" si="143"/>
        <v>16.52</v>
      </c>
      <c r="T508" s="65"/>
      <c r="U508" s="65"/>
      <c r="V508" s="65"/>
      <c r="W508" s="74" t="s">
        <v>188</v>
      </c>
      <c r="X508" s="20" t="str">
        <f t="shared" si="131"/>
        <v>BR2-STUDY-B53-BTM</v>
      </c>
      <c r="Y508" s="7">
        <f t="shared" si="128"/>
        <v>16.52</v>
      </c>
      <c r="AA508"/>
      <c r="AE508"/>
    </row>
    <row r="509" spans="1:31" x14ac:dyDescent="0.3">
      <c r="A509" s="4">
        <f t="shared" si="132"/>
        <v>503</v>
      </c>
      <c r="B509" s="4"/>
      <c r="C509" s="4"/>
      <c r="D509" s="4"/>
      <c r="E509" s="4"/>
      <c r="F509" s="19" t="s">
        <v>159</v>
      </c>
      <c r="G509" s="4">
        <f>C505-110-36+16</f>
        <v>370</v>
      </c>
      <c r="H509" s="4">
        <f>D505-36+16</f>
        <v>2064</v>
      </c>
      <c r="I509" s="4">
        <v>1</v>
      </c>
      <c r="J509" s="62" t="s">
        <v>35</v>
      </c>
      <c r="K509" s="17" t="s">
        <v>15</v>
      </c>
      <c r="L509" s="4"/>
      <c r="M509" s="4"/>
      <c r="N509" s="4"/>
      <c r="O509" s="4"/>
      <c r="P509" s="4"/>
      <c r="Q509" s="4"/>
      <c r="R509" s="6">
        <f t="shared" si="130"/>
        <v>16.226666666666667</v>
      </c>
      <c r="S509" s="65"/>
      <c r="T509" s="65"/>
      <c r="U509" s="65"/>
      <c r="V509" s="65"/>
      <c r="W509" s="74" t="s">
        <v>188</v>
      </c>
      <c r="X509" s="20" t="str">
        <f t="shared" si="131"/>
        <v>BR2-STUDY-B53-BP</v>
      </c>
      <c r="Y509" s="7">
        <f t="shared" si="128"/>
        <v>16.226666666666667</v>
      </c>
      <c r="AA509"/>
      <c r="AE509"/>
    </row>
    <row r="510" spans="1:31" x14ac:dyDescent="0.3">
      <c r="A510" s="4">
        <f t="shared" si="132"/>
        <v>504</v>
      </c>
      <c r="B510" s="4"/>
      <c r="C510" s="4"/>
      <c r="D510" s="4"/>
      <c r="E510" s="4"/>
      <c r="F510" s="19" t="s">
        <v>160</v>
      </c>
      <c r="G510" s="4">
        <f>C505-110-36</f>
        <v>354</v>
      </c>
      <c r="H510" s="4">
        <f>E505-20</f>
        <v>410</v>
      </c>
      <c r="I510" s="4">
        <v>1</v>
      </c>
      <c r="J510" s="62" t="s">
        <v>34</v>
      </c>
      <c r="K510" s="17" t="s">
        <v>15</v>
      </c>
      <c r="L510" s="39"/>
      <c r="M510" s="39">
        <v>1</v>
      </c>
      <c r="N510" s="39">
        <v>1</v>
      </c>
      <c r="O510" s="39">
        <v>1</v>
      </c>
      <c r="P510" s="39">
        <v>1</v>
      </c>
      <c r="Q510" s="4"/>
      <c r="R510" s="6">
        <f t="shared" si="130"/>
        <v>5.0933333333333337</v>
      </c>
      <c r="S510" s="6">
        <f>R510</f>
        <v>5.0933333333333337</v>
      </c>
      <c r="T510" s="65"/>
      <c r="U510" s="65"/>
      <c r="V510" s="65"/>
      <c r="W510" s="74" t="s">
        <v>188</v>
      </c>
      <c r="X510" s="20" t="str">
        <f t="shared" si="131"/>
        <v>BR2-STUDY-B53-CV</v>
      </c>
      <c r="Y510" s="7">
        <f t="shared" si="128"/>
        <v>5.0933333333333337</v>
      </c>
      <c r="AA510"/>
      <c r="AE510"/>
    </row>
    <row r="511" spans="1:31" x14ac:dyDescent="0.3">
      <c r="A511" s="4">
        <f t="shared" si="132"/>
        <v>505</v>
      </c>
      <c r="B511" s="4"/>
      <c r="C511" s="4"/>
      <c r="D511" s="4"/>
      <c r="E511" s="4"/>
      <c r="F511" s="19" t="s">
        <v>36</v>
      </c>
      <c r="G511" s="4">
        <f>C505-110-30</f>
        <v>360</v>
      </c>
      <c r="H511" s="4">
        <f>D505/4-2</f>
        <v>519</v>
      </c>
      <c r="I511" s="4">
        <v>4</v>
      </c>
      <c r="J511" s="82" t="s">
        <v>177</v>
      </c>
      <c r="K511" s="5" t="s">
        <v>15</v>
      </c>
      <c r="L511" s="4"/>
      <c r="M511" s="4">
        <v>3</v>
      </c>
      <c r="N511" s="4">
        <v>3</v>
      </c>
      <c r="O511" s="4">
        <v>3</v>
      </c>
      <c r="P511" s="4">
        <v>3</v>
      </c>
      <c r="Q511" s="4"/>
      <c r="R511" s="6">
        <f t="shared" si="130"/>
        <v>23.44</v>
      </c>
      <c r="S511" s="65"/>
      <c r="T511" s="6">
        <f>R511</f>
        <v>23.44</v>
      </c>
      <c r="U511" s="65"/>
      <c r="V511" s="65"/>
      <c r="W511" s="74" t="s">
        <v>188</v>
      </c>
      <c r="X511" s="20" t="str">
        <f t="shared" si="131"/>
        <v>BR2-STUDY-B53-SHUTTER</v>
      </c>
      <c r="Y511" s="7">
        <f t="shared" si="128"/>
        <v>23.44</v>
      </c>
      <c r="AA511"/>
      <c r="AE511"/>
    </row>
    <row r="512" spans="1:31" x14ac:dyDescent="0.3">
      <c r="A512" s="4">
        <f t="shared" si="132"/>
        <v>506</v>
      </c>
      <c r="B512" s="4"/>
      <c r="C512" s="4"/>
      <c r="D512" s="4"/>
      <c r="E512" s="4"/>
      <c r="F512" s="19" t="s">
        <v>171</v>
      </c>
      <c r="G512" s="4">
        <f>D505+50</f>
        <v>2134</v>
      </c>
      <c r="H512" s="4">
        <v>450</v>
      </c>
      <c r="I512" s="4">
        <v>1</v>
      </c>
      <c r="J512" s="61" t="s">
        <v>72</v>
      </c>
      <c r="K512" s="5"/>
      <c r="L512" s="4"/>
      <c r="M512" s="4">
        <v>2</v>
      </c>
      <c r="N512" s="4">
        <v>2</v>
      </c>
      <c r="O512" s="4">
        <v>2</v>
      </c>
      <c r="P512" s="4">
        <v>2</v>
      </c>
      <c r="Q512" s="17" t="s">
        <v>64</v>
      </c>
      <c r="R512" s="6">
        <f t="shared" si="130"/>
        <v>17.226666666666667</v>
      </c>
      <c r="S512" s="65"/>
      <c r="T512" s="65"/>
      <c r="U512" s="6">
        <f t="shared" ref="U512:U517" si="144">R512</f>
        <v>17.226666666666667</v>
      </c>
      <c r="V512" s="65"/>
      <c r="W512" s="74" t="s">
        <v>188</v>
      </c>
      <c r="X512" s="20" t="str">
        <f t="shared" si="131"/>
        <v>BR2-STUDY-B53-EXTRA TOP</v>
      </c>
      <c r="Y512" s="7">
        <f t="shared" si="128"/>
        <v>17.226666666666667</v>
      </c>
      <c r="AA512"/>
      <c r="AE512"/>
    </row>
    <row r="513" spans="1:31" x14ac:dyDescent="0.3">
      <c r="A513" s="4">
        <f t="shared" si="132"/>
        <v>507</v>
      </c>
      <c r="B513" s="4"/>
      <c r="C513" s="4"/>
      <c r="D513" s="4"/>
      <c r="E513" s="4"/>
      <c r="F513" s="19" t="s">
        <v>55</v>
      </c>
      <c r="G513" s="4">
        <f>C505</f>
        <v>500</v>
      </c>
      <c r="H513" s="4">
        <f>100</f>
        <v>100</v>
      </c>
      <c r="I513" s="4">
        <v>1</v>
      </c>
      <c r="J513" s="61" t="s">
        <v>72</v>
      </c>
      <c r="K513" s="5"/>
      <c r="L513" s="4"/>
      <c r="M513" s="4">
        <v>2</v>
      </c>
      <c r="N513" s="4">
        <v>2</v>
      </c>
      <c r="O513" s="4">
        <v>2</v>
      </c>
      <c r="P513" s="4">
        <v>2</v>
      </c>
      <c r="Q513" s="17" t="s">
        <v>64</v>
      </c>
      <c r="R513" s="6">
        <f t="shared" si="130"/>
        <v>4</v>
      </c>
      <c r="S513" s="65"/>
      <c r="T513" s="65"/>
      <c r="U513" s="6">
        <f t="shared" si="144"/>
        <v>4</v>
      </c>
      <c r="V513" s="65"/>
      <c r="W513" s="74" t="s">
        <v>188</v>
      </c>
      <c r="X513" s="20" t="str">
        <f t="shared" si="131"/>
        <v>BR2-STUDY-B53-FILLERS</v>
      </c>
      <c r="Y513" s="7">
        <f t="shared" si="128"/>
        <v>4</v>
      </c>
      <c r="AA513"/>
      <c r="AE513"/>
    </row>
    <row r="514" spans="1:31" x14ac:dyDescent="0.3">
      <c r="A514" s="4">
        <f t="shared" si="132"/>
        <v>508</v>
      </c>
      <c r="B514" s="4"/>
      <c r="C514" s="4"/>
      <c r="D514" s="4"/>
      <c r="E514" s="4"/>
      <c r="F514" s="19" t="s">
        <v>49</v>
      </c>
      <c r="G514" s="4">
        <v>2200</v>
      </c>
      <c r="H514" s="4">
        <f>110</f>
        <v>110</v>
      </c>
      <c r="I514" s="4">
        <v>1</v>
      </c>
      <c r="J514" s="61" t="s">
        <v>72</v>
      </c>
      <c r="K514" s="5"/>
      <c r="L514" s="4"/>
      <c r="M514" s="4">
        <v>2</v>
      </c>
      <c r="N514" s="4">
        <v>2</v>
      </c>
      <c r="O514" s="4">
        <v>2</v>
      </c>
      <c r="P514" s="4">
        <v>2</v>
      </c>
      <c r="Q514" s="17" t="s">
        <v>64</v>
      </c>
      <c r="R514" s="6">
        <f t="shared" si="130"/>
        <v>15.4</v>
      </c>
      <c r="S514" s="65"/>
      <c r="T514" s="65"/>
      <c r="U514" s="6">
        <f t="shared" si="144"/>
        <v>15.4</v>
      </c>
      <c r="V514" s="65"/>
      <c r="W514" s="74" t="s">
        <v>188</v>
      </c>
      <c r="X514" s="20" t="str">
        <f t="shared" si="131"/>
        <v>BR2-STUDY-B53-SKIRTING</v>
      </c>
      <c r="Y514" s="7">
        <f t="shared" si="128"/>
        <v>15.4</v>
      </c>
      <c r="AA514"/>
      <c r="AE514"/>
    </row>
    <row r="515" spans="1:31" x14ac:dyDescent="0.3">
      <c r="A515" s="4">
        <f t="shared" si="132"/>
        <v>509</v>
      </c>
      <c r="B515" s="23" t="s">
        <v>189</v>
      </c>
      <c r="C515" s="23">
        <v>738</v>
      </c>
      <c r="D515" s="23">
        <v>1340</v>
      </c>
      <c r="E515" s="23">
        <v>450</v>
      </c>
      <c r="F515" s="19" t="s">
        <v>28</v>
      </c>
      <c r="G515" s="4">
        <f>C515-18</f>
        <v>720</v>
      </c>
      <c r="H515" s="4">
        <f>E515</f>
        <v>450</v>
      </c>
      <c r="I515" s="4">
        <v>1</v>
      </c>
      <c r="J515" s="61" t="s">
        <v>73</v>
      </c>
      <c r="K515" s="5"/>
      <c r="L515" s="4"/>
      <c r="M515" s="4">
        <v>2</v>
      </c>
      <c r="N515" s="4">
        <v>2</v>
      </c>
      <c r="O515" s="4">
        <v>2</v>
      </c>
      <c r="P515" s="4">
        <v>2</v>
      </c>
      <c r="Q515" s="17" t="s">
        <v>64</v>
      </c>
      <c r="R515" s="6">
        <f t="shared" si="130"/>
        <v>7.8</v>
      </c>
      <c r="S515" s="65"/>
      <c r="T515" s="65"/>
      <c r="U515" s="6">
        <f t="shared" si="144"/>
        <v>7.8</v>
      </c>
      <c r="V515" s="65"/>
      <c r="W515" s="74" t="s">
        <v>189</v>
      </c>
      <c r="X515" s="20" t="str">
        <f t="shared" si="131"/>
        <v>BR2-STUDY-B54-LHS</v>
      </c>
      <c r="Y515" s="7">
        <f t="shared" si="128"/>
        <v>7.8</v>
      </c>
      <c r="AA515"/>
      <c r="AE515"/>
    </row>
    <row r="516" spans="1:31" x14ac:dyDescent="0.3">
      <c r="A516" s="4">
        <f t="shared" si="132"/>
        <v>510</v>
      </c>
      <c r="B516" s="4"/>
      <c r="C516" s="4"/>
      <c r="D516" s="4"/>
      <c r="E516" s="4"/>
      <c r="F516" s="19" t="s">
        <v>29</v>
      </c>
      <c r="G516" s="4">
        <f>G515</f>
        <v>720</v>
      </c>
      <c r="H516" s="4">
        <f>H515</f>
        <v>450</v>
      </c>
      <c r="I516" s="4">
        <v>1</v>
      </c>
      <c r="J516" s="61" t="s">
        <v>73</v>
      </c>
      <c r="K516" s="5"/>
      <c r="L516" s="4"/>
      <c r="M516" s="4">
        <v>2</v>
      </c>
      <c r="N516" s="4">
        <v>2</v>
      </c>
      <c r="O516" s="4">
        <v>2</v>
      </c>
      <c r="P516" s="4">
        <v>2</v>
      </c>
      <c r="Q516" s="17" t="s">
        <v>64</v>
      </c>
      <c r="R516" s="6">
        <f t="shared" si="130"/>
        <v>7.8</v>
      </c>
      <c r="S516" s="65"/>
      <c r="T516" s="65"/>
      <c r="U516" s="6">
        <f t="shared" si="144"/>
        <v>7.8</v>
      </c>
      <c r="V516" s="65"/>
      <c r="W516" s="74" t="s">
        <v>189</v>
      </c>
      <c r="X516" s="20" t="str">
        <f t="shared" si="131"/>
        <v>BR2-STUDY-B54-RHS</v>
      </c>
      <c r="Y516" s="7">
        <f t="shared" si="128"/>
        <v>7.8</v>
      </c>
      <c r="AA516"/>
      <c r="AE516"/>
    </row>
    <row r="517" spans="1:31" x14ac:dyDescent="0.3">
      <c r="A517" s="4">
        <f t="shared" si="132"/>
        <v>511</v>
      </c>
      <c r="B517" s="4"/>
      <c r="C517" s="4"/>
      <c r="D517" s="4"/>
      <c r="E517" s="4"/>
      <c r="F517" s="19" t="s">
        <v>30</v>
      </c>
      <c r="G517" s="4">
        <f>D515</f>
        <v>1340</v>
      </c>
      <c r="H517" s="4">
        <f>H516</f>
        <v>450</v>
      </c>
      <c r="I517" s="4">
        <v>1</v>
      </c>
      <c r="J517" s="61" t="s">
        <v>72</v>
      </c>
      <c r="K517" s="5"/>
      <c r="L517" s="4"/>
      <c r="M517" s="4">
        <v>2</v>
      </c>
      <c r="N517" s="4">
        <v>2</v>
      </c>
      <c r="O517" s="4">
        <v>2</v>
      </c>
      <c r="P517" s="4">
        <v>2</v>
      </c>
      <c r="Q517" s="17" t="s">
        <v>64</v>
      </c>
      <c r="R517" s="6">
        <f t="shared" si="130"/>
        <v>11.933333333333334</v>
      </c>
      <c r="S517" s="65"/>
      <c r="T517" s="65"/>
      <c r="U517" s="6">
        <f t="shared" si="144"/>
        <v>11.933333333333334</v>
      </c>
      <c r="V517" s="65"/>
      <c r="W517" s="74" t="s">
        <v>189</v>
      </c>
      <c r="X517" s="20" t="str">
        <f t="shared" si="131"/>
        <v>BR2-STUDY-B54-TOP</v>
      </c>
      <c r="Y517" s="7">
        <f t="shared" ref="Y517:Y530" si="145">(G517+H517)*2*I517/300</f>
        <v>11.933333333333334</v>
      </c>
      <c r="AA517"/>
      <c r="AE517"/>
    </row>
    <row r="518" spans="1:31" x14ac:dyDescent="0.3">
      <c r="A518" s="4">
        <f t="shared" si="132"/>
        <v>512</v>
      </c>
      <c r="B518" s="4"/>
      <c r="C518" s="4"/>
      <c r="D518" s="4"/>
      <c r="E518" s="4"/>
      <c r="F518" s="19" t="s">
        <v>160</v>
      </c>
      <c r="G518" s="4">
        <f>100</f>
        <v>100</v>
      </c>
      <c r="H518" s="4">
        <f>E515-20-20</f>
        <v>410</v>
      </c>
      <c r="I518" s="4">
        <v>1</v>
      </c>
      <c r="J518" s="62" t="s">
        <v>34</v>
      </c>
      <c r="K518" s="17" t="s">
        <v>15</v>
      </c>
      <c r="L518" s="39"/>
      <c r="M518" s="39">
        <v>1</v>
      </c>
      <c r="N518" s="39">
        <v>1</v>
      </c>
      <c r="O518" s="39">
        <v>1</v>
      </c>
      <c r="P518" s="39">
        <v>1</v>
      </c>
      <c r="Q518" s="4"/>
      <c r="R518" s="6">
        <f t="shared" si="130"/>
        <v>3.4</v>
      </c>
      <c r="S518" s="6">
        <f t="shared" ref="S518:S520" si="146">R518</f>
        <v>3.4</v>
      </c>
      <c r="T518" s="65"/>
      <c r="U518" s="65"/>
      <c r="V518" s="65"/>
      <c r="W518" s="74" t="s">
        <v>189</v>
      </c>
      <c r="X518" s="20" t="str">
        <f t="shared" si="131"/>
        <v>BR2-STUDY-B54-CV</v>
      </c>
      <c r="Y518" s="7">
        <f t="shared" si="145"/>
        <v>3.4</v>
      </c>
      <c r="AA518"/>
      <c r="AE518"/>
    </row>
    <row r="519" spans="1:31" x14ac:dyDescent="0.3">
      <c r="A519" s="4">
        <f t="shared" si="132"/>
        <v>513</v>
      </c>
      <c r="B519" s="4"/>
      <c r="C519" s="4"/>
      <c r="D519" s="4"/>
      <c r="E519" s="4"/>
      <c r="F519" s="17" t="s">
        <v>163</v>
      </c>
      <c r="G519" s="4">
        <f>65</f>
        <v>65</v>
      </c>
      <c r="H519" s="4">
        <f>350</f>
        <v>350</v>
      </c>
      <c r="I519" s="4">
        <v>4</v>
      </c>
      <c r="J519" s="62" t="s">
        <v>34</v>
      </c>
      <c r="K519" s="17" t="s">
        <v>15</v>
      </c>
      <c r="L519" s="39"/>
      <c r="M519" s="39">
        <v>1</v>
      </c>
      <c r="N519" s="39">
        <v>1</v>
      </c>
      <c r="O519" s="39">
        <v>1</v>
      </c>
      <c r="P519" s="39">
        <v>1</v>
      </c>
      <c r="Q519" s="4"/>
      <c r="R519" s="6">
        <f t="shared" si="130"/>
        <v>11.066666666666666</v>
      </c>
      <c r="S519" s="6">
        <f t="shared" si="146"/>
        <v>11.066666666666666</v>
      </c>
      <c r="T519" s="65"/>
      <c r="U519" s="65"/>
      <c r="V519" s="65"/>
      <c r="W519" s="74" t="s">
        <v>189</v>
      </c>
      <c r="X519" s="20" t="str">
        <f t="shared" si="131"/>
        <v>BR2-STUDY-B54-DR.LR</v>
      </c>
      <c r="Y519" s="7">
        <f t="shared" si="145"/>
        <v>11.066666666666666</v>
      </c>
      <c r="AA519"/>
      <c r="AE519"/>
    </row>
    <row r="520" spans="1:31" x14ac:dyDescent="0.3">
      <c r="A520" s="4">
        <f t="shared" si="132"/>
        <v>514</v>
      </c>
      <c r="B520" s="4"/>
      <c r="C520" s="4"/>
      <c r="D520" s="4"/>
      <c r="E520" s="4"/>
      <c r="F520" s="17" t="s">
        <v>164</v>
      </c>
      <c r="G520" s="4">
        <f>G519</f>
        <v>65</v>
      </c>
      <c r="H520" s="4">
        <f>D515/2-18-9-28-36</f>
        <v>579</v>
      </c>
      <c r="I520" s="4">
        <v>4</v>
      </c>
      <c r="J520" s="62" t="s">
        <v>34</v>
      </c>
      <c r="K520" s="17" t="s">
        <v>15</v>
      </c>
      <c r="L520" s="39"/>
      <c r="M520" s="39">
        <v>1</v>
      </c>
      <c r="N520" s="39">
        <v>1</v>
      </c>
      <c r="O520" s="39">
        <v>1</v>
      </c>
      <c r="P520" s="39">
        <v>1</v>
      </c>
      <c r="Q520" s="4"/>
      <c r="R520" s="6">
        <f t="shared" ref="R520:R529" si="147">(G520+H520)*2*I520/300</f>
        <v>17.173333333333332</v>
      </c>
      <c r="S520" s="6">
        <f t="shared" si="146"/>
        <v>17.173333333333332</v>
      </c>
      <c r="T520" s="65"/>
      <c r="U520" s="65"/>
      <c r="V520" s="65"/>
      <c r="W520" s="74" t="s">
        <v>189</v>
      </c>
      <c r="X520" s="20" t="str">
        <f t="shared" ref="X520:X529" si="148">W520&amp;"-"&amp;F520</f>
        <v>BR2-STUDY-B54-DR.IO</v>
      </c>
      <c r="Y520" s="7">
        <f t="shared" si="145"/>
        <v>17.173333333333332</v>
      </c>
      <c r="AA520"/>
      <c r="AE520"/>
    </row>
    <row r="521" spans="1:31" x14ac:dyDescent="0.3">
      <c r="A521" s="4">
        <f t="shared" ref="A521:A529" si="149">A520+1</f>
        <v>515</v>
      </c>
      <c r="B521" s="4"/>
      <c r="C521" s="4"/>
      <c r="D521" s="4"/>
      <c r="E521" s="4"/>
      <c r="F521" s="17" t="s">
        <v>165</v>
      </c>
      <c r="G521" s="4">
        <f>H519-36+16</f>
        <v>330</v>
      </c>
      <c r="H521" s="4">
        <f>H520+16</f>
        <v>595</v>
      </c>
      <c r="I521" s="4">
        <v>2</v>
      </c>
      <c r="J521" s="62" t="s">
        <v>35</v>
      </c>
      <c r="K521" s="17" t="s">
        <v>15</v>
      </c>
      <c r="L521" s="4"/>
      <c r="M521" s="4"/>
      <c r="N521" s="4"/>
      <c r="O521" s="4"/>
      <c r="P521" s="4"/>
      <c r="Q521" s="4"/>
      <c r="R521" s="6">
        <f t="shared" si="147"/>
        <v>12.333333333333334</v>
      </c>
      <c r="S521" s="65"/>
      <c r="T521" s="65"/>
      <c r="U521" s="65"/>
      <c r="V521" s="65"/>
      <c r="W521" s="74" t="s">
        <v>189</v>
      </c>
      <c r="X521" s="20" t="str">
        <f t="shared" si="148"/>
        <v>BR2-STUDY-B54-DR.BP</v>
      </c>
      <c r="Y521" s="7">
        <f t="shared" si="145"/>
        <v>12.333333333333334</v>
      </c>
      <c r="AA521"/>
      <c r="AE521"/>
    </row>
    <row r="522" spans="1:31" x14ac:dyDescent="0.3">
      <c r="A522" s="4">
        <f t="shared" si="149"/>
        <v>516</v>
      </c>
      <c r="B522" s="4"/>
      <c r="C522" s="4"/>
      <c r="D522" s="4"/>
      <c r="E522" s="4"/>
      <c r="F522" s="17" t="s">
        <v>166</v>
      </c>
      <c r="G522" s="4">
        <f>100-2</f>
        <v>98</v>
      </c>
      <c r="H522" s="4">
        <f>D515/2-18-2</f>
        <v>650</v>
      </c>
      <c r="I522" s="4">
        <v>2</v>
      </c>
      <c r="J522" s="82" t="s">
        <v>177</v>
      </c>
      <c r="K522" s="5" t="s">
        <v>15</v>
      </c>
      <c r="L522" s="4"/>
      <c r="M522" s="4">
        <v>3</v>
      </c>
      <c r="N522" s="4">
        <v>3</v>
      </c>
      <c r="O522" s="4">
        <v>3</v>
      </c>
      <c r="P522" s="4">
        <v>3</v>
      </c>
      <c r="Q522" s="4"/>
      <c r="R522" s="6">
        <f t="shared" si="147"/>
        <v>9.9733333333333327</v>
      </c>
      <c r="S522" s="65"/>
      <c r="T522" s="6">
        <f>R522</f>
        <v>9.9733333333333327</v>
      </c>
      <c r="U522" s="65"/>
      <c r="V522" s="65"/>
      <c r="W522" s="74" t="s">
        <v>189</v>
      </c>
      <c r="X522" s="20" t="str">
        <f t="shared" si="148"/>
        <v>BR2-STUDY-B54-DR.FACIA</v>
      </c>
      <c r="Y522" s="7">
        <f t="shared" si="145"/>
        <v>9.9733333333333327</v>
      </c>
      <c r="AA522"/>
      <c r="AE522"/>
    </row>
    <row r="523" spans="1:31" x14ac:dyDescent="0.3">
      <c r="A523" s="4">
        <f t="shared" si="149"/>
        <v>517</v>
      </c>
      <c r="B523" s="4"/>
      <c r="C523" s="4"/>
      <c r="D523" s="4"/>
      <c r="E523" s="4"/>
      <c r="F523" s="19" t="s">
        <v>138</v>
      </c>
      <c r="G523" s="4">
        <v>1340</v>
      </c>
      <c r="H523" s="4">
        <v>200</v>
      </c>
      <c r="I523" s="4">
        <v>1</v>
      </c>
      <c r="J523" s="61" t="s">
        <v>73</v>
      </c>
      <c r="K523" s="5"/>
      <c r="L523" s="4"/>
      <c r="M523" s="4">
        <v>2</v>
      </c>
      <c r="N523" s="4">
        <v>2</v>
      </c>
      <c r="O523" s="4">
        <v>2</v>
      </c>
      <c r="P523" s="4">
        <v>2</v>
      </c>
      <c r="Q523" s="17" t="s">
        <v>64</v>
      </c>
      <c r="R523" s="6">
        <f t="shared" si="147"/>
        <v>10.266666666666667</v>
      </c>
      <c r="S523" s="65"/>
      <c r="T523" s="65"/>
      <c r="U523" s="6">
        <f t="shared" ref="U523:U529" si="150">R523</f>
        <v>10.266666666666667</v>
      </c>
      <c r="V523" s="65"/>
      <c r="W523" s="74" t="s">
        <v>189</v>
      </c>
      <c r="X523" s="20" t="str">
        <f t="shared" si="148"/>
        <v>BR2-STUDY-B54-LEDGES</v>
      </c>
      <c r="Y523" s="7">
        <f t="shared" si="145"/>
        <v>10.266666666666667</v>
      </c>
      <c r="AA523"/>
      <c r="AE523"/>
    </row>
    <row r="524" spans="1:31" x14ac:dyDescent="0.3">
      <c r="A524" s="4">
        <f t="shared" si="149"/>
        <v>518</v>
      </c>
      <c r="B524" s="4"/>
      <c r="C524" s="4"/>
      <c r="D524" s="4"/>
      <c r="E524" s="4"/>
      <c r="F524" s="19" t="s">
        <v>138</v>
      </c>
      <c r="G524" s="4">
        <v>700</v>
      </c>
      <c r="H524" s="4">
        <v>200</v>
      </c>
      <c r="I524" s="4">
        <v>1</v>
      </c>
      <c r="J524" s="61" t="s">
        <v>73</v>
      </c>
      <c r="K524" s="5"/>
      <c r="L524" s="4"/>
      <c r="M524" s="4">
        <v>2</v>
      </c>
      <c r="N524" s="4">
        <v>2</v>
      </c>
      <c r="O524" s="4">
        <v>2</v>
      </c>
      <c r="P524" s="4">
        <v>2</v>
      </c>
      <c r="Q524" s="17" t="s">
        <v>64</v>
      </c>
      <c r="R524" s="6">
        <f t="shared" si="147"/>
        <v>6</v>
      </c>
      <c r="S524" s="65"/>
      <c r="T524" s="65"/>
      <c r="U524" s="6">
        <f t="shared" si="150"/>
        <v>6</v>
      </c>
      <c r="V524" s="65"/>
      <c r="W524" s="74" t="s">
        <v>189</v>
      </c>
      <c r="X524" s="20" t="str">
        <f t="shared" si="148"/>
        <v>BR2-STUDY-B54-LEDGES</v>
      </c>
      <c r="Y524" s="7">
        <f t="shared" si="145"/>
        <v>6</v>
      </c>
      <c r="AA524"/>
      <c r="AE524"/>
    </row>
    <row r="525" spans="1:31" x14ac:dyDescent="0.3">
      <c r="A525" s="4">
        <f t="shared" si="149"/>
        <v>519</v>
      </c>
      <c r="B525" s="4"/>
      <c r="C525" s="4"/>
      <c r="D525" s="4"/>
      <c r="E525" s="4"/>
      <c r="F525" s="19" t="s">
        <v>138</v>
      </c>
      <c r="G525" s="4">
        <v>291</v>
      </c>
      <c r="H525" s="4">
        <v>200</v>
      </c>
      <c r="I525" s="4">
        <v>1</v>
      </c>
      <c r="J525" s="61" t="s">
        <v>73</v>
      </c>
      <c r="K525" s="5"/>
      <c r="L525" s="4"/>
      <c r="M525" s="4">
        <v>2</v>
      </c>
      <c r="N525" s="4">
        <v>2</v>
      </c>
      <c r="O525" s="4">
        <v>2</v>
      </c>
      <c r="P525" s="4">
        <v>2</v>
      </c>
      <c r="Q525" s="17" t="s">
        <v>64</v>
      </c>
      <c r="R525" s="6">
        <f t="shared" si="147"/>
        <v>3.2733333333333334</v>
      </c>
      <c r="S525" s="65"/>
      <c r="T525" s="65"/>
      <c r="U525" s="6">
        <f t="shared" si="150"/>
        <v>3.2733333333333334</v>
      </c>
      <c r="V525" s="65"/>
      <c r="W525" s="74" t="s">
        <v>189</v>
      </c>
      <c r="X525" s="20" t="str">
        <f t="shared" si="148"/>
        <v>BR2-STUDY-B54-LEDGES</v>
      </c>
      <c r="Y525" s="7">
        <f t="shared" si="145"/>
        <v>3.2733333333333334</v>
      </c>
      <c r="AA525"/>
      <c r="AE525"/>
    </row>
    <row r="526" spans="1:31" x14ac:dyDescent="0.3">
      <c r="A526" s="4">
        <f t="shared" si="149"/>
        <v>520</v>
      </c>
      <c r="B526" s="4"/>
      <c r="C526" s="4"/>
      <c r="D526" s="4"/>
      <c r="E526" s="4"/>
      <c r="F526" s="19" t="s">
        <v>138</v>
      </c>
      <c r="G526" s="49">
        <v>800</v>
      </c>
      <c r="H526" s="4">
        <v>200</v>
      </c>
      <c r="I526" s="4">
        <v>1</v>
      </c>
      <c r="J526" s="61" t="s">
        <v>73</v>
      </c>
      <c r="K526" s="5"/>
      <c r="L526" s="4"/>
      <c r="M526" s="4">
        <v>2</v>
      </c>
      <c r="N526" s="4">
        <v>2</v>
      </c>
      <c r="O526" s="4">
        <v>2</v>
      </c>
      <c r="P526" s="4">
        <v>2</v>
      </c>
      <c r="Q526" s="17" t="s">
        <v>64</v>
      </c>
      <c r="R526" s="6">
        <f t="shared" si="147"/>
        <v>6.666666666666667</v>
      </c>
      <c r="S526" s="65"/>
      <c r="T526" s="65"/>
      <c r="U526" s="6">
        <f t="shared" si="150"/>
        <v>6.666666666666667</v>
      </c>
      <c r="V526" s="65"/>
      <c r="W526" s="74" t="s">
        <v>189</v>
      </c>
      <c r="X526" s="20" t="str">
        <f t="shared" si="148"/>
        <v>BR2-STUDY-B54-LEDGES</v>
      </c>
      <c r="Y526" s="7">
        <f t="shared" si="145"/>
        <v>6.666666666666667</v>
      </c>
      <c r="AA526"/>
      <c r="AE526"/>
    </row>
    <row r="527" spans="1:31" x14ac:dyDescent="0.3">
      <c r="A527" s="4">
        <f t="shared" si="149"/>
        <v>521</v>
      </c>
      <c r="B527" s="4"/>
      <c r="C527" s="4"/>
      <c r="D527" s="4"/>
      <c r="E527" s="4"/>
      <c r="F527" s="19" t="s">
        <v>138</v>
      </c>
      <c r="G527" s="4">
        <v>350</v>
      </c>
      <c r="H527" s="4">
        <v>200</v>
      </c>
      <c r="I527" s="4">
        <v>1</v>
      </c>
      <c r="J527" s="61" t="s">
        <v>73</v>
      </c>
      <c r="K527" s="5"/>
      <c r="L527" s="4"/>
      <c r="M527" s="4">
        <v>2</v>
      </c>
      <c r="N527" s="4">
        <v>2</v>
      </c>
      <c r="O527" s="4">
        <v>2</v>
      </c>
      <c r="P527" s="4">
        <v>2</v>
      </c>
      <c r="Q527" s="17" t="s">
        <v>64</v>
      </c>
      <c r="R527" s="6">
        <f t="shared" si="147"/>
        <v>3.6666666666666665</v>
      </c>
      <c r="S527" s="65"/>
      <c r="T527" s="65"/>
      <c r="U527" s="6">
        <f t="shared" si="150"/>
        <v>3.6666666666666665</v>
      </c>
      <c r="V527" s="65"/>
      <c r="W527" s="74" t="s">
        <v>189</v>
      </c>
      <c r="X527" s="20" t="str">
        <f t="shared" si="148"/>
        <v>BR2-STUDY-B54-LEDGES</v>
      </c>
      <c r="Y527" s="7">
        <f t="shared" si="145"/>
        <v>3.6666666666666665</v>
      </c>
      <c r="AA527"/>
      <c r="AE527"/>
    </row>
    <row r="528" spans="1:31" x14ac:dyDescent="0.3">
      <c r="A528" s="4">
        <f t="shared" si="149"/>
        <v>522</v>
      </c>
      <c r="B528" s="4"/>
      <c r="C528" s="4"/>
      <c r="D528" s="4"/>
      <c r="E528" s="4"/>
      <c r="F528" s="19" t="s">
        <v>138</v>
      </c>
      <c r="G528" s="4">
        <v>610</v>
      </c>
      <c r="H528" s="4">
        <v>200</v>
      </c>
      <c r="I528" s="4">
        <v>2</v>
      </c>
      <c r="J528" s="61" t="s">
        <v>73</v>
      </c>
      <c r="K528" s="5"/>
      <c r="L528" s="4"/>
      <c r="M528" s="4">
        <v>2</v>
      </c>
      <c r="N528" s="4">
        <v>2</v>
      </c>
      <c r="O528" s="4">
        <v>2</v>
      </c>
      <c r="P528" s="4">
        <v>2</v>
      </c>
      <c r="Q528" s="17" t="s">
        <v>64</v>
      </c>
      <c r="R528" s="6">
        <f t="shared" si="147"/>
        <v>10.8</v>
      </c>
      <c r="S528" s="65"/>
      <c r="T528" s="65"/>
      <c r="U528" s="6">
        <f t="shared" si="150"/>
        <v>10.8</v>
      </c>
      <c r="V528" s="65"/>
      <c r="W528" s="74" t="s">
        <v>189</v>
      </c>
      <c r="X528" s="20" t="str">
        <f t="shared" si="148"/>
        <v>BR2-STUDY-B54-LEDGES</v>
      </c>
      <c r="Y528" s="7">
        <f t="shared" si="145"/>
        <v>10.8</v>
      </c>
      <c r="AA528"/>
      <c r="AE528"/>
    </row>
    <row r="529" spans="1:31" x14ac:dyDescent="0.3">
      <c r="A529" s="4">
        <f t="shared" si="149"/>
        <v>523</v>
      </c>
      <c r="B529" s="4"/>
      <c r="C529" s="4"/>
      <c r="D529" s="4"/>
      <c r="E529" s="4"/>
      <c r="F529" s="19" t="s">
        <v>138</v>
      </c>
      <c r="G529" s="4">
        <v>300</v>
      </c>
      <c r="H529" s="4">
        <v>200</v>
      </c>
      <c r="I529" s="4">
        <v>1</v>
      </c>
      <c r="J529" s="61" t="s">
        <v>73</v>
      </c>
      <c r="K529" s="5"/>
      <c r="L529" s="4"/>
      <c r="M529" s="4">
        <v>2</v>
      </c>
      <c r="N529" s="4">
        <v>2</v>
      </c>
      <c r="O529" s="4">
        <v>2</v>
      </c>
      <c r="P529" s="4">
        <v>2</v>
      </c>
      <c r="Q529" s="17" t="s">
        <v>64</v>
      </c>
      <c r="R529" s="6">
        <f t="shared" si="147"/>
        <v>3.3333333333333335</v>
      </c>
      <c r="S529" s="65"/>
      <c r="T529" s="65"/>
      <c r="U529" s="6">
        <f t="shared" si="150"/>
        <v>3.3333333333333335</v>
      </c>
      <c r="V529" s="65"/>
      <c r="W529" s="74" t="s">
        <v>189</v>
      </c>
      <c r="X529" s="20" t="str">
        <f t="shared" si="148"/>
        <v>BR2-STUDY-B54-LEDGES</v>
      </c>
      <c r="Y529" s="7">
        <f t="shared" si="145"/>
        <v>3.3333333333333335</v>
      </c>
      <c r="AA529"/>
      <c r="AE529"/>
    </row>
    <row r="530" spans="1:31" ht="46.2" x14ac:dyDescent="0.3">
      <c r="A530" s="112" t="s">
        <v>11</v>
      </c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4"/>
      <c r="R530" s="18"/>
      <c r="S530" s="18"/>
      <c r="T530" s="18"/>
      <c r="U530" s="18"/>
      <c r="V530" s="18"/>
      <c r="Y530" s="7">
        <f t="shared" si="145"/>
        <v>0</v>
      </c>
      <c r="AA530"/>
      <c r="AE530"/>
    </row>
    <row r="531" spans="1:31" x14ac:dyDescent="0.3">
      <c r="R531" s="12"/>
      <c r="S531" s="12"/>
      <c r="T531" s="12"/>
      <c r="U531" s="12"/>
      <c r="V531" s="12"/>
      <c r="AA531"/>
      <c r="AE531"/>
    </row>
    <row r="532" spans="1:31" x14ac:dyDescent="0.3">
      <c r="AA532"/>
      <c r="AE532"/>
    </row>
    <row r="533" spans="1:31" x14ac:dyDescent="0.3">
      <c r="AA533"/>
      <c r="AE533"/>
    </row>
    <row r="534" spans="1:31" x14ac:dyDescent="0.3">
      <c r="AA534"/>
      <c r="AE534"/>
    </row>
    <row r="535" spans="1:31" x14ac:dyDescent="0.3">
      <c r="AA535"/>
      <c r="AE535"/>
    </row>
    <row r="536" spans="1:31" x14ac:dyDescent="0.3">
      <c r="AA536"/>
      <c r="AE536"/>
    </row>
    <row r="537" spans="1:31" x14ac:dyDescent="0.3">
      <c r="AA537"/>
      <c r="AE537"/>
    </row>
    <row r="538" spans="1:31" x14ac:dyDescent="0.3">
      <c r="AA538"/>
      <c r="AE538"/>
    </row>
    <row r="539" spans="1:31" x14ac:dyDescent="0.3">
      <c r="AA539"/>
      <c r="AE539"/>
    </row>
    <row r="540" spans="1:31" x14ac:dyDescent="0.3">
      <c r="AA540"/>
      <c r="AE540"/>
    </row>
    <row r="541" spans="1:31" x14ac:dyDescent="0.3">
      <c r="AA541"/>
      <c r="AE541"/>
    </row>
    <row r="542" spans="1:31" x14ac:dyDescent="0.3">
      <c r="AA542"/>
      <c r="AE542"/>
    </row>
    <row r="543" spans="1:31" x14ac:dyDescent="0.3">
      <c r="J543" s="20"/>
      <c r="K543" s="7"/>
      <c r="R543" s="7"/>
      <c r="S543" s="7"/>
      <c r="T543" s="7"/>
      <c r="U543" s="7"/>
      <c r="V543" s="7"/>
      <c r="AA543"/>
      <c r="AE543"/>
    </row>
    <row r="544" spans="1:31" x14ac:dyDescent="0.3">
      <c r="J544" s="20"/>
      <c r="K544" s="7"/>
      <c r="R544" s="7"/>
      <c r="S544" s="7"/>
      <c r="T544" s="7"/>
      <c r="U544" s="7"/>
      <c r="V544" s="7"/>
      <c r="AA544"/>
      <c r="AE544"/>
    </row>
    <row r="545" spans="10:31" x14ac:dyDescent="0.3">
      <c r="J545" s="20"/>
      <c r="K545" s="7"/>
      <c r="R545" s="7"/>
      <c r="S545" s="7"/>
      <c r="T545" s="7"/>
      <c r="U545" s="7"/>
      <c r="V545" s="7"/>
      <c r="AA545"/>
      <c r="AE545"/>
    </row>
    <row r="546" spans="10:31" x14ac:dyDescent="0.3">
      <c r="J546" s="20"/>
      <c r="K546" s="7"/>
      <c r="R546" s="7"/>
      <c r="S546" s="7"/>
      <c r="T546" s="7"/>
      <c r="U546" s="7"/>
      <c r="V546" s="7"/>
      <c r="AA546"/>
      <c r="AE546"/>
    </row>
    <row r="547" spans="10:31" x14ac:dyDescent="0.3">
      <c r="J547" s="20"/>
      <c r="K547" s="7"/>
      <c r="R547" s="7"/>
      <c r="S547" s="7"/>
      <c r="T547" s="7"/>
      <c r="U547" s="7"/>
      <c r="V547" s="7"/>
      <c r="AA547"/>
      <c r="AE547"/>
    </row>
    <row r="548" spans="10:31" x14ac:dyDescent="0.3">
      <c r="J548" s="20"/>
      <c r="K548" s="7"/>
      <c r="R548" s="7"/>
      <c r="S548" s="7"/>
      <c r="T548" s="7"/>
      <c r="U548" s="7"/>
      <c r="V548" s="7"/>
      <c r="AA548"/>
      <c r="AE548"/>
    </row>
    <row r="549" spans="10:31" x14ac:dyDescent="0.3">
      <c r="J549" s="20"/>
      <c r="K549" s="7"/>
      <c r="R549" s="7"/>
      <c r="S549" s="7"/>
      <c r="T549" s="7"/>
      <c r="U549" s="7"/>
      <c r="V549" s="7"/>
      <c r="AA549"/>
      <c r="AE549"/>
    </row>
    <row r="550" spans="10:31" x14ac:dyDescent="0.3">
      <c r="J550" s="20"/>
      <c r="K550" s="7"/>
      <c r="R550" s="7"/>
      <c r="S550" s="7"/>
      <c r="T550" s="7"/>
      <c r="U550" s="7"/>
      <c r="V550" s="7"/>
      <c r="AA550"/>
      <c r="AE550"/>
    </row>
    <row r="551" spans="10:31" x14ac:dyDescent="0.3">
      <c r="J551" s="20"/>
      <c r="K551" s="7"/>
      <c r="R551" s="7"/>
      <c r="S551" s="7"/>
      <c r="T551" s="7"/>
      <c r="U551" s="7"/>
      <c r="V551" s="7"/>
      <c r="AA551"/>
      <c r="AE551"/>
    </row>
    <row r="552" spans="10:31" x14ac:dyDescent="0.3">
      <c r="J552" s="20"/>
      <c r="K552" s="7"/>
      <c r="R552" s="7"/>
      <c r="S552" s="7"/>
      <c r="T552" s="7"/>
      <c r="U552" s="7"/>
      <c r="V552" s="7"/>
      <c r="AA552"/>
      <c r="AE552"/>
    </row>
    <row r="553" spans="10:31" x14ac:dyDescent="0.3">
      <c r="J553" s="20"/>
      <c r="K553" s="7"/>
      <c r="R553" s="7"/>
      <c r="S553" s="7"/>
      <c r="T553" s="7"/>
      <c r="U553" s="7"/>
      <c r="V553" s="7"/>
      <c r="AA553"/>
      <c r="AE553"/>
    </row>
    <row r="554" spans="10:31" x14ac:dyDescent="0.3">
      <c r="J554" s="20"/>
      <c r="K554" s="7"/>
      <c r="R554" s="7"/>
      <c r="S554" s="7"/>
      <c r="T554" s="7"/>
      <c r="U554" s="7"/>
      <c r="V554" s="7"/>
      <c r="AA554"/>
      <c r="AE554"/>
    </row>
    <row r="555" spans="10:31" x14ac:dyDescent="0.3">
      <c r="J555" s="20"/>
      <c r="K555" s="7"/>
      <c r="R555" s="7"/>
      <c r="S555" s="7"/>
      <c r="T555" s="7"/>
      <c r="U555" s="7"/>
      <c r="V555" s="7"/>
      <c r="AA555"/>
      <c r="AE555"/>
    </row>
    <row r="556" spans="10:31" x14ac:dyDescent="0.3">
      <c r="J556" s="20"/>
      <c r="K556" s="7"/>
      <c r="R556" s="7"/>
      <c r="S556" s="7"/>
      <c r="T556" s="7"/>
      <c r="U556" s="7"/>
      <c r="V556" s="7"/>
      <c r="AA556"/>
      <c r="AE556"/>
    </row>
    <row r="557" spans="10:31" x14ac:dyDescent="0.3">
      <c r="J557" s="20"/>
      <c r="K557" s="7"/>
      <c r="R557" s="7"/>
      <c r="S557" s="7"/>
      <c r="T557" s="7"/>
      <c r="U557" s="7"/>
      <c r="V557" s="7"/>
      <c r="AA557"/>
      <c r="AE557"/>
    </row>
    <row r="558" spans="10:31" x14ac:dyDescent="0.3">
      <c r="J558" s="20"/>
      <c r="K558" s="7"/>
      <c r="R558" s="7"/>
      <c r="S558" s="7"/>
      <c r="T558" s="7"/>
      <c r="U558" s="7"/>
      <c r="V558" s="7"/>
      <c r="AA558"/>
      <c r="AE558"/>
    </row>
    <row r="559" spans="10:31" x14ac:dyDescent="0.3">
      <c r="J559" s="20"/>
      <c r="K559" s="7"/>
      <c r="R559" s="7"/>
      <c r="S559" s="7"/>
      <c r="T559" s="7"/>
      <c r="U559" s="7"/>
      <c r="V559" s="7"/>
      <c r="AA559"/>
      <c r="AE559"/>
    </row>
    <row r="560" spans="10:31" x14ac:dyDescent="0.3">
      <c r="J560" s="20"/>
      <c r="K560" s="7"/>
      <c r="R560" s="7"/>
      <c r="S560" s="7"/>
      <c r="T560" s="7"/>
      <c r="U560" s="7"/>
      <c r="V560" s="7"/>
      <c r="AA560"/>
      <c r="AE560"/>
    </row>
    <row r="561" spans="10:31" x14ac:dyDescent="0.3">
      <c r="J561" s="20"/>
      <c r="K561" s="7"/>
      <c r="R561" s="7"/>
      <c r="S561" s="7"/>
      <c r="T561" s="7"/>
      <c r="U561" s="7"/>
      <c r="V561" s="7"/>
      <c r="AA561"/>
      <c r="AE561"/>
    </row>
    <row r="562" spans="10:31" x14ac:dyDescent="0.3">
      <c r="J562" s="20"/>
      <c r="K562" s="7"/>
      <c r="R562" s="7"/>
      <c r="S562" s="7"/>
      <c r="T562" s="7"/>
      <c r="U562" s="7"/>
      <c r="V562" s="7"/>
      <c r="AA562"/>
      <c r="AE562"/>
    </row>
    <row r="563" spans="10:31" x14ac:dyDescent="0.3">
      <c r="J563" s="20"/>
      <c r="K563" s="7"/>
      <c r="R563" s="7"/>
      <c r="S563" s="7"/>
      <c r="T563" s="7"/>
      <c r="U563" s="7"/>
      <c r="V563" s="7"/>
      <c r="AA563"/>
      <c r="AE563"/>
    </row>
    <row r="564" spans="10:31" x14ac:dyDescent="0.3">
      <c r="J564" s="20"/>
      <c r="K564" s="7"/>
      <c r="R564" s="7"/>
      <c r="S564" s="7"/>
      <c r="T564" s="7"/>
      <c r="U564" s="7"/>
      <c r="V564" s="7"/>
      <c r="AA564"/>
      <c r="AE564"/>
    </row>
    <row r="565" spans="10:31" x14ac:dyDescent="0.3">
      <c r="J565" s="20"/>
      <c r="K565" s="7"/>
      <c r="R565" s="7"/>
      <c r="S565" s="7"/>
      <c r="T565" s="7"/>
      <c r="U565" s="7"/>
      <c r="V565" s="7"/>
      <c r="AA565"/>
      <c r="AE565"/>
    </row>
    <row r="566" spans="10:31" x14ac:dyDescent="0.3">
      <c r="J566" s="20"/>
      <c r="K566" s="7"/>
      <c r="R566" s="7"/>
      <c r="S566" s="7"/>
      <c r="T566" s="7"/>
      <c r="U566" s="7"/>
      <c r="V566" s="7"/>
      <c r="AA566"/>
      <c r="AE566"/>
    </row>
    <row r="567" spans="10:31" x14ac:dyDescent="0.3">
      <c r="J567" s="20"/>
      <c r="K567" s="7"/>
      <c r="R567" s="7"/>
      <c r="S567" s="7"/>
      <c r="T567" s="7"/>
      <c r="U567" s="7"/>
      <c r="V567" s="7"/>
      <c r="AA567"/>
      <c r="AE567"/>
    </row>
    <row r="568" spans="10:31" x14ac:dyDescent="0.3">
      <c r="J568" s="20"/>
      <c r="K568" s="7"/>
      <c r="R568" s="7"/>
      <c r="S568" s="7"/>
      <c r="T568" s="7"/>
      <c r="U568" s="7"/>
      <c r="V568" s="7"/>
      <c r="AA568"/>
      <c r="AE568"/>
    </row>
    <row r="569" spans="10:31" x14ac:dyDescent="0.3">
      <c r="J569" s="20"/>
      <c r="K569" s="7"/>
      <c r="R569" s="7"/>
      <c r="S569" s="7"/>
      <c r="T569" s="7"/>
      <c r="U569" s="7"/>
      <c r="V569" s="7"/>
      <c r="AA569"/>
      <c r="AE569"/>
    </row>
    <row r="570" spans="10:31" x14ac:dyDescent="0.3">
      <c r="J570" s="20"/>
      <c r="K570" s="7"/>
      <c r="R570" s="7"/>
      <c r="S570" s="7"/>
      <c r="T570" s="7"/>
      <c r="U570" s="7"/>
      <c r="V570" s="7"/>
      <c r="AA570"/>
      <c r="AE570"/>
    </row>
    <row r="571" spans="10:31" x14ac:dyDescent="0.3">
      <c r="J571" s="20"/>
      <c r="K571" s="7"/>
      <c r="R571" s="7"/>
      <c r="S571" s="7"/>
      <c r="T571" s="7"/>
      <c r="U571" s="7"/>
      <c r="V571" s="7"/>
      <c r="AA571"/>
      <c r="AE571"/>
    </row>
    <row r="572" spans="10:31" x14ac:dyDescent="0.3">
      <c r="J572" s="20"/>
      <c r="K572" s="7"/>
      <c r="R572" s="7"/>
      <c r="S572" s="7"/>
      <c r="T572" s="7"/>
      <c r="U572" s="7"/>
      <c r="V572" s="7"/>
      <c r="AA572"/>
      <c r="AE572"/>
    </row>
    <row r="573" spans="10:31" x14ac:dyDescent="0.3">
      <c r="J573" s="20"/>
      <c r="K573" s="7"/>
      <c r="R573" s="7"/>
      <c r="S573" s="7"/>
      <c r="T573" s="7"/>
      <c r="U573" s="7"/>
      <c r="V573" s="7"/>
      <c r="AA573"/>
      <c r="AE573"/>
    </row>
    <row r="574" spans="10:31" x14ac:dyDescent="0.3">
      <c r="J574" s="20"/>
      <c r="K574" s="7"/>
      <c r="R574" s="7"/>
      <c r="S574" s="7"/>
      <c r="T574" s="7"/>
      <c r="U574" s="7"/>
      <c r="V574" s="7"/>
      <c r="AA574"/>
      <c r="AE574"/>
    </row>
    <row r="575" spans="10:31" x14ac:dyDescent="0.3">
      <c r="J575" s="20"/>
      <c r="K575" s="7"/>
      <c r="R575" s="7"/>
      <c r="S575" s="7"/>
      <c r="T575" s="7"/>
      <c r="U575" s="7"/>
      <c r="V575" s="7"/>
      <c r="AA575"/>
      <c r="AE575"/>
    </row>
    <row r="576" spans="10:31" x14ac:dyDescent="0.3">
      <c r="J576" s="20"/>
      <c r="K576" s="7"/>
      <c r="R576" s="7"/>
      <c r="S576" s="7"/>
      <c r="T576" s="7"/>
      <c r="U576" s="7"/>
      <c r="V576" s="7"/>
      <c r="AA576"/>
      <c r="AE576"/>
    </row>
    <row r="577" spans="10:31" x14ac:dyDescent="0.3">
      <c r="J577" s="20"/>
      <c r="K577" s="7"/>
      <c r="R577" s="7"/>
      <c r="S577" s="7"/>
      <c r="T577" s="7"/>
      <c r="U577" s="7"/>
      <c r="V577" s="7"/>
      <c r="AA577"/>
      <c r="AE577"/>
    </row>
    <row r="578" spans="10:31" x14ac:dyDescent="0.3">
      <c r="J578" s="20"/>
      <c r="K578" s="7"/>
      <c r="R578" s="7"/>
      <c r="S578" s="7"/>
      <c r="T578" s="7"/>
      <c r="U578" s="7"/>
      <c r="V578" s="7"/>
      <c r="AA578"/>
      <c r="AE578"/>
    </row>
    <row r="579" spans="10:31" x14ac:dyDescent="0.3">
      <c r="J579" s="20"/>
      <c r="K579" s="7"/>
      <c r="R579" s="7"/>
      <c r="S579" s="7"/>
      <c r="T579" s="7"/>
      <c r="U579" s="7"/>
      <c r="V579" s="7"/>
      <c r="AA579"/>
      <c r="AE579"/>
    </row>
    <row r="580" spans="10:31" x14ac:dyDescent="0.3">
      <c r="J580" s="20"/>
      <c r="K580" s="7"/>
      <c r="R580" s="7"/>
      <c r="S580" s="7"/>
      <c r="T580" s="7"/>
      <c r="U580" s="7"/>
      <c r="V580" s="7"/>
      <c r="AA580"/>
      <c r="AE580"/>
    </row>
    <row r="581" spans="10:31" x14ac:dyDescent="0.3">
      <c r="J581" s="20"/>
      <c r="K581" s="7"/>
      <c r="R581" s="7"/>
      <c r="S581" s="7"/>
      <c r="T581" s="7"/>
      <c r="U581" s="7"/>
      <c r="V581" s="7"/>
      <c r="AA581"/>
      <c r="AE581"/>
    </row>
    <row r="582" spans="10:31" x14ac:dyDescent="0.3">
      <c r="J582" s="20"/>
      <c r="K582" s="7"/>
      <c r="R582" s="7"/>
      <c r="S582" s="7"/>
      <c r="T582" s="7"/>
      <c r="U582" s="7"/>
      <c r="V582" s="7"/>
      <c r="AA582"/>
      <c r="AE582"/>
    </row>
    <row r="583" spans="10:31" x14ac:dyDescent="0.3">
      <c r="J583" s="20"/>
      <c r="K583" s="7"/>
      <c r="R583" s="7"/>
      <c r="S583" s="7"/>
      <c r="T583" s="7"/>
      <c r="U583" s="7"/>
      <c r="V583" s="7"/>
      <c r="AA583"/>
      <c r="AE583"/>
    </row>
    <row r="584" spans="10:31" x14ac:dyDescent="0.3">
      <c r="J584" s="20"/>
      <c r="K584" s="7"/>
      <c r="R584" s="7"/>
      <c r="S584" s="7"/>
      <c r="T584" s="7"/>
      <c r="U584" s="7"/>
      <c r="V584" s="7"/>
      <c r="AA584"/>
      <c r="AE584"/>
    </row>
    <row r="585" spans="10:31" x14ac:dyDescent="0.3">
      <c r="J585" s="20"/>
      <c r="K585" s="7"/>
      <c r="R585" s="7"/>
      <c r="S585" s="7"/>
      <c r="T585" s="7"/>
      <c r="U585" s="7"/>
      <c r="V585" s="7"/>
      <c r="AA585"/>
      <c r="AE585"/>
    </row>
    <row r="586" spans="10:31" x14ac:dyDescent="0.3">
      <c r="J586" s="20"/>
      <c r="K586" s="7"/>
      <c r="R586" s="7"/>
      <c r="S586" s="7"/>
      <c r="T586" s="7"/>
      <c r="U586" s="7"/>
      <c r="V586" s="7"/>
      <c r="AA586"/>
      <c r="AE586"/>
    </row>
    <row r="587" spans="10:31" x14ac:dyDescent="0.3">
      <c r="J587" s="20"/>
      <c r="K587" s="7"/>
      <c r="R587" s="7"/>
      <c r="S587" s="7"/>
      <c r="T587" s="7"/>
      <c r="U587" s="7"/>
      <c r="V587" s="7"/>
      <c r="AA587"/>
      <c r="AE587"/>
    </row>
    <row r="588" spans="10:31" x14ac:dyDescent="0.3">
      <c r="J588" s="20"/>
      <c r="K588" s="7"/>
      <c r="R588" s="7"/>
      <c r="S588" s="7"/>
      <c r="T588" s="7"/>
      <c r="U588" s="7"/>
      <c r="V588" s="7"/>
      <c r="AA588"/>
      <c r="AE588"/>
    </row>
    <row r="589" spans="10:31" x14ac:dyDescent="0.3">
      <c r="J589" s="20"/>
      <c r="K589" s="7"/>
      <c r="R589" s="7"/>
      <c r="S589" s="7"/>
      <c r="T589" s="7"/>
      <c r="U589" s="7"/>
      <c r="V589" s="7"/>
      <c r="AA589"/>
      <c r="AE589"/>
    </row>
    <row r="590" spans="10:31" x14ac:dyDescent="0.3">
      <c r="J590" s="20"/>
      <c r="K590" s="7"/>
      <c r="R590" s="7"/>
      <c r="S590" s="7"/>
      <c r="T590" s="7"/>
      <c r="U590" s="7"/>
      <c r="V590" s="7"/>
      <c r="AA590"/>
      <c r="AE590"/>
    </row>
    <row r="591" spans="10:31" x14ac:dyDescent="0.3">
      <c r="J591" s="20"/>
      <c r="K591" s="7"/>
      <c r="R591" s="7"/>
      <c r="S591" s="7"/>
      <c r="T591" s="7"/>
      <c r="U591" s="7"/>
      <c r="V591" s="7"/>
      <c r="AA591"/>
      <c r="AE591"/>
    </row>
    <row r="592" spans="10:31" x14ac:dyDescent="0.3">
      <c r="J592" s="20"/>
      <c r="K592" s="7"/>
      <c r="R592" s="7"/>
      <c r="S592" s="7"/>
      <c r="T592" s="7"/>
      <c r="U592" s="7"/>
      <c r="V592" s="7"/>
      <c r="AA592"/>
      <c r="AE592"/>
    </row>
    <row r="593" spans="10:31" x14ac:dyDescent="0.3">
      <c r="J593" s="20"/>
      <c r="K593" s="7"/>
      <c r="R593" s="7"/>
      <c r="S593" s="7"/>
      <c r="T593" s="7"/>
      <c r="U593" s="7"/>
      <c r="V593" s="7"/>
      <c r="AA593"/>
      <c r="AE593"/>
    </row>
    <row r="594" spans="10:31" x14ac:dyDescent="0.3">
      <c r="J594" s="20"/>
      <c r="K594" s="7"/>
      <c r="R594" s="7"/>
      <c r="S594" s="7"/>
      <c r="T594" s="7"/>
      <c r="U594" s="7"/>
      <c r="V594" s="7"/>
      <c r="AA594"/>
      <c r="AE594"/>
    </row>
    <row r="595" spans="10:31" x14ac:dyDescent="0.3">
      <c r="J595" s="20"/>
      <c r="K595" s="7"/>
      <c r="R595" s="7"/>
      <c r="S595" s="7"/>
      <c r="T595" s="7"/>
      <c r="U595" s="7"/>
      <c r="V595" s="7"/>
      <c r="AA595"/>
      <c r="AE595"/>
    </row>
    <row r="596" spans="10:31" x14ac:dyDescent="0.3">
      <c r="J596" s="20"/>
      <c r="K596" s="7"/>
      <c r="R596" s="7"/>
      <c r="S596" s="7"/>
      <c r="T596" s="7"/>
      <c r="U596" s="7"/>
      <c r="V596" s="7"/>
      <c r="AA596"/>
      <c r="AE596"/>
    </row>
    <row r="597" spans="10:31" x14ac:dyDescent="0.3">
      <c r="J597" s="20"/>
      <c r="K597" s="7"/>
      <c r="R597" s="7"/>
      <c r="S597" s="7"/>
      <c r="T597" s="7"/>
      <c r="U597" s="7"/>
      <c r="V597" s="7"/>
      <c r="AA597"/>
      <c r="AE597"/>
    </row>
    <row r="598" spans="10:31" x14ac:dyDescent="0.3">
      <c r="J598" s="20"/>
      <c r="K598" s="7"/>
      <c r="R598" s="7"/>
      <c r="S598" s="7"/>
      <c r="T598" s="7"/>
      <c r="U598" s="7"/>
      <c r="V598" s="7"/>
      <c r="AA598"/>
      <c r="AE598"/>
    </row>
    <row r="599" spans="10:31" x14ac:dyDescent="0.3">
      <c r="J599" s="20"/>
      <c r="K599" s="7"/>
      <c r="R599" s="7"/>
      <c r="S599" s="7"/>
      <c r="T599" s="7"/>
      <c r="U599" s="7"/>
      <c r="V599" s="7"/>
      <c r="AA599"/>
      <c r="AE599"/>
    </row>
    <row r="600" spans="10:31" x14ac:dyDescent="0.3">
      <c r="J600" s="20"/>
      <c r="K600" s="7"/>
      <c r="R600" s="7"/>
      <c r="S600" s="7"/>
      <c r="T600" s="7"/>
      <c r="U600" s="7"/>
      <c r="V600" s="7"/>
      <c r="AA600"/>
      <c r="AE600"/>
    </row>
    <row r="601" spans="10:31" x14ac:dyDescent="0.3">
      <c r="J601" s="20"/>
      <c r="K601" s="7"/>
      <c r="R601" s="7"/>
      <c r="S601" s="7"/>
      <c r="T601" s="7"/>
      <c r="U601" s="7"/>
      <c r="V601" s="7"/>
      <c r="AA601"/>
      <c r="AE601"/>
    </row>
    <row r="602" spans="10:31" x14ac:dyDescent="0.3">
      <c r="J602" s="20"/>
      <c r="K602" s="7"/>
      <c r="R602" s="7"/>
      <c r="S602" s="7"/>
      <c r="T602" s="7"/>
      <c r="U602" s="7"/>
      <c r="V602" s="7"/>
      <c r="AA602"/>
      <c r="AE602"/>
    </row>
    <row r="603" spans="10:31" x14ac:dyDescent="0.3">
      <c r="J603" s="20"/>
      <c r="K603" s="7"/>
      <c r="R603" s="7"/>
      <c r="S603" s="7"/>
      <c r="T603" s="7"/>
      <c r="U603" s="7"/>
      <c r="V603" s="7"/>
      <c r="AA603"/>
      <c r="AE603"/>
    </row>
    <row r="604" spans="10:31" x14ac:dyDescent="0.3">
      <c r="J604" s="20"/>
      <c r="K604" s="7"/>
      <c r="R604" s="7"/>
      <c r="S604" s="7"/>
      <c r="T604" s="7"/>
      <c r="U604" s="7"/>
      <c r="V604" s="7"/>
      <c r="AA604"/>
      <c r="AE604"/>
    </row>
    <row r="605" spans="10:31" x14ac:dyDescent="0.3">
      <c r="J605" s="20"/>
      <c r="K605" s="7"/>
      <c r="R605" s="7"/>
      <c r="S605" s="7"/>
      <c r="T605" s="7"/>
      <c r="U605" s="7"/>
      <c r="V605" s="7"/>
      <c r="AA605"/>
      <c r="AE605"/>
    </row>
    <row r="606" spans="10:31" x14ac:dyDescent="0.3">
      <c r="J606" s="20"/>
      <c r="K606" s="7"/>
      <c r="R606" s="7"/>
      <c r="S606" s="7"/>
      <c r="T606" s="7"/>
      <c r="U606" s="7"/>
      <c r="V606" s="7"/>
      <c r="AA606"/>
      <c r="AE606"/>
    </row>
    <row r="607" spans="10:31" x14ac:dyDescent="0.3">
      <c r="J607" s="20"/>
      <c r="K607" s="7"/>
      <c r="R607" s="7"/>
      <c r="S607" s="7"/>
      <c r="T607" s="7"/>
      <c r="U607" s="7"/>
      <c r="V607" s="7"/>
      <c r="AA607"/>
      <c r="AE607"/>
    </row>
    <row r="608" spans="10:31" x14ac:dyDescent="0.3">
      <c r="J608" s="20"/>
      <c r="K608" s="7"/>
      <c r="R608" s="7"/>
      <c r="S608" s="7"/>
      <c r="T608" s="7"/>
      <c r="U608" s="7"/>
      <c r="V608" s="7"/>
      <c r="AA608"/>
      <c r="AE608"/>
    </row>
    <row r="609" spans="10:31" x14ac:dyDescent="0.3">
      <c r="J609" s="20"/>
      <c r="K609" s="7"/>
      <c r="R609" s="7"/>
      <c r="S609" s="7"/>
      <c r="T609" s="7"/>
      <c r="U609" s="7"/>
      <c r="V609" s="7"/>
      <c r="AA609"/>
      <c r="AE609"/>
    </row>
    <row r="610" spans="10:31" x14ac:dyDescent="0.3">
      <c r="J610" s="20"/>
      <c r="K610" s="7"/>
      <c r="R610" s="7"/>
      <c r="S610" s="7"/>
      <c r="T610" s="7"/>
      <c r="U610" s="7"/>
      <c r="V610" s="7"/>
      <c r="AA610"/>
      <c r="AE610"/>
    </row>
    <row r="611" spans="10:31" x14ac:dyDescent="0.3">
      <c r="J611" s="20"/>
      <c r="K611" s="7"/>
      <c r="R611" s="7"/>
      <c r="S611" s="7"/>
      <c r="T611" s="7"/>
      <c r="U611" s="7"/>
      <c r="V611" s="7"/>
      <c r="AA611"/>
      <c r="AE611"/>
    </row>
    <row r="612" spans="10:31" x14ac:dyDescent="0.3">
      <c r="J612" s="20"/>
      <c r="K612" s="7"/>
      <c r="R612" s="7"/>
      <c r="S612" s="7"/>
      <c r="T612" s="7"/>
      <c r="U612" s="7"/>
      <c r="V612" s="7"/>
      <c r="AA612"/>
      <c r="AE612"/>
    </row>
    <row r="613" spans="10:31" x14ac:dyDescent="0.3">
      <c r="J613" s="20"/>
      <c r="K613" s="7"/>
      <c r="R613" s="7"/>
      <c r="S613" s="7"/>
      <c r="T613" s="7"/>
      <c r="U613" s="7"/>
      <c r="V613" s="7"/>
      <c r="AA613"/>
      <c r="AE613"/>
    </row>
    <row r="614" spans="10:31" x14ac:dyDescent="0.3">
      <c r="J614" s="20"/>
      <c r="K614" s="7"/>
      <c r="R614" s="7"/>
      <c r="S614" s="7"/>
      <c r="T614" s="7"/>
      <c r="U614" s="7"/>
      <c r="V614" s="7"/>
      <c r="AA614"/>
      <c r="AE614"/>
    </row>
    <row r="615" spans="10:31" x14ac:dyDescent="0.3">
      <c r="J615" s="20"/>
      <c r="K615" s="7"/>
      <c r="R615" s="7"/>
      <c r="S615" s="7"/>
      <c r="T615" s="7"/>
      <c r="U615" s="7"/>
      <c r="V615" s="7"/>
      <c r="AA615"/>
      <c r="AE615"/>
    </row>
    <row r="616" spans="10:31" x14ac:dyDescent="0.3">
      <c r="J616" s="20"/>
      <c r="K616" s="7"/>
      <c r="R616" s="7"/>
      <c r="S616" s="7"/>
      <c r="T616" s="7"/>
      <c r="U616" s="7"/>
      <c r="V616" s="7"/>
      <c r="AA616"/>
      <c r="AE616"/>
    </row>
    <row r="617" spans="10:31" x14ac:dyDescent="0.3">
      <c r="J617" s="20"/>
      <c r="K617" s="7"/>
      <c r="R617" s="7"/>
      <c r="S617" s="7"/>
      <c r="T617" s="7"/>
      <c r="U617" s="7"/>
      <c r="V617" s="7"/>
      <c r="AA617"/>
      <c r="AE617"/>
    </row>
    <row r="618" spans="10:31" x14ac:dyDescent="0.3">
      <c r="J618" s="20"/>
      <c r="K618" s="7"/>
      <c r="R618" s="7"/>
      <c r="S618" s="7"/>
      <c r="T618" s="7"/>
      <c r="U618" s="7"/>
      <c r="V618" s="7"/>
      <c r="AA618"/>
      <c r="AE618"/>
    </row>
    <row r="619" spans="10:31" x14ac:dyDescent="0.3">
      <c r="J619" s="20"/>
      <c r="K619" s="7"/>
      <c r="R619" s="7"/>
      <c r="S619" s="7"/>
      <c r="T619" s="7"/>
      <c r="U619" s="7"/>
      <c r="V619" s="7"/>
      <c r="AA619"/>
      <c r="AE619"/>
    </row>
    <row r="620" spans="10:31" x14ac:dyDescent="0.3">
      <c r="J620" s="20"/>
      <c r="K620" s="7"/>
      <c r="R620" s="7"/>
      <c r="S620" s="7"/>
      <c r="T620" s="7"/>
      <c r="U620" s="7"/>
      <c r="V620" s="7"/>
      <c r="AA620"/>
      <c r="AE620"/>
    </row>
    <row r="621" spans="10:31" x14ac:dyDescent="0.3">
      <c r="J621" s="20"/>
      <c r="K621" s="7"/>
      <c r="R621" s="7"/>
      <c r="S621" s="7"/>
      <c r="T621" s="7"/>
      <c r="U621" s="7"/>
      <c r="V621" s="7"/>
      <c r="AA621"/>
      <c r="AE621"/>
    </row>
    <row r="622" spans="10:31" x14ac:dyDescent="0.3">
      <c r="J622" s="20"/>
      <c r="K622" s="7"/>
      <c r="R622" s="7"/>
      <c r="S622" s="7"/>
      <c r="T622" s="7"/>
      <c r="U622" s="7"/>
      <c r="V622" s="7"/>
      <c r="AA622"/>
      <c r="AE622"/>
    </row>
    <row r="623" spans="10:31" x14ac:dyDescent="0.3">
      <c r="J623" s="20"/>
      <c r="K623" s="7"/>
      <c r="R623" s="7"/>
      <c r="S623" s="7"/>
      <c r="T623" s="7"/>
      <c r="U623" s="7"/>
      <c r="V623" s="7"/>
      <c r="AA623"/>
      <c r="AE623"/>
    </row>
    <row r="624" spans="10:31" x14ac:dyDescent="0.3">
      <c r="J624" s="20"/>
      <c r="K624" s="7"/>
      <c r="R624" s="7"/>
      <c r="S624" s="7"/>
      <c r="T624" s="7"/>
      <c r="U624" s="7"/>
      <c r="V624" s="7"/>
      <c r="AA624"/>
      <c r="AE624"/>
    </row>
    <row r="625" spans="10:31" x14ac:dyDescent="0.3">
      <c r="J625" s="20"/>
      <c r="K625" s="7"/>
      <c r="R625" s="7"/>
      <c r="S625" s="7"/>
      <c r="T625" s="7"/>
      <c r="U625" s="7"/>
      <c r="V625" s="7"/>
      <c r="AA625"/>
      <c r="AE625"/>
    </row>
    <row r="626" spans="10:31" x14ac:dyDescent="0.3">
      <c r="J626" s="20"/>
      <c r="K626" s="7"/>
      <c r="R626" s="7"/>
      <c r="S626" s="7"/>
      <c r="T626" s="7"/>
      <c r="U626" s="7"/>
      <c r="V626" s="7"/>
      <c r="AA626"/>
      <c r="AE626"/>
    </row>
    <row r="627" spans="10:31" x14ac:dyDescent="0.3">
      <c r="J627" s="20"/>
      <c r="K627" s="7"/>
      <c r="R627" s="7"/>
      <c r="S627" s="7"/>
      <c r="T627" s="7"/>
      <c r="U627" s="7"/>
      <c r="V627" s="7"/>
      <c r="AA627"/>
      <c r="AE627"/>
    </row>
    <row r="628" spans="10:31" x14ac:dyDescent="0.3">
      <c r="J628" s="20"/>
      <c r="K628" s="7"/>
      <c r="R628" s="7"/>
      <c r="S628" s="7"/>
      <c r="T628" s="7"/>
      <c r="U628" s="7"/>
      <c r="V628" s="7"/>
      <c r="AA628"/>
      <c r="AE628"/>
    </row>
    <row r="629" spans="10:31" x14ac:dyDescent="0.3">
      <c r="J629" s="20"/>
      <c r="K629" s="7"/>
      <c r="R629" s="7"/>
      <c r="S629" s="7"/>
      <c r="T629" s="7"/>
      <c r="U629" s="7"/>
      <c r="V629" s="7"/>
      <c r="AA629"/>
      <c r="AE629"/>
    </row>
    <row r="630" spans="10:31" x14ac:dyDescent="0.3">
      <c r="J630" s="20"/>
      <c r="K630" s="7"/>
      <c r="R630" s="7"/>
      <c r="S630" s="7"/>
      <c r="T630" s="7"/>
      <c r="U630" s="7"/>
      <c r="V630" s="7"/>
      <c r="AA630"/>
      <c r="AE630"/>
    </row>
    <row r="631" spans="10:31" x14ac:dyDescent="0.3">
      <c r="J631" s="20"/>
      <c r="K631" s="7"/>
      <c r="R631" s="7"/>
      <c r="S631" s="7"/>
      <c r="T631" s="7"/>
      <c r="U631" s="7"/>
      <c r="V631" s="7"/>
      <c r="AA631"/>
      <c r="AE631"/>
    </row>
    <row r="632" spans="10:31" x14ac:dyDescent="0.3">
      <c r="J632" s="20"/>
      <c r="K632" s="7"/>
      <c r="R632" s="7"/>
      <c r="S632" s="7"/>
      <c r="T632" s="7"/>
      <c r="U632" s="7"/>
      <c r="V632" s="7"/>
      <c r="AA632"/>
      <c r="AE632"/>
    </row>
    <row r="633" spans="10:31" x14ac:dyDescent="0.3">
      <c r="J633" s="20"/>
      <c r="K633" s="7"/>
      <c r="R633" s="7"/>
      <c r="S633" s="7"/>
      <c r="T633" s="7"/>
      <c r="U633" s="7"/>
      <c r="V633" s="7"/>
      <c r="AA633"/>
      <c r="AE633"/>
    </row>
    <row r="634" spans="10:31" x14ac:dyDescent="0.3">
      <c r="J634" s="20"/>
      <c r="K634" s="7"/>
      <c r="R634" s="7"/>
      <c r="S634" s="7"/>
      <c r="T634" s="7"/>
      <c r="U634" s="7"/>
      <c r="V634" s="7"/>
      <c r="AA634"/>
      <c r="AE634"/>
    </row>
    <row r="635" spans="10:31" x14ac:dyDescent="0.3">
      <c r="J635" s="20"/>
      <c r="K635" s="7"/>
      <c r="R635" s="7"/>
      <c r="S635" s="7"/>
      <c r="T635" s="7"/>
      <c r="U635" s="7"/>
      <c r="V635" s="7"/>
      <c r="AA635"/>
      <c r="AE635"/>
    </row>
    <row r="636" spans="10:31" x14ac:dyDescent="0.3">
      <c r="J636" s="20"/>
      <c r="K636" s="7"/>
      <c r="R636" s="7"/>
      <c r="S636" s="7"/>
      <c r="T636" s="7"/>
      <c r="U636" s="7"/>
      <c r="V636" s="7"/>
      <c r="AA636"/>
      <c r="AE636"/>
    </row>
    <row r="637" spans="10:31" x14ac:dyDescent="0.3">
      <c r="J637" s="20"/>
      <c r="K637" s="7"/>
      <c r="R637" s="7"/>
      <c r="S637" s="7"/>
      <c r="T637" s="7"/>
      <c r="U637" s="7"/>
      <c r="V637" s="7"/>
      <c r="AA637"/>
      <c r="AE637"/>
    </row>
    <row r="638" spans="10:31" x14ac:dyDescent="0.3">
      <c r="J638" s="20"/>
      <c r="K638" s="7"/>
      <c r="R638" s="7"/>
      <c r="S638" s="7"/>
      <c r="T638" s="7"/>
      <c r="U638" s="7"/>
      <c r="V638" s="7"/>
      <c r="AA638"/>
      <c r="AE638"/>
    </row>
    <row r="639" spans="10:31" x14ac:dyDescent="0.3">
      <c r="J639" s="20"/>
      <c r="K639" s="7"/>
      <c r="R639" s="7"/>
      <c r="S639" s="7"/>
      <c r="T639" s="7"/>
      <c r="U639" s="7"/>
      <c r="V639" s="7"/>
      <c r="AA639"/>
      <c r="AE639"/>
    </row>
    <row r="640" spans="10:31" x14ac:dyDescent="0.3">
      <c r="J640" s="20"/>
      <c r="K640" s="7"/>
      <c r="R640" s="7"/>
      <c r="S640" s="7"/>
      <c r="T640" s="7"/>
      <c r="U640" s="7"/>
      <c r="V640" s="7"/>
      <c r="AA640"/>
      <c r="AE640"/>
    </row>
    <row r="641" spans="10:31" x14ac:dyDescent="0.3">
      <c r="J641" s="20"/>
      <c r="K641" s="7"/>
      <c r="R641" s="7"/>
      <c r="S641" s="7"/>
      <c r="T641" s="7"/>
      <c r="U641" s="7"/>
      <c r="V641" s="7"/>
      <c r="AA641"/>
      <c r="AE641"/>
    </row>
    <row r="642" spans="10:31" x14ac:dyDescent="0.3">
      <c r="J642" s="20"/>
      <c r="K642" s="7"/>
      <c r="R642" s="7"/>
      <c r="S642" s="7"/>
      <c r="T642" s="7"/>
      <c r="U642" s="7"/>
      <c r="V642" s="7"/>
      <c r="AA642"/>
      <c r="AE642"/>
    </row>
    <row r="643" spans="10:31" x14ac:dyDescent="0.3">
      <c r="J643" s="20"/>
      <c r="K643" s="7"/>
      <c r="R643" s="7"/>
      <c r="S643" s="7"/>
      <c r="T643" s="7"/>
      <c r="U643" s="7"/>
      <c r="V643" s="7"/>
      <c r="AA643"/>
      <c r="AE643"/>
    </row>
    <row r="644" spans="10:31" x14ac:dyDescent="0.3">
      <c r="J644" s="20"/>
      <c r="K644" s="7"/>
      <c r="R644" s="7"/>
      <c r="S644" s="7"/>
      <c r="T644" s="7"/>
      <c r="U644" s="7"/>
      <c r="V644" s="7"/>
      <c r="AA644"/>
      <c r="AE644"/>
    </row>
    <row r="645" spans="10:31" x14ac:dyDescent="0.3">
      <c r="J645" s="20"/>
      <c r="K645" s="7"/>
      <c r="R645" s="7"/>
      <c r="S645" s="7"/>
      <c r="T645" s="7"/>
      <c r="U645" s="7"/>
      <c r="V645" s="7"/>
      <c r="AA645"/>
      <c r="AE645"/>
    </row>
    <row r="646" spans="10:31" x14ac:dyDescent="0.3">
      <c r="J646" s="20"/>
      <c r="K646" s="7"/>
      <c r="R646" s="7"/>
      <c r="S646" s="7"/>
      <c r="T646" s="7"/>
      <c r="U646" s="7"/>
      <c r="V646" s="7"/>
      <c r="AA646"/>
      <c r="AE646"/>
    </row>
    <row r="647" spans="10:31" x14ac:dyDescent="0.3">
      <c r="J647" s="20"/>
      <c r="K647" s="7"/>
      <c r="R647" s="7"/>
      <c r="S647" s="7"/>
      <c r="T647" s="7"/>
      <c r="U647" s="7"/>
      <c r="V647" s="7"/>
      <c r="AA647"/>
      <c r="AE647"/>
    </row>
    <row r="648" spans="10:31" x14ac:dyDescent="0.3">
      <c r="J648" s="20"/>
      <c r="K648" s="7"/>
      <c r="R648" s="7"/>
      <c r="S648" s="7"/>
      <c r="T648" s="7"/>
      <c r="U648" s="7"/>
      <c r="V648" s="7"/>
      <c r="AA648"/>
      <c r="AE648"/>
    </row>
    <row r="649" spans="10:31" x14ac:dyDescent="0.3">
      <c r="J649" s="20"/>
      <c r="K649" s="7"/>
      <c r="R649" s="7"/>
      <c r="S649" s="7"/>
      <c r="T649" s="7"/>
      <c r="U649" s="7"/>
      <c r="V649" s="7"/>
      <c r="AA649"/>
      <c r="AE649"/>
    </row>
    <row r="650" spans="10:31" x14ac:dyDescent="0.3">
      <c r="J650" s="20"/>
      <c r="K650" s="7"/>
      <c r="R650" s="7"/>
      <c r="S650" s="7"/>
      <c r="T650" s="7"/>
      <c r="U650" s="7"/>
      <c r="V650" s="7"/>
      <c r="AA650"/>
      <c r="AE650"/>
    </row>
    <row r="651" spans="10:31" x14ac:dyDescent="0.3">
      <c r="J651" s="20"/>
      <c r="K651" s="7"/>
      <c r="R651" s="7"/>
      <c r="S651" s="7"/>
      <c r="T651" s="7"/>
      <c r="U651" s="7"/>
      <c r="V651" s="7"/>
      <c r="AA651"/>
      <c r="AE651"/>
    </row>
    <row r="652" spans="10:31" x14ac:dyDescent="0.3">
      <c r="J652" s="20"/>
      <c r="K652" s="7"/>
      <c r="R652" s="7"/>
      <c r="S652" s="7"/>
      <c r="T652" s="7"/>
      <c r="U652" s="7"/>
      <c r="V652" s="7"/>
      <c r="AA652"/>
      <c r="AE652"/>
    </row>
    <row r="653" spans="10:31" x14ac:dyDescent="0.3">
      <c r="J653" s="20"/>
      <c r="K653" s="7"/>
      <c r="R653" s="7"/>
      <c r="S653" s="7"/>
      <c r="T653" s="7"/>
      <c r="U653" s="7"/>
      <c r="V653" s="7"/>
      <c r="AA653"/>
      <c r="AE653"/>
    </row>
    <row r="654" spans="10:31" x14ac:dyDescent="0.3">
      <c r="J654" s="20"/>
      <c r="K654" s="7"/>
      <c r="R654" s="7"/>
      <c r="S654" s="7"/>
      <c r="T654" s="7"/>
      <c r="U654" s="7"/>
      <c r="V654" s="7"/>
      <c r="AA654"/>
      <c r="AE654"/>
    </row>
    <row r="655" spans="10:31" x14ac:dyDescent="0.3">
      <c r="J655" s="20"/>
      <c r="K655" s="7"/>
      <c r="R655" s="7"/>
      <c r="S655" s="7"/>
      <c r="T655" s="7"/>
      <c r="U655" s="7"/>
      <c r="V655" s="7"/>
      <c r="AA655"/>
      <c r="AE655"/>
    </row>
    <row r="656" spans="10:31" x14ac:dyDescent="0.3">
      <c r="J656" s="20"/>
      <c r="K656" s="7"/>
      <c r="R656" s="7"/>
      <c r="S656" s="7"/>
      <c r="T656" s="7"/>
      <c r="U656" s="7"/>
      <c r="V656" s="7"/>
      <c r="AA656"/>
      <c r="AE656"/>
    </row>
    <row r="657" spans="10:31" x14ac:dyDescent="0.3">
      <c r="J657" s="20"/>
      <c r="K657" s="7"/>
      <c r="R657" s="7"/>
      <c r="S657" s="7"/>
      <c r="T657" s="7"/>
      <c r="U657" s="7"/>
      <c r="V657" s="7"/>
      <c r="AA657"/>
      <c r="AE657"/>
    </row>
    <row r="658" spans="10:31" x14ac:dyDescent="0.3">
      <c r="J658" s="20"/>
      <c r="K658" s="7"/>
      <c r="R658" s="7"/>
      <c r="S658" s="7"/>
      <c r="T658" s="7"/>
      <c r="U658" s="7"/>
      <c r="V658" s="7"/>
      <c r="AA658"/>
      <c r="AE658"/>
    </row>
    <row r="659" spans="10:31" x14ac:dyDescent="0.3">
      <c r="J659" s="20"/>
      <c r="K659" s="7"/>
      <c r="R659" s="7"/>
      <c r="S659" s="7"/>
      <c r="T659" s="7"/>
      <c r="U659" s="7"/>
      <c r="V659" s="7"/>
      <c r="AA659"/>
      <c r="AE659"/>
    </row>
    <row r="660" spans="10:31" x14ac:dyDescent="0.3">
      <c r="J660" s="20"/>
      <c r="K660" s="7"/>
      <c r="R660" s="7"/>
      <c r="S660" s="7"/>
      <c r="T660" s="7"/>
      <c r="U660" s="7"/>
      <c r="V660" s="7"/>
      <c r="AA660"/>
      <c r="AE660"/>
    </row>
    <row r="661" spans="10:31" x14ac:dyDescent="0.3">
      <c r="J661" s="20"/>
      <c r="K661" s="7"/>
      <c r="R661" s="7"/>
      <c r="S661" s="7"/>
      <c r="T661" s="7"/>
      <c r="U661" s="7"/>
      <c r="V661" s="7"/>
      <c r="AA661"/>
      <c r="AE661"/>
    </row>
    <row r="662" spans="10:31" x14ac:dyDescent="0.3">
      <c r="J662" s="20"/>
      <c r="K662" s="7"/>
      <c r="R662" s="7"/>
      <c r="S662" s="7"/>
      <c r="T662" s="7"/>
      <c r="U662" s="7"/>
      <c r="V662" s="7"/>
      <c r="AA662"/>
      <c r="AE662"/>
    </row>
    <row r="663" spans="10:31" x14ac:dyDescent="0.3">
      <c r="J663" s="20"/>
      <c r="K663" s="7"/>
      <c r="R663" s="7"/>
      <c r="S663" s="7"/>
      <c r="T663" s="7"/>
      <c r="U663" s="7"/>
      <c r="V663" s="7"/>
      <c r="AA663"/>
      <c r="AE663"/>
    </row>
    <row r="664" spans="10:31" x14ac:dyDescent="0.3">
      <c r="J664" s="20"/>
      <c r="K664" s="7"/>
      <c r="R664" s="7"/>
      <c r="S664" s="7"/>
      <c r="T664" s="7"/>
      <c r="U664" s="7"/>
      <c r="V664" s="7"/>
      <c r="AA664"/>
      <c r="AE664"/>
    </row>
    <row r="665" spans="10:31" x14ac:dyDescent="0.3">
      <c r="J665" s="20"/>
      <c r="K665" s="7"/>
      <c r="R665" s="7"/>
      <c r="S665" s="7"/>
      <c r="T665" s="7"/>
      <c r="U665" s="7"/>
      <c r="V665" s="7"/>
      <c r="AA665"/>
      <c r="AE665"/>
    </row>
    <row r="666" spans="10:31" x14ac:dyDescent="0.3">
      <c r="J666" s="20"/>
      <c r="K666" s="7"/>
      <c r="R666" s="7"/>
      <c r="S666" s="7"/>
      <c r="T666" s="7"/>
      <c r="U666" s="7"/>
      <c r="V666" s="7"/>
      <c r="AA666"/>
      <c r="AE666"/>
    </row>
    <row r="667" spans="10:31" x14ac:dyDescent="0.3">
      <c r="J667" s="20"/>
      <c r="K667" s="7"/>
      <c r="R667" s="7"/>
      <c r="S667" s="7"/>
      <c r="T667" s="7"/>
      <c r="U667" s="7"/>
      <c r="V667" s="7"/>
      <c r="AA667"/>
      <c r="AE667"/>
    </row>
    <row r="668" spans="10:31" x14ac:dyDescent="0.3">
      <c r="J668" s="20"/>
      <c r="K668" s="7"/>
      <c r="R668" s="7"/>
      <c r="S668" s="7"/>
      <c r="T668" s="7"/>
      <c r="U668" s="7"/>
      <c r="V668" s="7"/>
      <c r="AA668"/>
      <c r="AE668"/>
    </row>
    <row r="669" spans="10:31" x14ac:dyDescent="0.3">
      <c r="J669" s="20"/>
      <c r="K669" s="7"/>
      <c r="R669" s="7"/>
      <c r="S669" s="7"/>
      <c r="T669" s="7"/>
      <c r="U669" s="7"/>
      <c r="V669" s="7"/>
      <c r="AA669"/>
      <c r="AE669"/>
    </row>
    <row r="670" spans="10:31" x14ac:dyDescent="0.3">
      <c r="J670" s="20"/>
      <c r="K670" s="7"/>
      <c r="R670" s="7"/>
      <c r="S670" s="7"/>
      <c r="T670" s="7"/>
      <c r="U670" s="7"/>
      <c r="V670" s="7"/>
      <c r="AA670"/>
      <c r="AE670"/>
    </row>
    <row r="671" spans="10:31" x14ac:dyDescent="0.3">
      <c r="J671" s="20"/>
      <c r="K671" s="7"/>
      <c r="R671" s="7"/>
      <c r="S671" s="7"/>
      <c r="T671" s="7"/>
      <c r="U671" s="7"/>
      <c r="V671" s="7"/>
      <c r="AA671"/>
      <c r="AE671"/>
    </row>
    <row r="672" spans="10:31" x14ac:dyDescent="0.3">
      <c r="J672" s="20"/>
      <c r="K672" s="7"/>
      <c r="R672" s="7"/>
      <c r="S672" s="7"/>
      <c r="T672" s="7"/>
      <c r="U672" s="7"/>
      <c r="V672" s="7"/>
      <c r="AA672"/>
      <c r="AE672"/>
    </row>
    <row r="673" spans="10:31" x14ac:dyDescent="0.3">
      <c r="J673" s="20"/>
      <c r="K673" s="7"/>
      <c r="R673" s="7"/>
      <c r="S673" s="7"/>
      <c r="T673" s="7"/>
      <c r="U673" s="7"/>
      <c r="V673" s="7"/>
      <c r="AA673"/>
      <c r="AE673"/>
    </row>
    <row r="674" spans="10:31" x14ac:dyDescent="0.3">
      <c r="J674" s="20"/>
      <c r="K674" s="7"/>
      <c r="R674" s="7"/>
      <c r="S674" s="7"/>
      <c r="T674" s="7"/>
      <c r="U674" s="7"/>
      <c r="V674" s="7"/>
      <c r="AA674"/>
      <c r="AE674"/>
    </row>
    <row r="675" spans="10:31" x14ac:dyDescent="0.3">
      <c r="J675" s="20"/>
      <c r="K675" s="7"/>
      <c r="R675" s="7"/>
      <c r="S675" s="7"/>
      <c r="T675" s="7"/>
      <c r="U675" s="7"/>
      <c r="V675" s="7"/>
      <c r="AA675"/>
      <c r="AE675"/>
    </row>
    <row r="676" spans="10:31" x14ac:dyDescent="0.3">
      <c r="J676" s="20"/>
      <c r="K676" s="7"/>
      <c r="R676" s="7"/>
      <c r="S676" s="7"/>
      <c r="T676" s="7"/>
      <c r="U676" s="7"/>
      <c r="V676" s="7"/>
      <c r="AA676"/>
      <c r="AE676"/>
    </row>
    <row r="677" spans="10:31" x14ac:dyDescent="0.3">
      <c r="J677" s="20"/>
      <c r="K677" s="7"/>
      <c r="R677" s="7"/>
      <c r="S677" s="7"/>
      <c r="T677" s="7"/>
      <c r="U677" s="7"/>
      <c r="V677" s="7"/>
      <c r="AA677"/>
      <c r="AE677"/>
    </row>
    <row r="678" spans="10:31" x14ac:dyDescent="0.3">
      <c r="J678" s="20"/>
      <c r="K678" s="7"/>
      <c r="R678" s="7"/>
      <c r="S678" s="7"/>
      <c r="T678" s="7"/>
      <c r="U678" s="7"/>
      <c r="V678" s="7"/>
      <c r="AA678"/>
      <c r="AE678"/>
    </row>
    <row r="679" spans="10:31" x14ac:dyDescent="0.3">
      <c r="J679" s="20"/>
      <c r="K679" s="7"/>
      <c r="R679" s="7"/>
      <c r="S679" s="7"/>
      <c r="T679" s="7"/>
      <c r="U679" s="7"/>
      <c r="V679" s="7"/>
      <c r="AA679"/>
      <c r="AE679"/>
    </row>
    <row r="680" spans="10:31" x14ac:dyDescent="0.3">
      <c r="J680" s="20"/>
      <c r="K680" s="7"/>
      <c r="R680" s="7"/>
      <c r="S680" s="7"/>
      <c r="T680" s="7"/>
      <c r="U680" s="7"/>
      <c r="V680" s="7"/>
      <c r="AA680"/>
      <c r="AE680"/>
    </row>
    <row r="681" spans="10:31" x14ac:dyDescent="0.3">
      <c r="J681" s="20"/>
      <c r="K681" s="7"/>
      <c r="R681" s="7"/>
      <c r="S681" s="7"/>
      <c r="T681" s="7"/>
      <c r="U681" s="7"/>
      <c r="V681" s="7"/>
      <c r="AA681"/>
      <c r="AE681"/>
    </row>
    <row r="682" spans="10:31" x14ac:dyDescent="0.3">
      <c r="J682" s="20"/>
      <c r="K682" s="7"/>
      <c r="R682" s="7"/>
      <c r="S682" s="7"/>
      <c r="T682" s="7"/>
      <c r="U682" s="7"/>
      <c r="V682" s="7"/>
      <c r="AA682"/>
      <c r="AE682"/>
    </row>
    <row r="683" spans="10:31" x14ac:dyDescent="0.3">
      <c r="J683" s="20"/>
      <c r="K683" s="7"/>
      <c r="R683" s="7"/>
      <c r="S683" s="7"/>
      <c r="T683" s="7"/>
      <c r="U683" s="7"/>
      <c r="V683" s="7"/>
      <c r="AA683"/>
      <c r="AE683"/>
    </row>
    <row r="684" spans="10:31" x14ac:dyDescent="0.3">
      <c r="J684" s="20"/>
      <c r="K684" s="7"/>
      <c r="R684" s="7"/>
      <c r="S684" s="7"/>
      <c r="T684" s="7"/>
      <c r="U684" s="7"/>
      <c r="V684" s="7"/>
      <c r="AA684"/>
      <c r="AE684"/>
    </row>
    <row r="685" spans="10:31" x14ac:dyDescent="0.3">
      <c r="J685" s="20"/>
      <c r="K685" s="7"/>
      <c r="R685" s="7"/>
      <c r="S685" s="7"/>
      <c r="T685" s="7"/>
      <c r="U685" s="7"/>
      <c r="V685" s="7"/>
      <c r="AA685"/>
      <c r="AE685"/>
    </row>
    <row r="686" spans="10:31" x14ac:dyDescent="0.3">
      <c r="J686" s="20"/>
      <c r="K686" s="7"/>
      <c r="R686" s="7"/>
      <c r="S686" s="7"/>
      <c r="T686" s="7"/>
      <c r="U686" s="7"/>
      <c r="V686" s="7"/>
      <c r="AA686"/>
      <c r="AE686"/>
    </row>
    <row r="687" spans="10:31" x14ac:dyDescent="0.3">
      <c r="J687" s="20"/>
      <c r="K687" s="7"/>
      <c r="R687" s="7"/>
      <c r="S687" s="7"/>
      <c r="T687" s="7"/>
      <c r="U687" s="7"/>
      <c r="V687" s="7"/>
      <c r="AA687"/>
      <c r="AE687"/>
    </row>
    <row r="688" spans="10:31" x14ac:dyDescent="0.3">
      <c r="J688" s="20"/>
      <c r="K688" s="7"/>
      <c r="R688" s="7"/>
      <c r="S688" s="7"/>
      <c r="T688" s="7"/>
      <c r="U688" s="7"/>
      <c r="V688" s="7"/>
      <c r="AA688"/>
      <c r="AE688"/>
    </row>
    <row r="689" spans="10:31" x14ac:dyDescent="0.3">
      <c r="J689" s="20"/>
      <c r="K689" s="7"/>
      <c r="R689" s="7"/>
      <c r="S689" s="7"/>
      <c r="T689" s="7"/>
      <c r="U689" s="7"/>
      <c r="V689" s="7"/>
      <c r="AA689"/>
      <c r="AE689"/>
    </row>
    <row r="690" spans="10:31" x14ac:dyDescent="0.3">
      <c r="J690" s="20"/>
      <c r="K690" s="7"/>
      <c r="R690" s="7"/>
      <c r="S690" s="7"/>
      <c r="T690" s="7"/>
      <c r="U690" s="7"/>
      <c r="V690" s="7"/>
      <c r="AA690"/>
      <c r="AE690"/>
    </row>
    <row r="691" spans="10:31" x14ac:dyDescent="0.3">
      <c r="J691" s="20"/>
      <c r="K691" s="7"/>
      <c r="R691" s="7"/>
      <c r="S691" s="7"/>
      <c r="T691" s="7"/>
      <c r="U691" s="7"/>
      <c r="V691" s="7"/>
      <c r="AA691"/>
      <c r="AE691"/>
    </row>
    <row r="692" spans="10:31" x14ac:dyDescent="0.3">
      <c r="J692" s="20"/>
      <c r="K692" s="7"/>
      <c r="R692" s="7"/>
      <c r="S692" s="7"/>
      <c r="T692" s="7"/>
      <c r="U692" s="7"/>
      <c r="V692" s="7"/>
      <c r="AA692"/>
      <c r="AE692"/>
    </row>
    <row r="693" spans="10:31" x14ac:dyDescent="0.3">
      <c r="J693" s="20"/>
      <c r="K693" s="7"/>
      <c r="R693" s="7"/>
      <c r="S693" s="7"/>
      <c r="T693" s="7"/>
      <c r="U693" s="7"/>
      <c r="V693" s="7"/>
      <c r="AA693"/>
      <c r="AE693"/>
    </row>
    <row r="694" spans="10:31" x14ac:dyDescent="0.3">
      <c r="J694" s="20"/>
      <c r="K694" s="7"/>
      <c r="R694" s="7"/>
      <c r="S694" s="7"/>
      <c r="T694" s="7"/>
      <c r="U694" s="7"/>
      <c r="V694" s="7"/>
      <c r="AA694"/>
      <c r="AE694"/>
    </row>
    <row r="695" spans="10:31" x14ac:dyDescent="0.3">
      <c r="J695" s="20"/>
      <c r="K695" s="7"/>
      <c r="R695" s="7"/>
      <c r="S695" s="7"/>
      <c r="T695" s="7"/>
      <c r="U695" s="7"/>
      <c r="V695" s="7"/>
      <c r="AA695"/>
      <c r="AE695"/>
    </row>
    <row r="696" spans="10:31" x14ac:dyDescent="0.3">
      <c r="J696" s="20"/>
      <c r="K696" s="7"/>
      <c r="R696" s="7"/>
      <c r="S696" s="7"/>
      <c r="T696" s="7"/>
      <c r="U696" s="7"/>
      <c r="V696" s="7"/>
      <c r="AA696"/>
      <c r="AE696"/>
    </row>
    <row r="697" spans="10:31" x14ac:dyDescent="0.3">
      <c r="J697" s="20"/>
      <c r="K697" s="7"/>
      <c r="R697" s="7"/>
      <c r="S697" s="7"/>
      <c r="T697" s="7"/>
      <c r="U697" s="7"/>
      <c r="V697" s="7"/>
      <c r="AA697"/>
      <c r="AE697"/>
    </row>
    <row r="698" spans="10:31" x14ac:dyDescent="0.3">
      <c r="J698" s="20"/>
      <c r="K698" s="7"/>
      <c r="R698" s="7"/>
      <c r="S698" s="7"/>
      <c r="T698" s="7"/>
      <c r="U698" s="7"/>
      <c r="V698" s="7"/>
      <c r="AA698"/>
      <c r="AE698"/>
    </row>
    <row r="699" spans="10:31" x14ac:dyDescent="0.3">
      <c r="J699" s="20"/>
      <c r="K699" s="7"/>
      <c r="R699" s="7"/>
      <c r="S699" s="7"/>
      <c r="T699" s="7"/>
      <c r="U699" s="7"/>
      <c r="V699" s="7"/>
      <c r="AA699"/>
      <c r="AE699"/>
    </row>
    <row r="700" spans="10:31" x14ac:dyDescent="0.3">
      <c r="J700" s="20"/>
      <c r="K700" s="7"/>
      <c r="R700" s="7"/>
      <c r="S700" s="7"/>
      <c r="T700" s="7"/>
      <c r="U700" s="7"/>
      <c r="V700" s="7"/>
      <c r="AA700"/>
      <c r="AE700"/>
    </row>
    <row r="701" spans="10:31" x14ac:dyDescent="0.3">
      <c r="J701" s="20"/>
      <c r="K701" s="7"/>
      <c r="R701" s="7"/>
      <c r="S701" s="7"/>
      <c r="T701" s="7"/>
      <c r="U701" s="7"/>
      <c r="V701" s="7"/>
      <c r="AA701"/>
      <c r="AE701"/>
    </row>
    <row r="702" spans="10:31" x14ac:dyDescent="0.3">
      <c r="J702" s="20"/>
      <c r="K702" s="7"/>
      <c r="R702" s="7"/>
      <c r="S702" s="7"/>
      <c r="T702" s="7"/>
      <c r="U702" s="7"/>
      <c r="V702" s="7"/>
      <c r="AA702"/>
      <c r="AE702"/>
    </row>
    <row r="703" spans="10:31" x14ac:dyDescent="0.3">
      <c r="J703" s="20"/>
      <c r="K703" s="7"/>
      <c r="R703" s="7"/>
      <c r="S703" s="7"/>
      <c r="T703" s="7"/>
      <c r="U703" s="7"/>
      <c r="V703" s="7"/>
      <c r="AA703"/>
      <c r="AE703"/>
    </row>
    <row r="704" spans="10:31" x14ac:dyDescent="0.3">
      <c r="J704" s="20"/>
      <c r="K704" s="7"/>
      <c r="R704" s="7"/>
      <c r="S704" s="7"/>
      <c r="T704" s="7"/>
      <c r="U704" s="7"/>
      <c r="V704" s="7"/>
      <c r="AA704"/>
      <c r="AE704"/>
    </row>
    <row r="705" spans="10:31" x14ac:dyDescent="0.3">
      <c r="J705" s="20"/>
      <c r="K705" s="7"/>
      <c r="R705" s="7"/>
      <c r="S705" s="7"/>
      <c r="T705" s="7"/>
      <c r="U705" s="7"/>
      <c r="V705" s="7"/>
      <c r="AA705"/>
      <c r="AE705"/>
    </row>
    <row r="706" spans="10:31" x14ac:dyDescent="0.3">
      <c r="J706" s="20"/>
      <c r="K706" s="7"/>
      <c r="R706" s="7"/>
      <c r="S706" s="7"/>
      <c r="T706" s="7"/>
      <c r="U706" s="7"/>
      <c r="V706" s="7"/>
      <c r="AA706"/>
      <c r="AE706"/>
    </row>
    <row r="707" spans="10:31" x14ac:dyDescent="0.3">
      <c r="J707" s="20"/>
      <c r="K707" s="7"/>
      <c r="R707" s="7"/>
      <c r="S707" s="7"/>
      <c r="T707" s="7"/>
      <c r="U707" s="7"/>
      <c r="V707" s="7"/>
      <c r="AA707"/>
      <c r="AE707"/>
    </row>
    <row r="708" spans="10:31" x14ac:dyDescent="0.3">
      <c r="J708" s="20"/>
      <c r="K708" s="7"/>
      <c r="R708" s="7"/>
      <c r="S708" s="7"/>
      <c r="T708" s="7"/>
      <c r="U708" s="7"/>
      <c r="V708" s="7"/>
      <c r="AA708"/>
      <c r="AE708"/>
    </row>
    <row r="709" spans="10:31" x14ac:dyDescent="0.3">
      <c r="J709" s="20"/>
      <c r="K709" s="7"/>
      <c r="R709" s="7"/>
      <c r="S709" s="7"/>
      <c r="T709" s="7"/>
      <c r="U709" s="7"/>
      <c r="V709" s="7"/>
      <c r="AA709"/>
      <c r="AE709"/>
    </row>
    <row r="710" spans="10:31" x14ac:dyDescent="0.3">
      <c r="J710" s="20"/>
      <c r="K710" s="7"/>
      <c r="R710" s="7"/>
      <c r="S710" s="7"/>
      <c r="T710" s="7"/>
      <c r="U710" s="7"/>
      <c r="V710" s="7"/>
      <c r="AA710"/>
      <c r="AE710"/>
    </row>
    <row r="711" spans="10:31" x14ac:dyDescent="0.3">
      <c r="J711" s="20"/>
      <c r="K711" s="7"/>
      <c r="R711" s="7"/>
      <c r="S711" s="7"/>
      <c r="T711" s="7"/>
      <c r="U711" s="7"/>
      <c r="V711" s="7"/>
      <c r="AA711"/>
      <c r="AE711"/>
    </row>
    <row r="712" spans="10:31" x14ac:dyDescent="0.3">
      <c r="J712" s="20"/>
      <c r="K712" s="7"/>
      <c r="R712" s="7"/>
      <c r="S712" s="7"/>
      <c r="T712" s="7"/>
      <c r="U712" s="7"/>
      <c r="V712" s="7"/>
      <c r="AA712"/>
      <c r="AE712"/>
    </row>
    <row r="713" spans="10:31" x14ac:dyDescent="0.3">
      <c r="J713" s="20"/>
      <c r="K713" s="7"/>
      <c r="R713" s="7"/>
      <c r="S713" s="7"/>
      <c r="T713" s="7"/>
      <c r="U713" s="7"/>
      <c r="V713" s="7"/>
      <c r="AA713"/>
      <c r="AE713"/>
    </row>
    <row r="714" spans="10:31" x14ac:dyDescent="0.3">
      <c r="J714" s="20"/>
      <c r="K714" s="7"/>
      <c r="R714" s="7"/>
      <c r="S714" s="7"/>
      <c r="T714" s="7"/>
      <c r="U714" s="7"/>
      <c r="V714" s="7"/>
      <c r="AA714"/>
      <c r="AE714"/>
    </row>
    <row r="715" spans="10:31" x14ac:dyDescent="0.3">
      <c r="J715" s="20"/>
      <c r="K715" s="7"/>
      <c r="R715" s="7"/>
      <c r="S715" s="7"/>
      <c r="T715" s="7"/>
      <c r="U715" s="7"/>
      <c r="V715" s="7"/>
      <c r="AA715"/>
      <c r="AE715"/>
    </row>
    <row r="716" spans="10:31" x14ac:dyDescent="0.3">
      <c r="J716" s="20"/>
      <c r="K716" s="7"/>
      <c r="R716" s="7"/>
      <c r="S716" s="7"/>
      <c r="T716" s="7"/>
      <c r="U716" s="7"/>
      <c r="V716" s="7"/>
      <c r="AA716"/>
      <c r="AE716"/>
    </row>
    <row r="717" spans="10:31" x14ac:dyDescent="0.3">
      <c r="J717" s="20"/>
      <c r="K717" s="7"/>
      <c r="R717" s="7"/>
      <c r="S717" s="7"/>
      <c r="T717" s="7"/>
      <c r="U717" s="7"/>
      <c r="V717" s="7"/>
      <c r="AA717"/>
      <c r="AE717"/>
    </row>
    <row r="718" spans="10:31" x14ac:dyDescent="0.3">
      <c r="J718" s="20"/>
      <c r="K718" s="7"/>
      <c r="R718" s="7"/>
      <c r="S718" s="7"/>
      <c r="T718" s="7"/>
      <c r="U718" s="7"/>
      <c r="V718" s="7"/>
      <c r="AA718"/>
      <c r="AE718"/>
    </row>
    <row r="719" spans="10:31" x14ac:dyDescent="0.3">
      <c r="J719" s="20"/>
      <c r="K719" s="7"/>
      <c r="R719" s="7"/>
      <c r="S719" s="7"/>
      <c r="T719" s="7"/>
      <c r="U719" s="7"/>
      <c r="V719" s="7"/>
      <c r="AA719"/>
      <c r="AE719"/>
    </row>
    <row r="720" spans="10:31" x14ac:dyDescent="0.3">
      <c r="J720" s="20"/>
      <c r="K720" s="7"/>
      <c r="R720" s="7"/>
      <c r="S720" s="7"/>
      <c r="T720" s="7"/>
      <c r="U720" s="7"/>
      <c r="V720" s="7"/>
      <c r="AA720"/>
      <c r="AE720"/>
    </row>
    <row r="721" spans="10:31" x14ac:dyDescent="0.3">
      <c r="J721" s="20"/>
      <c r="K721" s="7"/>
      <c r="R721" s="7"/>
      <c r="S721" s="7"/>
      <c r="T721" s="7"/>
      <c r="U721" s="7"/>
      <c r="V721" s="7"/>
      <c r="AA721"/>
      <c r="AE721"/>
    </row>
    <row r="722" spans="10:31" x14ac:dyDescent="0.3">
      <c r="J722" s="20"/>
      <c r="K722" s="7"/>
      <c r="R722" s="7"/>
      <c r="S722" s="7"/>
      <c r="T722" s="7"/>
      <c r="U722" s="7"/>
      <c r="V722" s="7"/>
      <c r="AA722"/>
      <c r="AE722"/>
    </row>
    <row r="723" spans="10:31" x14ac:dyDescent="0.3">
      <c r="J723" s="20"/>
      <c r="K723" s="7"/>
      <c r="R723" s="7"/>
      <c r="S723" s="7"/>
      <c r="T723" s="7"/>
      <c r="U723" s="7"/>
      <c r="V723" s="7"/>
      <c r="AA723"/>
      <c r="AE723"/>
    </row>
    <row r="724" spans="10:31" x14ac:dyDescent="0.3">
      <c r="J724" s="20"/>
      <c r="K724" s="7"/>
      <c r="R724" s="7"/>
      <c r="S724" s="7"/>
      <c r="T724" s="7"/>
      <c r="U724" s="7"/>
      <c r="V724" s="7"/>
      <c r="AA724"/>
      <c r="AE724"/>
    </row>
    <row r="725" spans="10:31" x14ac:dyDescent="0.3">
      <c r="J725" s="20"/>
      <c r="K725" s="7"/>
      <c r="R725" s="7"/>
      <c r="S725" s="7"/>
      <c r="T725" s="7"/>
      <c r="U725" s="7"/>
      <c r="V725" s="7"/>
      <c r="AA725"/>
      <c r="AE725"/>
    </row>
    <row r="726" spans="10:31" x14ac:dyDescent="0.3">
      <c r="J726" s="20"/>
      <c r="K726" s="7"/>
      <c r="R726" s="7"/>
      <c r="S726" s="7"/>
      <c r="T726" s="7"/>
      <c r="U726" s="7"/>
      <c r="V726" s="7"/>
      <c r="AA726"/>
      <c r="AE726"/>
    </row>
    <row r="727" spans="10:31" x14ac:dyDescent="0.3">
      <c r="J727" s="20"/>
      <c r="K727" s="7"/>
      <c r="R727" s="7"/>
      <c r="S727" s="7"/>
      <c r="T727" s="7"/>
      <c r="U727" s="7"/>
      <c r="V727" s="7"/>
      <c r="AA727"/>
      <c r="AE727"/>
    </row>
    <row r="728" spans="10:31" x14ac:dyDescent="0.3">
      <c r="J728" s="20"/>
      <c r="K728" s="7"/>
      <c r="R728" s="7"/>
      <c r="S728" s="7"/>
      <c r="T728" s="7"/>
      <c r="U728" s="7"/>
      <c r="V728" s="7"/>
      <c r="AA728"/>
      <c r="AE728"/>
    </row>
    <row r="729" spans="10:31" x14ac:dyDescent="0.3">
      <c r="J729" s="20"/>
      <c r="K729" s="7"/>
      <c r="R729" s="7"/>
      <c r="S729" s="7"/>
      <c r="T729" s="7"/>
      <c r="U729" s="7"/>
      <c r="V729" s="7"/>
      <c r="AA729"/>
      <c r="AE729"/>
    </row>
    <row r="730" spans="10:31" x14ac:dyDescent="0.3">
      <c r="J730" s="20"/>
      <c r="K730" s="7"/>
      <c r="R730" s="7"/>
      <c r="S730" s="7"/>
      <c r="T730" s="7"/>
      <c r="U730" s="7"/>
      <c r="V730" s="7"/>
      <c r="AA730"/>
      <c r="AE730"/>
    </row>
    <row r="731" spans="10:31" x14ac:dyDescent="0.3">
      <c r="J731" s="20"/>
      <c r="K731" s="7"/>
      <c r="R731" s="7"/>
      <c r="S731" s="7"/>
      <c r="T731" s="7"/>
      <c r="U731" s="7"/>
      <c r="V731" s="7"/>
      <c r="AA731"/>
      <c r="AE731"/>
    </row>
    <row r="732" spans="10:31" x14ac:dyDescent="0.3">
      <c r="J732" s="20"/>
      <c r="K732" s="7"/>
      <c r="R732" s="7"/>
      <c r="S732" s="7"/>
      <c r="T732" s="7"/>
      <c r="U732" s="7"/>
      <c r="V732" s="7"/>
      <c r="AA732"/>
      <c r="AE732"/>
    </row>
    <row r="733" spans="10:31" x14ac:dyDescent="0.3">
      <c r="J733" s="20"/>
      <c r="K733" s="7"/>
      <c r="R733" s="7"/>
      <c r="S733" s="7"/>
      <c r="T733" s="7"/>
      <c r="U733" s="7"/>
      <c r="V733" s="7"/>
      <c r="AA733"/>
      <c r="AE733"/>
    </row>
    <row r="734" spans="10:31" x14ac:dyDescent="0.3">
      <c r="J734" s="20"/>
      <c r="K734" s="7"/>
      <c r="R734" s="7"/>
      <c r="S734" s="7"/>
      <c r="T734" s="7"/>
      <c r="U734" s="7"/>
      <c r="V734" s="7"/>
      <c r="AA734"/>
      <c r="AE734"/>
    </row>
    <row r="735" spans="10:31" x14ac:dyDescent="0.3">
      <c r="J735" s="20"/>
      <c r="K735" s="7"/>
      <c r="R735" s="7"/>
      <c r="S735" s="7"/>
      <c r="T735" s="7"/>
      <c r="U735" s="7"/>
      <c r="V735" s="7"/>
      <c r="AA735"/>
      <c r="AE735"/>
    </row>
    <row r="736" spans="10:31" x14ac:dyDescent="0.3">
      <c r="J736" s="20"/>
      <c r="K736" s="7"/>
      <c r="R736" s="7"/>
      <c r="S736" s="7"/>
      <c r="T736" s="7"/>
      <c r="U736" s="7"/>
      <c r="V736" s="7"/>
      <c r="AA736"/>
      <c r="AE736"/>
    </row>
    <row r="737" spans="10:31" x14ac:dyDescent="0.3">
      <c r="J737" s="20"/>
      <c r="K737" s="7"/>
      <c r="R737" s="7"/>
      <c r="S737" s="7"/>
      <c r="T737" s="7"/>
      <c r="U737" s="7"/>
      <c r="V737" s="7"/>
      <c r="AA737"/>
      <c r="AE737"/>
    </row>
    <row r="738" spans="10:31" x14ac:dyDescent="0.3">
      <c r="J738" s="20"/>
      <c r="K738" s="7"/>
      <c r="R738" s="7"/>
      <c r="S738" s="7"/>
      <c r="T738" s="7"/>
      <c r="U738" s="7"/>
      <c r="V738" s="7"/>
      <c r="AA738"/>
      <c r="AE738"/>
    </row>
    <row r="739" spans="10:31" x14ac:dyDescent="0.3">
      <c r="J739" s="20"/>
      <c r="K739" s="7"/>
      <c r="R739" s="7"/>
      <c r="S739" s="7"/>
      <c r="T739" s="7"/>
      <c r="U739" s="7"/>
      <c r="V739" s="7"/>
      <c r="AA739"/>
      <c r="AE739"/>
    </row>
    <row r="740" spans="10:31" x14ac:dyDescent="0.3">
      <c r="J740" s="20"/>
      <c r="K740" s="7"/>
      <c r="R740" s="7"/>
      <c r="S740" s="7"/>
      <c r="T740" s="7"/>
      <c r="U740" s="7"/>
      <c r="V740" s="7"/>
      <c r="AA740"/>
      <c r="AE740"/>
    </row>
    <row r="741" spans="10:31" x14ac:dyDescent="0.3">
      <c r="J741" s="20"/>
      <c r="K741" s="7"/>
      <c r="R741" s="7"/>
      <c r="S741" s="7"/>
      <c r="T741" s="7"/>
      <c r="U741" s="7"/>
      <c r="V741" s="7"/>
      <c r="AA741"/>
      <c r="AE741"/>
    </row>
    <row r="742" spans="10:31" x14ac:dyDescent="0.3">
      <c r="J742" s="20"/>
      <c r="K742" s="7"/>
      <c r="R742" s="7"/>
      <c r="S742" s="7"/>
      <c r="T742" s="7"/>
      <c r="U742" s="7"/>
      <c r="V742" s="7"/>
      <c r="AA742"/>
      <c r="AE742"/>
    </row>
    <row r="743" spans="10:31" x14ac:dyDescent="0.3">
      <c r="J743" s="20"/>
      <c r="K743" s="7"/>
      <c r="R743" s="7"/>
      <c r="S743" s="7"/>
      <c r="T743" s="7"/>
      <c r="U743" s="7"/>
      <c r="V743" s="7"/>
      <c r="AA743"/>
      <c r="AE743"/>
    </row>
    <row r="744" spans="10:31" x14ac:dyDescent="0.3">
      <c r="J744" s="20"/>
      <c r="K744" s="7"/>
      <c r="R744" s="7"/>
      <c r="S744" s="7"/>
      <c r="T744" s="7"/>
      <c r="U744" s="7"/>
      <c r="V744" s="7"/>
      <c r="AA744"/>
      <c r="AE744"/>
    </row>
    <row r="745" spans="10:31" x14ac:dyDescent="0.3">
      <c r="J745" s="20"/>
      <c r="K745" s="7"/>
      <c r="R745" s="7"/>
      <c r="S745" s="7"/>
      <c r="T745" s="7"/>
      <c r="U745" s="7"/>
      <c r="V745" s="7"/>
      <c r="AA745"/>
      <c r="AE745"/>
    </row>
    <row r="746" spans="10:31" x14ac:dyDescent="0.3">
      <c r="J746" s="20"/>
      <c r="K746" s="7"/>
      <c r="R746" s="7"/>
      <c r="S746" s="7"/>
      <c r="T746" s="7"/>
      <c r="U746" s="7"/>
      <c r="V746" s="7"/>
      <c r="AA746"/>
      <c r="AE746"/>
    </row>
    <row r="747" spans="10:31" x14ac:dyDescent="0.3">
      <c r="J747" s="20"/>
      <c r="K747" s="7"/>
      <c r="R747" s="7"/>
      <c r="S747" s="7"/>
      <c r="T747" s="7"/>
      <c r="U747" s="7"/>
      <c r="V747" s="7"/>
      <c r="AA747"/>
      <c r="AE747"/>
    </row>
    <row r="748" spans="10:31" x14ac:dyDescent="0.3">
      <c r="J748" s="20"/>
      <c r="K748" s="7"/>
      <c r="R748" s="7"/>
      <c r="S748" s="7"/>
      <c r="T748" s="7"/>
      <c r="U748" s="7"/>
      <c r="V748" s="7"/>
      <c r="AA748"/>
      <c r="AE748"/>
    </row>
    <row r="749" spans="10:31" x14ac:dyDescent="0.3">
      <c r="J749" s="20"/>
      <c r="K749" s="7"/>
      <c r="R749" s="7"/>
      <c r="S749" s="7"/>
      <c r="T749" s="7"/>
      <c r="U749" s="7"/>
      <c r="V749" s="7"/>
      <c r="AA749"/>
      <c r="AE749"/>
    </row>
    <row r="750" spans="10:31" x14ac:dyDescent="0.3">
      <c r="J750" s="20"/>
      <c r="K750" s="7"/>
      <c r="R750" s="7"/>
      <c r="S750" s="7"/>
      <c r="T750" s="7"/>
      <c r="U750" s="7"/>
      <c r="V750" s="7"/>
      <c r="AA750"/>
      <c r="AE750"/>
    </row>
    <row r="751" spans="10:31" x14ac:dyDescent="0.3">
      <c r="J751" s="20"/>
      <c r="K751" s="7"/>
      <c r="R751" s="7"/>
      <c r="S751" s="7"/>
      <c r="T751" s="7"/>
      <c r="U751" s="7"/>
      <c r="V751" s="7"/>
      <c r="AA751"/>
      <c r="AE751"/>
    </row>
    <row r="752" spans="10:31" x14ac:dyDescent="0.3">
      <c r="J752" s="20"/>
      <c r="K752" s="7"/>
      <c r="R752" s="7"/>
      <c r="S752" s="7"/>
      <c r="T752" s="7"/>
      <c r="U752" s="7"/>
      <c r="V752" s="7"/>
      <c r="AA752"/>
      <c r="AE752"/>
    </row>
    <row r="753" spans="10:31" x14ac:dyDescent="0.3">
      <c r="J753" s="20"/>
      <c r="K753" s="7"/>
      <c r="R753" s="7"/>
      <c r="S753" s="7"/>
      <c r="T753" s="7"/>
      <c r="U753" s="7"/>
      <c r="V753" s="7"/>
      <c r="AA753"/>
      <c r="AE753"/>
    </row>
    <row r="754" spans="10:31" x14ac:dyDescent="0.3">
      <c r="J754" s="20"/>
      <c r="K754" s="7"/>
      <c r="R754" s="7"/>
      <c r="S754" s="7"/>
      <c r="T754" s="7"/>
      <c r="U754" s="7"/>
      <c r="V754" s="7"/>
      <c r="AA754"/>
      <c r="AE754"/>
    </row>
    <row r="755" spans="10:31" x14ac:dyDescent="0.3">
      <c r="J755" s="20"/>
      <c r="K755" s="7"/>
      <c r="R755" s="7"/>
      <c r="S755" s="7"/>
      <c r="T755" s="7"/>
      <c r="U755" s="7"/>
      <c r="V755" s="7"/>
      <c r="AA755"/>
      <c r="AE755"/>
    </row>
    <row r="756" spans="10:31" x14ac:dyDescent="0.3">
      <c r="J756" s="20"/>
      <c r="K756" s="7"/>
      <c r="R756" s="7"/>
      <c r="S756" s="7"/>
      <c r="T756" s="7"/>
      <c r="U756" s="7"/>
      <c r="V756" s="7"/>
      <c r="AA756"/>
      <c r="AE756"/>
    </row>
    <row r="757" spans="10:31" x14ac:dyDescent="0.3">
      <c r="J757" s="20"/>
      <c r="K757" s="7"/>
      <c r="R757" s="7"/>
      <c r="S757" s="7"/>
      <c r="T757" s="7"/>
      <c r="U757" s="7"/>
      <c r="V757" s="7"/>
      <c r="AA757"/>
      <c r="AE757"/>
    </row>
    <row r="758" spans="10:31" x14ac:dyDescent="0.3">
      <c r="J758" s="20"/>
      <c r="K758" s="7"/>
      <c r="R758" s="7"/>
      <c r="S758" s="7"/>
      <c r="T758" s="7"/>
      <c r="U758" s="7"/>
      <c r="V758" s="7"/>
      <c r="AA758"/>
      <c r="AE758"/>
    </row>
    <row r="759" spans="10:31" x14ac:dyDescent="0.3">
      <c r="J759" s="20"/>
      <c r="K759" s="7"/>
      <c r="R759" s="7"/>
      <c r="S759" s="7"/>
      <c r="T759" s="7"/>
      <c r="U759" s="7"/>
      <c r="V759" s="7"/>
      <c r="AA759"/>
      <c r="AE759"/>
    </row>
    <row r="760" spans="10:31" x14ac:dyDescent="0.3">
      <c r="J760" s="20"/>
      <c r="K760" s="7"/>
      <c r="R760" s="7"/>
      <c r="S760" s="7"/>
      <c r="T760" s="7"/>
      <c r="U760" s="7"/>
      <c r="V760" s="7"/>
      <c r="AA760"/>
      <c r="AE760"/>
    </row>
    <row r="761" spans="10:31" x14ac:dyDescent="0.3">
      <c r="J761" s="20"/>
      <c r="K761" s="7"/>
      <c r="R761" s="7"/>
      <c r="S761" s="7"/>
      <c r="T761" s="7"/>
      <c r="U761" s="7"/>
      <c r="V761" s="7"/>
      <c r="AA761"/>
      <c r="AE761"/>
    </row>
    <row r="762" spans="10:31" x14ac:dyDescent="0.3">
      <c r="J762" s="20"/>
      <c r="K762" s="7"/>
      <c r="R762" s="7"/>
      <c r="S762" s="7"/>
      <c r="T762" s="7"/>
      <c r="U762" s="7"/>
      <c r="V762" s="7"/>
      <c r="AA762"/>
      <c r="AE762"/>
    </row>
    <row r="763" spans="10:31" x14ac:dyDescent="0.3">
      <c r="J763" s="20"/>
      <c r="K763" s="7"/>
      <c r="R763" s="7"/>
      <c r="S763" s="7"/>
      <c r="T763" s="7"/>
      <c r="U763" s="7"/>
      <c r="V763" s="7"/>
      <c r="AA763"/>
      <c r="AE763"/>
    </row>
    <row r="764" spans="10:31" x14ac:dyDescent="0.3">
      <c r="J764" s="20"/>
      <c r="K764" s="7"/>
      <c r="R764" s="7"/>
      <c r="S764" s="7"/>
      <c r="T764" s="7"/>
      <c r="U764" s="7"/>
      <c r="V764" s="7"/>
      <c r="AA764"/>
      <c r="AE764"/>
    </row>
    <row r="765" spans="10:31" x14ac:dyDescent="0.3">
      <c r="J765" s="20"/>
      <c r="K765" s="7"/>
      <c r="R765" s="7"/>
      <c r="S765" s="7"/>
      <c r="T765" s="7"/>
      <c r="U765" s="7"/>
      <c r="V765" s="7"/>
      <c r="AA765"/>
      <c r="AE765"/>
    </row>
    <row r="766" spans="10:31" x14ac:dyDescent="0.3">
      <c r="J766" s="20"/>
      <c r="K766" s="7"/>
      <c r="R766" s="7"/>
      <c r="S766" s="7"/>
      <c r="T766" s="7"/>
      <c r="U766" s="7"/>
      <c r="V766" s="7"/>
      <c r="AA766"/>
      <c r="AE766"/>
    </row>
    <row r="767" spans="10:31" x14ac:dyDescent="0.3">
      <c r="J767" s="20"/>
      <c r="K767" s="7"/>
      <c r="R767" s="7"/>
      <c r="S767" s="7"/>
      <c r="T767" s="7"/>
      <c r="U767" s="7"/>
      <c r="V767" s="7"/>
      <c r="AA767"/>
      <c r="AE767"/>
    </row>
    <row r="768" spans="10:31" x14ac:dyDescent="0.3">
      <c r="J768" s="20"/>
      <c r="K768" s="7"/>
      <c r="R768" s="7"/>
      <c r="S768" s="7"/>
      <c r="T768" s="7"/>
      <c r="U768" s="7"/>
      <c r="V768" s="7"/>
      <c r="AA768"/>
      <c r="AE768"/>
    </row>
    <row r="769" spans="10:31" x14ac:dyDescent="0.3">
      <c r="J769" s="20"/>
      <c r="K769" s="7"/>
      <c r="R769" s="7"/>
      <c r="S769" s="7"/>
      <c r="T769" s="7"/>
      <c r="U769" s="7"/>
      <c r="V769" s="7"/>
      <c r="AA769"/>
      <c r="AE769"/>
    </row>
    <row r="770" spans="10:31" x14ac:dyDescent="0.3">
      <c r="J770" s="20"/>
      <c r="K770" s="7"/>
      <c r="R770" s="7"/>
      <c r="S770" s="7"/>
      <c r="T770" s="7"/>
      <c r="U770" s="7"/>
      <c r="V770" s="7"/>
      <c r="AA770"/>
      <c r="AE770"/>
    </row>
    <row r="771" spans="10:31" x14ac:dyDescent="0.3">
      <c r="J771" s="20"/>
      <c r="K771" s="7"/>
      <c r="R771" s="7"/>
      <c r="S771" s="7"/>
      <c r="T771" s="7"/>
      <c r="U771" s="7"/>
      <c r="V771" s="7"/>
      <c r="AA771"/>
      <c r="AE771"/>
    </row>
    <row r="772" spans="10:31" x14ac:dyDescent="0.3">
      <c r="J772" s="20"/>
      <c r="K772" s="7"/>
      <c r="R772" s="7"/>
      <c r="S772" s="7"/>
      <c r="T772" s="7"/>
      <c r="U772" s="7"/>
      <c r="V772" s="7"/>
      <c r="AA772"/>
      <c r="AE772"/>
    </row>
    <row r="773" spans="10:31" x14ac:dyDescent="0.3">
      <c r="J773" s="20"/>
      <c r="K773" s="7"/>
      <c r="R773" s="7"/>
      <c r="S773" s="7"/>
      <c r="T773" s="7"/>
      <c r="U773" s="7"/>
      <c r="V773" s="7"/>
      <c r="AA773"/>
      <c r="AE773"/>
    </row>
    <row r="774" spans="10:31" x14ac:dyDescent="0.3">
      <c r="J774" s="20"/>
      <c r="K774" s="7"/>
      <c r="R774" s="7"/>
      <c r="S774" s="7"/>
      <c r="T774" s="7"/>
      <c r="U774" s="7"/>
      <c r="V774" s="7"/>
      <c r="AA774"/>
      <c r="AE774"/>
    </row>
    <row r="775" spans="10:31" x14ac:dyDescent="0.3">
      <c r="J775" s="20"/>
      <c r="K775" s="7"/>
      <c r="R775" s="7"/>
      <c r="S775" s="7"/>
      <c r="T775" s="7"/>
      <c r="U775" s="7"/>
      <c r="V775" s="7"/>
      <c r="AA775"/>
      <c r="AE775"/>
    </row>
    <row r="776" spans="10:31" x14ac:dyDescent="0.3">
      <c r="J776" s="20"/>
      <c r="K776" s="7"/>
      <c r="R776" s="7"/>
      <c r="S776" s="7"/>
      <c r="T776" s="7"/>
      <c r="U776" s="7"/>
      <c r="V776" s="7"/>
      <c r="AA776"/>
      <c r="AE776"/>
    </row>
    <row r="777" spans="10:31" x14ac:dyDescent="0.3">
      <c r="J777" s="20"/>
      <c r="K777" s="7"/>
      <c r="R777" s="7"/>
      <c r="S777" s="7"/>
      <c r="T777" s="7"/>
      <c r="U777" s="7"/>
      <c r="V777" s="7"/>
      <c r="AA777"/>
      <c r="AE777"/>
    </row>
    <row r="778" spans="10:31" x14ac:dyDescent="0.3">
      <c r="J778" s="20"/>
      <c r="K778" s="7"/>
      <c r="R778" s="7"/>
      <c r="S778" s="7"/>
      <c r="T778" s="7"/>
      <c r="U778" s="7"/>
      <c r="V778" s="7"/>
      <c r="AA778"/>
      <c r="AE778"/>
    </row>
    <row r="779" spans="10:31" x14ac:dyDescent="0.3">
      <c r="J779" s="20"/>
      <c r="K779" s="7"/>
      <c r="R779" s="7"/>
      <c r="S779" s="7"/>
      <c r="T779" s="7"/>
      <c r="U779" s="7"/>
      <c r="V779" s="7"/>
      <c r="AA779"/>
      <c r="AE779"/>
    </row>
    <row r="780" spans="10:31" x14ac:dyDescent="0.3">
      <c r="J780" s="20"/>
      <c r="K780" s="7"/>
      <c r="R780" s="7"/>
      <c r="S780" s="7"/>
      <c r="T780" s="7"/>
      <c r="U780" s="7"/>
      <c r="V780" s="7"/>
      <c r="AA780"/>
      <c r="AE780"/>
    </row>
    <row r="781" spans="10:31" x14ac:dyDescent="0.3">
      <c r="J781" s="20"/>
      <c r="K781" s="7"/>
      <c r="R781" s="7"/>
      <c r="S781" s="7"/>
      <c r="T781" s="7"/>
      <c r="U781" s="7"/>
      <c r="V781" s="7"/>
      <c r="AA781"/>
      <c r="AE781"/>
    </row>
    <row r="782" spans="10:31" x14ac:dyDescent="0.3">
      <c r="J782" s="20"/>
      <c r="K782" s="7"/>
      <c r="R782" s="7"/>
      <c r="S782" s="7"/>
      <c r="T782" s="7"/>
      <c r="U782" s="7"/>
      <c r="V782" s="7"/>
      <c r="AA782"/>
      <c r="AE782"/>
    </row>
    <row r="783" spans="10:31" x14ac:dyDescent="0.3">
      <c r="J783" s="20"/>
      <c r="K783" s="7"/>
      <c r="R783" s="7"/>
      <c r="S783" s="7"/>
      <c r="T783" s="7"/>
      <c r="U783" s="7"/>
      <c r="V783" s="7"/>
      <c r="AA783"/>
      <c r="AE783"/>
    </row>
    <row r="784" spans="10:31" x14ac:dyDescent="0.3">
      <c r="J784" s="20"/>
      <c r="K784" s="7"/>
      <c r="R784" s="7"/>
      <c r="S784" s="7"/>
      <c r="T784" s="7"/>
      <c r="U784" s="7"/>
      <c r="V784" s="7"/>
      <c r="AA784"/>
      <c r="AE784"/>
    </row>
    <row r="785" spans="10:31" x14ac:dyDescent="0.3">
      <c r="J785" s="20"/>
      <c r="K785" s="7"/>
      <c r="R785" s="7"/>
      <c r="S785" s="7"/>
      <c r="T785" s="7"/>
      <c r="U785" s="7"/>
      <c r="V785" s="7"/>
      <c r="AA785"/>
      <c r="AE785"/>
    </row>
    <row r="786" spans="10:31" x14ac:dyDescent="0.3">
      <c r="J786" s="20"/>
      <c r="K786" s="7"/>
      <c r="R786" s="7"/>
      <c r="S786" s="7"/>
      <c r="T786" s="7"/>
      <c r="U786" s="7"/>
      <c r="V786" s="7"/>
      <c r="AA786"/>
      <c r="AE786"/>
    </row>
    <row r="787" spans="10:31" x14ac:dyDescent="0.3">
      <c r="J787" s="20"/>
      <c r="K787" s="7"/>
      <c r="R787" s="7"/>
      <c r="S787" s="7"/>
      <c r="T787" s="7"/>
      <c r="U787" s="7"/>
      <c r="V787" s="7"/>
      <c r="AA787"/>
      <c r="AE787"/>
    </row>
    <row r="788" spans="10:31" x14ac:dyDescent="0.3">
      <c r="J788" s="20"/>
      <c r="K788" s="7"/>
      <c r="R788" s="7"/>
      <c r="S788" s="7"/>
      <c r="T788" s="7"/>
      <c r="U788" s="7"/>
      <c r="V788" s="7"/>
      <c r="AA788"/>
      <c r="AE788"/>
    </row>
    <row r="789" spans="10:31" x14ac:dyDescent="0.3">
      <c r="J789" s="20"/>
      <c r="K789" s="7"/>
      <c r="R789" s="7"/>
      <c r="S789" s="7"/>
      <c r="T789" s="7"/>
      <c r="U789" s="7"/>
      <c r="V789" s="7"/>
      <c r="AA789"/>
      <c r="AE789"/>
    </row>
    <row r="790" spans="10:31" x14ac:dyDescent="0.3">
      <c r="J790" s="20"/>
      <c r="K790" s="7"/>
      <c r="R790" s="7"/>
      <c r="S790" s="7"/>
      <c r="T790" s="7"/>
      <c r="U790" s="7"/>
      <c r="V790" s="7"/>
      <c r="AA790"/>
      <c r="AE790"/>
    </row>
    <row r="791" spans="10:31" x14ac:dyDescent="0.3">
      <c r="J791" s="20"/>
      <c r="K791" s="7"/>
      <c r="R791" s="7"/>
      <c r="S791" s="7"/>
      <c r="T791" s="7"/>
      <c r="U791" s="7"/>
      <c r="V791" s="7"/>
      <c r="AA791"/>
      <c r="AE791"/>
    </row>
    <row r="792" spans="10:31" x14ac:dyDescent="0.3">
      <c r="J792" s="20"/>
      <c r="K792" s="7"/>
      <c r="R792" s="7"/>
      <c r="S792" s="7"/>
      <c r="T792" s="7"/>
      <c r="U792" s="7"/>
      <c r="V792" s="7"/>
      <c r="AA792"/>
      <c r="AE792"/>
    </row>
    <row r="793" spans="10:31" x14ac:dyDescent="0.3">
      <c r="J793" s="20"/>
      <c r="K793" s="7"/>
      <c r="R793" s="7"/>
      <c r="S793" s="7"/>
      <c r="T793" s="7"/>
      <c r="U793" s="7"/>
      <c r="V793" s="7"/>
      <c r="AA793"/>
      <c r="AE793"/>
    </row>
    <row r="794" spans="10:31" x14ac:dyDescent="0.3">
      <c r="J794" s="20"/>
      <c r="K794" s="7"/>
      <c r="R794" s="7"/>
      <c r="S794" s="7"/>
      <c r="T794" s="7"/>
      <c r="U794" s="7"/>
      <c r="V794" s="7"/>
      <c r="AA794"/>
      <c r="AE794"/>
    </row>
    <row r="795" spans="10:31" x14ac:dyDescent="0.3">
      <c r="J795" s="20"/>
      <c r="K795" s="7"/>
      <c r="R795" s="7"/>
      <c r="S795" s="7"/>
      <c r="T795" s="7"/>
      <c r="U795" s="7"/>
      <c r="V795" s="7"/>
      <c r="AA795"/>
      <c r="AE795"/>
    </row>
    <row r="796" spans="10:31" x14ac:dyDescent="0.3">
      <c r="J796" s="20"/>
      <c r="K796" s="7"/>
      <c r="R796" s="7"/>
      <c r="S796" s="7"/>
      <c r="T796" s="7"/>
      <c r="U796" s="7"/>
      <c r="V796" s="7"/>
      <c r="AA796"/>
      <c r="AE796"/>
    </row>
    <row r="797" spans="10:31" x14ac:dyDescent="0.3">
      <c r="J797" s="20"/>
      <c r="K797" s="7"/>
      <c r="R797" s="7"/>
      <c r="S797" s="7"/>
      <c r="T797" s="7"/>
      <c r="U797" s="7"/>
      <c r="V797" s="7"/>
      <c r="AA797"/>
      <c r="AE797"/>
    </row>
    <row r="798" spans="10:31" x14ac:dyDescent="0.3">
      <c r="J798" s="20"/>
      <c r="K798" s="7"/>
      <c r="R798" s="7"/>
      <c r="S798" s="7"/>
      <c r="T798" s="7"/>
      <c r="U798" s="7"/>
      <c r="V798" s="7"/>
      <c r="AA798"/>
      <c r="AE798"/>
    </row>
    <row r="799" spans="10:31" x14ac:dyDescent="0.3">
      <c r="J799" s="20"/>
      <c r="K799" s="7"/>
      <c r="R799" s="7"/>
      <c r="S799" s="7"/>
      <c r="T799" s="7"/>
      <c r="U799" s="7"/>
      <c r="V799" s="7"/>
      <c r="AA799"/>
      <c r="AE799"/>
    </row>
    <row r="800" spans="10:31" x14ac:dyDescent="0.3">
      <c r="J800" s="20"/>
      <c r="K800" s="7"/>
      <c r="R800" s="7"/>
      <c r="S800" s="7"/>
      <c r="T800" s="7"/>
      <c r="U800" s="7"/>
      <c r="V800" s="7"/>
      <c r="AA800"/>
      <c r="AE800"/>
    </row>
    <row r="801" spans="10:31" x14ac:dyDescent="0.3">
      <c r="J801" s="20"/>
      <c r="K801" s="7"/>
      <c r="R801" s="7"/>
      <c r="S801" s="7"/>
      <c r="T801" s="7"/>
      <c r="U801" s="7"/>
      <c r="V801" s="7"/>
      <c r="AA801"/>
      <c r="AE801"/>
    </row>
    <row r="802" spans="10:31" x14ac:dyDescent="0.3">
      <c r="J802" s="20"/>
      <c r="K802" s="7"/>
      <c r="R802" s="7"/>
      <c r="S802" s="7"/>
      <c r="T802" s="7"/>
      <c r="U802" s="7"/>
      <c r="V802" s="7"/>
      <c r="AA802"/>
      <c r="AE802"/>
    </row>
    <row r="803" spans="10:31" x14ac:dyDescent="0.3">
      <c r="J803" s="20"/>
      <c r="K803" s="7"/>
      <c r="R803" s="7"/>
      <c r="S803" s="7"/>
      <c r="T803" s="7"/>
      <c r="U803" s="7"/>
      <c r="V803" s="7"/>
      <c r="AA803"/>
      <c r="AE803"/>
    </row>
    <row r="804" spans="10:31" x14ac:dyDescent="0.3">
      <c r="J804" s="20"/>
      <c r="K804" s="7"/>
      <c r="R804" s="7"/>
      <c r="S804" s="7"/>
      <c r="T804" s="7"/>
      <c r="U804" s="7"/>
      <c r="V804" s="7"/>
      <c r="AA804"/>
      <c r="AE804"/>
    </row>
    <row r="805" spans="10:31" x14ac:dyDescent="0.3">
      <c r="J805" s="20"/>
      <c r="K805" s="7"/>
      <c r="R805" s="7"/>
      <c r="S805" s="7"/>
      <c r="T805" s="7"/>
      <c r="U805" s="7"/>
      <c r="V805" s="7"/>
      <c r="AA805"/>
      <c r="AE805"/>
    </row>
    <row r="806" spans="10:31" x14ac:dyDescent="0.3">
      <c r="J806" s="20"/>
      <c r="K806" s="7"/>
      <c r="R806" s="7"/>
      <c r="S806" s="7"/>
      <c r="T806" s="7"/>
      <c r="U806" s="7"/>
      <c r="V806" s="7"/>
      <c r="AA806"/>
      <c r="AE806"/>
    </row>
    <row r="807" spans="10:31" x14ac:dyDescent="0.3">
      <c r="J807" s="20"/>
      <c r="K807" s="7"/>
      <c r="R807" s="7"/>
      <c r="S807" s="7"/>
      <c r="T807" s="7"/>
      <c r="U807" s="7"/>
      <c r="V807" s="7"/>
      <c r="AA807"/>
      <c r="AE807"/>
    </row>
    <row r="808" spans="10:31" x14ac:dyDescent="0.3">
      <c r="J808" s="20"/>
      <c r="K808" s="7"/>
      <c r="R808" s="7"/>
      <c r="S808" s="7"/>
      <c r="T808" s="7"/>
      <c r="U808" s="7"/>
      <c r="V808" s="7"/>
      <c r="AA808"/>
      <c r="AE808"/>
    </row>
    <row r="809" spans="10:31" x14ac:dyDescent="0.3">
      <c r="J809" s="20"/>
      <c r="K809" s="7"/>
      <c r="R809" s="7"/>
      <c r="S809" s="7"/>
      <c r="T809" s="7"/>
      <c r="U809" s="7"/>
      <c r="V809" s="7"/>
      <c r="AA809"/>
      <c r="AE809"/>
    </row>
    <row r="810" spans="10:31" x14ac:dyDescent="0.3">
      <c r="J810" s="20"/>
      <c r="K810" s="7"/>
      <c r="R810" s="7"/>
      <c r="S810" s="7"/>
      <c r="T810" s="7"/>
      <c r="U810" s="7"/>
      <c r="V810" s="7"/>
      <c r="AA810"/>
      <c r="AE810"/>
    </row>
    <row r="811" spans="10:31" x14ac:dyDescent="0.3">
      <c r="J811" s="20"/>
      <c r="K811" s="7"/>
      <c r="R811" s="7"/>
      <c r="S811" s="7"/>
      <c r="T811" s="7"/>
      <c r="U811" s="7"/>
      <c r="V811" s="7"/>
      <c r="AA811"/>
      <c r="AE811"/>
    </row>
    <row r="812" spans="10:31" x14ac:dyDescent="0.3">
      <c r="J812" s="20"/>
      <c r="K812" s="7"/>
      <c r="R812" s="7"/>
      <c r="S812" s="7"/>
      <c r="T812" s="7"/>
      <c r="U812" s="7"/>
      <c r="V812" s="7"/>
      <c r="AA812"/>
      <c r="AE812"/>
    </row>
    <row r="813" spans="10:31" x14ac:dyDescent="0.3">
      <c r="J813" s="20"/>
      <c r="K813" s="7"/>
      <c r="R813" s="7"/>
      <c r="S813" s="7"/>
      <c r="T813" s="7"/>
      <c r="U813" s="7"/>
      <c r="V813" s="7"/>
      <c r="AA813"/>
      <c r="AE813"/>
    </row>
    <row r="814" spans="10:31" x14ac:dyDescent="0.3">
      <c r="J814" s="20"/>
      <c r="K814" s="7"/>
      <c r="R814" s="7"/>
      <c r="S814" s="7"/>
      <c r="T814" s="7"/>
      <c r="U814" s="7"/>
      <c r="V814" s="7"/>
      <c r="AA814"/>
      <c r="AE814"/>
    </row>
    <row r="815" spans="10:31" x14ac:dyDescent="0.3">
      <c r="J815" s="20"/>
      <c r="K815" s="7"/>
      <c r="R815" s="7"/>
      <c r="S815" s="7"/>
      <c r="T815" s="7"/>
      <c r="U815" s="7"/>
      <c r="V815" s="7"/>
      <c r="AA815"/>
      <c r="AE815"/>
    </row>
    <row r="816" spans="10:31" x14ac:dyDescent="0.3">
      <c r="J816" s="20"/>
      <c r="K816" s="7"/>
      <c r="R816" s="7"/>
      <c r="S816" s="7"/>
      <c r="T816" s="7"/>
      <c r="U816" s="7"/>
      <c r="V816" s="7"/>
      <c r="AA816"/>
      <c r="AE816"/>
    </row>
    <row r="817" spans="10:31" x14ac:dyDescent="0.3">
      <c r="J817" s="20"/>
      <c r="K817" s="7"/>
      <c r="R817" s="7"/>
      <c r="S817" s="7"/>
      <c r="T817" s="7"/>
      <c r="U817" s="7"/>
      <c r="V817" s="7"/>
      <c r="AA817"/>
      <c r="AE817"/>
    </row>
    <row r="818" spans="10:31" x14ac:dyDescent="0.3">
      <c r="J818" s="20"/>
      <c r="K818" s="7"/>
      <c r="R818" s="7"/>
      <c r="S818" s="7"/>
      <c r="T818" s="7"/>
      <c r="U818" s="7"/>
      <c r="V818" s="7"/>
      <c r="AA818"/>
      <c r="AE818"/>
    </row>
    <row r="819" spans="10:31" x14ac:dyDescent="0.3">
      <c r="J819" s="20"/>
      <c r="K819" s="7"/>
      <c r="R819" s="7"/>
      <c r="S819" s="7"/>
      <c r="T819" s="7"/>
      <c r="U819" s="7"/>
      <c r="V819" s="7"/>
      <c r="AA819"/>
      <c r="AE819"/>
    </row>
    <row r="820" spans="10:31" x14ac:dyDescent="0.3">
      <c r="J820" s="20"/>
      <c r="K820" s="7"/>
      <c r="R820" s="7"/>
      <c r="S820" s="7"/>
      <c r="T820" s="7"/>
      <c r="U820" s="7"/>
      <c r="V820" s="7"/>
      <c r="AA820"/>
      <c r="AE820"/>
    </row>
    <row r="821" spans="10:31" x14ac:dyDescent="0.3">
      <c r="J821" s="20"/>
      <c r="K821" s="7"/>
      <c r="R821" s="7"/>
      <c r="S821" s="7"/>
      <c r="T821" s="7"/>
      <c r="U821" s="7"/>
      <c r="V821" s="7"/>
      <c r="AA821"/>
      <c r="AE821"/>
    </row>
    <row r="822" spans="10:31" x14ac:dyDescent="0.3">
      <c r="J822" s="20"/>
      <c r="K822" s="7"/>
      <c r="R822" s="7"/>
      <c r="S822" s="7"/>
      <c r="T822" s="7"/>
      <c r="U822" s="7"/>
      <c r="V822" s="7"/>
      <c r="AA822"/>
      <c r="AE822"/>
    </row>
    <row r="823" spans="10:31" x14ac:dyDescent="0.3">
      <c r="J823" s="20"/>
      <c r="K823" s="7"/>
      <c r="R823" s="7"/>
      <c r="S823" s="7"/>
      <c r="T823" s="7"/>
      <c r="U823" s="7"/>
      <c r="V823" s="7"/>
      <c r="AA823"/>
      <c r="AE823"/>
    </row>
    <row r="824" spans="10:31" x14ac:dyDescent="0.3">
      <c r="J824" s="20"/>
      <c r="K824" s="7"/>
      <c r="R824" s="7"/>
      <c r="S824" s="7"/>
      <c r="T824" s="7"/>
      <c r="U824" s="7"/>
      <c r="V824" s="7"/>
      <c r="AA824"/>
      <c r="AE824"/>
    </row>
    <row r="825" spans="10:31" x14ac:dyDescent="0.3">
      <c r="J825" s="20"/>
      <c r="K825" s="7"/>
      <c r="R825" s="7"/>
      <c r="S825" s="7"/>
      <c r="T825" s="7"/>
      <c r="U825" s="7"/>
      <c r="V825" s="7"/>
      <c r="AA825"/>
      <c r="AE825"/>
    </row>
    <row r="826" spans="10:31" x14ac:dyDescent="0.3">
      <c r="J826" s="20"/>
      <c r="K826" s="7"/>
      <c r="R826" s="7"/>
      <c r="S826" s="7"/>
      <c r="T826" s="7"/>
      <c r="U826" s="7"/>
      <c r="V826" s="7"/>
      <c r="AA826"/>
      <c r="AE826"/>
    </row>
    <row r="827" spans="10:31" x14ac:dyDescent="0.3">
      <c r="J827" s="20"/>
      <c r="K827" s="7"/>
      <c r="R827" s="7"/>
      <c r="S827" s="7"/>
      <c r="T827" s="7"/>
      <c r="U827" s="7"/>
      <c r="V827" s="7"/>
      <c r="AA827"/>
      <c r="AE827"/>
    </row>
    <row r="828" spans="10:31" x14ac:dyDescent="0.3">
      <c r="J828" s="20"/>
      <c r="K828" s="7"/>
      <c r="R828" s="7"/>
      <c r="S828" s="7"/>
      <c r="T828" s="7"/>
      <c r="U828" s="7"/>
      <c r="V828" s="7"/>
      <c r="AA828"/>
      <c r="AE828"/>
    </row>
    <row r="829" spans="10:31" x14ac:dyDescent="0.3">
      <c r="J829" s="20"/>
      <c r="K829" s="7"/>
      <c r="R829" s="7"/>
      <c r="S829" s="7"/>
      <c r="T829" s="7"/>
      <c r="U829" s="7"/>
      <c r="V829" s="7"/>
      <c r="AA829"/>
      <c r="AE829"/>
    </row>
    <row r="830" spans="10:31" x14ac:dyDescent="0.3">
      <c r="J830" s="20"/>
      <c r="K830" s="7"/>
      <c r="R830" s="7"/>
      <c r="S830" s="7"/>
      <c r="T830" s="7"/>
      <c r="U830" s="7"/>
      <c r="V830" s="7"/>
      <c r="AA830"/>
      <c r="AE830"/>
    </row>
    <row r="831" spans="10:31" x14ac:dyDescent="0.3">
      <c r="J831" s="20"/>
      <c r="K831" s="7"/>
      <c r="R831" s="7"/>
      <c r="S831" s="7"/>
      <c r="T831" s="7"/>
      <c r="U831" s="7"/>
      <c r="V831" s="7"/>
      <c r="AA831"/>
      <c r="AE831"/>
    </row>
    <row r="832" spans="10:31" x14ac:dyDescent="0.3">
      <c r="J832" s="20"/>
      <c r="K832" s="7"/>
      <c r="R832" s="7"/>
      <c r="S832" s="7"/>
      <c r="T832" s="7"/>
      <c r="U832" s="7"/>
      <c r="V832" s="7"/>
      <c r="AA832"/>
      <c r="AE832"/>
    </row>
    <row r="833" spans="10:31" x14ac:dyDescent="0.3">
      <c r="J833" s="20"/>
      <c r="K833" s="7"/>
      <c r="R833" s="7"/>
      <c r="S833" s="7"/>
      <c r="T833" s="7"/>
      <c r="U833" s="7"/>
      <c r="V833" s="7"/>
      <c r="AA833"/>
      <c r="AE833"/>
    </row>
    <row r="834" spans="10:31" x14ac:dyDescent="0.3">
      <c r="J834" s="20"/>
      <c r="K834" s="7"/>
      <c r="R834" s="7"/>
      <c r="S834" s="7"/>
      <c r="T834" s="7"/>
      <c r="U834" s="7"/>
      <c r="V834" s="7"/>
      <c r="AA834"/>
      <c r="AE834"/>
    </row>
    <row r="835" spans="10:31" x14ac:dyDescent="0.3">
      <c r="J835" s="20"/>
      <c r="K835" s="7"/>
      <c r="R835" s="7"/>
      <c r="S835" s="7"/>
      <c r="T835" s="7"/>
      <c r="U835" s="7"/>
      <c r="V835" s="7"/>
      <c r="AA835"/>
      <c r="AE835"/>
    </row>
    <row r="836" spans="10:31" x14ac:dyDescent="0.3">
      <c r="J836" s="20"/>
      <c r="K836" s="7"/>
      <c r="R836" s="7"/>
      <c r="S836" s="7"/>
      <c r="T836" s="7"/>
      <c r="U836" s="7"/>
      <c r="V836" s="7"/>
      <c r="AA836"/>
      <c r="AE836"/>
    </row>
    <row r="837" spans="10:31" x14ac:dyDescent="0.3">
      <c r="J837" s="20"/>
      <c r="K837" s="7"/>
      <c r="R837" s="7"/>
      <c r="S837" s="7"/>
      <c r="T837" s="7"/>
      <c r="U837" s="7"/>
      <c r="V837" s="7"/>
      <c r="AA837"/>
      <c r="AE837"/>
    </row>
    <row r="838" spans="10:31" x14ac:dyDescent="0.3">
      <c r="J838" s="20"/>
      <c r="K838" s="7"/>
      <c r="R838" s="7"/>
      <c r="S838" s="7"/>
      <c r="T838" s="7"/>
      <c r="U838" s="7"/>
      <c r="V838" s="7"/>
      <c r="AA838"/>
      <c r="AE838"/>
    </row>
    <row r="839" spans="10:31" x14ac:dyDescent="0.3">
      <c r="J839" s="20"/>
      <c r="K839" s="7"/>
      <c r="R839" s="7"/>
      <c r="S839" s="7"/>
      <c r="T839" s="7"/>
      <c r="U839" s="7"/>
      <c r="V839" s="7"/>
      <c r="AA839"/>
      <c r="AE839"/>
    </row>
    <row r="840" spans="10:31" x14ac:dyDescent="0.3">
      <c r="J840" s="20"/>
      <c r="K840" s="7"/>
      <c r="R840" s="7"/>
      <c r="S840" s="7"/>
      <c r="T840" s="7"/>
      <c r="U840" s="7"/>
      <c r="V840" s="7"/>
      <c r="AA840"/>
      <c r="AE840"/>
    </row>
    <row r="841" spans="10:31" x14ac:dyDescent="0.3">
      <c r="J841" s="20"/>
      <c r="K841" s="7"/>
      <c r="R841" s="7"/>
      <c r="S841" s="7"/>
      <c r="T841" s="7"/>
      <c r="U841" s="7"/>
      <c r="V841" s="7"/>
      <c r="AA841"/>
      <c r="AE841"/>
    </row>
    <row r="842" spans="10:31" x14ac:dyDescent="0.3">
      <c r="J842" s="20"/>
      <c r="K842" s="7"/>
      <c r="R842" s="7"/>
      <c r="S842" s="7"/>
      <c r="T842" s="7"/>
      <c r="U842" s="7"/>
      <c r="V842" s="7"/>
      <c r="AA842"/>
      <c r="AE842"/>
    </row>
    <row r="843" spans="10:31" x14ac:dyDescent="0.3">
      <c r="J843" s="20"/>
      <c r="K843" s="7"/>
      <c r="R843" s="7"/>
      <c r="S843" s="7"/>
      <c r="T843" s="7"/>
      <c r="U843" s="7"/>
      <c r="V843" s="7"/>
      <c r="AA843"/>
      <c r="AE843"/>
    </row>
    <row r="844" spans="10:31" x14ac:dyDescent="0.3">
      <c r="J844" s="20"/>
      <c r="K844" s="7"/>
      <c r="R844" s="7"/>
      <c r="S844" s="7"/>
      <c r="T844" s="7"/>
      <c r="U844" s="7"/>
      <c r="V844" s="7"/>
      <c r="AA844"/>
      <c r="AE844"/>
    </row>
    <row r="845" spans="10:31" x14ac:dyDescent="0.3">
      <c r="J845" s="20"/>
      <c r="K845" s="7"/>
      <c r="R845" s="7"/>
      <c r="S845" s="7"/>
      <c r="T845" s="7"/>
      <c r="U845" s="7"/>
      <c r="V845" s="7"/>
      <c r="AA845"/>
      <c r="AE845"/>
    </row>
    <row r="846" spans="10:31" x14ac:dyDescent="0.3">
      <c r="J846" s="20"/>
      <c r="K846" s="7"/>
      <c r="R846" s="7"/>
      <c r="S846" s="7"/>
      <c r="T846" s="7"/>
      <c r="U846" s="7"/>
      <c r="V846" s="7"/>
      <c r="AA846"/>
      <c r="AE846"/>
    </row>
    <row r="847" spans="10:31" x14ac:dyDescent="0.3">
      <c r="J847" s="20"/>
      <c r="K847" s="7"/>
      <c r="R847" s="7"/>
      <c r="S847" s="7"/>
      <c r="T847" s="7"/>
      <c r="U847" s="7"/>
      <c r="V847" s="7"/>
      <c r="AA847"/>
      <c r="AE847"/>
    </row>
    <row r="848" spans="10:31" x14ac:dyDescent="0.3">
      <c r="J848" s="20"/>
      <c r="K848" s="7"/>
      <c r="R848" s="7"/>
      <c r="S848" s="7"/>
      <c r="T848" s="7"/>
      <c r="U848" s="7"/>
      <c r="V848" s="7"/>
      <c r="AA848"/>
      <c r="AE848"/>
    </row>
    <row r="849" spans="10:31" x14ac:dyDescent="0.3">
      <c r="J849" s="20"/>
      <c r="K849" s="7"/>
      <c r="R849" s="7"/>
      <c r="S849" s="7"/>
      <c r="T849" s="7"/>
      <c r="U849" s="7"/>
      <c r="V849" s="7"/>
      <c r="AA849"/>
      <c r="AE849"/>
    </row>
    <row r="850" spans="10:31" x14ac:dyDescent="0.3">
      <c r="J850" s="20"/>
      <c r="K850" s="7"/>
      <c r="R850" s="7"/>
      <c r="S850" s="7"/>
      <c r="T850" s="7"/>
      <c r="U850" s="7"/>
      <c r="V850" s="7"/>
      <c r="AA850"/>
      <c r="AE850"/>
    </row>
    <row r="851" spans="10:31" x14ac:dyDescent="0.3">
      <c r="J851" s="20"/>
      <c r="K851" s="7"/>
      <c r="R851" s="7"/>
      <c r="S851" s="7"/>
      <c r="T851" s="7"/>
      <c r="U851" s="7"/>
      <c r="V851" s="7"/>
      <c r="AA851"/>
      <c r="AE851"/>
    </row>
    <row r="852" spans="10:31" x14ac:dyDescent="0.3">
      <c r="J852" s="20"/>
      <c r="K852" s="7"/>
      <c r="R852" s="7"/>
      <c r="S852" s="7"/>
      <c r="T852" s="7"/>
      <c r="U852" s="7"/>
      <c r="V852" s="7"/>
      <c r="AA852"/>
      <c r="AE852"/>
    </row>
    <row r="853" spans="10:31" x14ac:dyDescent="0.3">
      <c r="J853" s="20"/>
      <c r="K853" s="7"/>
      <c r="R853" s="7"/>
      <c r="S853" s="7"/>
      <c r="T853" s="7"/>
      <c r="U853" s="7"/>
      <c r="V853" s="7"/>
      <c r="AA853"/>
      <c r="AE853"/>
    </row>
    <row r="854" spans="10:31" x14ac:dyDescent="0.3">
      <c r="J854" s="20"/>
      <c r="K854" s="7"/>
      <c r="R854" s="7"/>
      <c r="S854" s="7"/>
      <c r="T854" s="7"/>
      <c r="U854" s="7"/>
      <c r="V854" s="7"/>
      <c r="AA854"/>
      <c r="AE854"/>
    </row>
    <row r="855" spans="10:31" x14ac:dyDescent="0.3">
      <c r="J855" s="20"/>
      <c r="K855" s="7"/>
      <c r="R855" s="7"/>
      <c r="S855" s="7"/>
      <c r="T855" s="7"/>
      <c r="U855" s="7"/>
      <c r="V855" s="7"/>
      <c r="AA855"/>
      <c r="AE855"/>
    </row>
    <row r="856" spans="10:31" x14ac:dyDescent="0.3">
      <c r="J856" s="20"/>
      <c r="K856" s="7"/>
      <c r="R856" s="7"/>
      <c r="S856" s="7"/>
      <c r="T856" s="7"/>
      <c r="U856" s="7"/>
      <c r="V856" s="7"/>
      <c r="AA856"/>
      <c r="AE856"/>
    </row>
    <row r="857" spans="10:31" x14ac:dyDescent="0.3">
      <c r="J857" s="20"/>
      <c r="K857" s="7"/>
      <c r="R857" s="7"/>
      <c r="S857" s="7"/>
      <c r="T857" s="7"/>
      <c r="U857" s="7"/>
      <c r="V857" s="7"/>
      <c r="AA857"/>
      <c r="AE857"/>
    </row>
    <row r="858" spans="10:31" x14ac:dyDescent="0.3">
      <c r="J858" s="20"/>
      <c r="K858" s="7"/>
      <c r="R858" s="7"/>
      <c r="S858" s="7"/>
      <c r="T858" s="7"/>
      <c r="U858" s="7"/>
      <c r="V858" s="7"/>
      <c r="AA858"/>
      <c r="AE858"/>
    </row>
    <row r="859" spans="10:31" x14ac:dyDescent="0.3">
      <c r="J859" s="20"/>
      <c r="K859" s="7"/>
      <c r="R859" s="7"/>
      <c r="S859" s="7"/>
      <c r="T859" s="7"/>
      <c r="U859" s="7"/>
      <c r="V859" s="7"/>
      <c r="AA859"/>
      <c r="AE859"/>
    </row>
    <row r="860" spans="10:31" x14ac:dyDescent="0.3">
      <c r="J860" s="20"/>
      <c r="K860" s="7"/>
      <c r="R860" s="7"/>
      <c r="S860" s="7"/>
      <c r="T860" s="7"/>
      <c r="U860" s="7"/>
      <c r="V860" s="7"/>
      <c r="AA860"/>
      <c r="AE860"/>
    </row>
    <row r="861" spans="10:31" x14ac:dyDescent="0.3">
      <c r="J861" s="20"/>
      <c r="K861" s="7"/>
      <c r="R861" s="7"/>
      <c r="S861" s="7"/>
      <c r="T861" s="7"/>
      <c r="U861" s="7"/>
      <c r="V861" s="7"/>
      <c r="AA861"/>
      <c r="AE861"/>
    </row>
    <row r="862" spans="10:31" x14ac:dyDescent="0.3">
      <c r="J862" s="20"/>
      <c r="K862" s="7"/>
      <c r="R862" s="7"/>
      <c r="S862" s="7"/>
      <c r="T862" s="7"/>
      <c r="U862" s="7"/>
      <c r="V862" s="7"/>
      <c r="AA862"/>
      <c r="AE862"/>
    </row>
    <row r="863" spans="10:31" x14ac:dyDescent="0.3">
      <c r="J863" s="20"/>
      <c r="K863" s="7"/>
      <c r="R863" s="7"/>
      <c r="S863" s="7"/>
      <c r="T863" s="7"/>
      <c r="U863" s="7"/>
      <c r="V863" s="7"/>
      <c r="AA863"/>
      <c r="AE863"/>
    </row>
    <row r="864" spans="10:31" x14ac:dyDescent="0.3">
      <c r="J864" s="20"/>
      <c r="K864" s="7"/>
      <c r="R864" s="7"/>
      <c r="S864" s="7"/>
      <c r="T864" s="7"/>
      <c r="U864" s="7"/>
      <c r="V864" s="7"/>
      <c r="AA864"/>
      <c r="AE864"/>
    </row>
    <row r="865" spans="10:31" x14ac:dyDescent="0.3">
      <c r="J865" s="20"/>
      <c r="K865" s="7"/>
      <c r="R865" s="7"/>
      <c r="S865" s="7"/>
      <c r="T865" s="7"/>
      <c r="U865" s="7"/>
      <c r="V865" s="7"/>
      <c r="AA865"/>
      <c r="AE865"/>
    </row>
    <row r="866" spans="10:31" x14ac:dyDescent="0.3">
      <c r="J866" s="20"/>
      <c r="K866" s="7"/>
      <c r="R866" s="7"/>
      <c r="S866" s="7"/>
      <c r="T866" s="7"/>
      <c r="U866" s="7"/>
      <c r="V866" s="7"/>
      <c r="AA866"/>
      <c r="AE866"/>
    </row>
    <row r="867" spans="10:31" x14ac:dyDescent="0.3">
      <c r="J867" s="20"/>
      <c r="K867" s="7"/>
      <c r="R867" s="7"/>
      <c r="S867" s="7"/>
      <c r="T867" s="7"/>
      <c r="U867" s="7"/>
      <c r="V867" s="7"/>
      <c r="AA867"/>
      <c r="AE867"/>
    </row>
    <row r="868" spans="10:31" x14ac:dyDescent="0.3">
      <c r="J868" s="20"/>
      <c r="K868" s="7"/>
      <c r="R868" s="7"/>
      <c r="S868" s="7"/>
      <c r="T868" s="7"/>
      <c r="U868" s="7"/>
      <c r="V868" s="7"/>
      <c r="AA868"/>
      <c r="AE868"/>
    </row>
    <row r="869" spans="10:31" x14ac:dyDescent="0.3">
      <c r="J869" s="20"/>
      <c r="K869" s="7"/>
      <c r="R869" s="7"/>
      <c r="S869" s="7"/>
      <c r="T869" s="7"/>
      <c r="U869" s="7"/>
      <c r="V869" s="7"/>
      <c r="AA869"/>
      <c r="AE869"/>
    </row>
    <row r="870" spans="10:31" x14ac:dyDescent="0.3">
      <c r="J870" s="20"/>
      <c r="K870" s="7"/>
      <c r="R870" s="7"/>
      <c r="S870" s="7"/>
      <c r="T870" s="7"/>
      <c r="U870" s="7"/>
      <c r="V870" s="7"/>
      <c r="AA870"/>
      <c r="AE870"/>
    </row>
    <row r="871" spans="10:31" x14ac:dyDescent="0.3">
      <c r="J871" s="20"/>
      <c r="K871" s="7"/>
      <c r="R871" s="7"/>
      <c r="S871" s="7"/>
      <c r="T871" s="7"/>
      <c r="U871" s="7"/>
      <c r="V871" s="7"/>
      <c r="AA871"/>
      <c r="AE871"/>
    </row>
    <row r="872" spans="10:31" x14ac:dyDescent="0.3">
      <c r="J872" s="20"/>
      <c r="K872" s="7"/>
      <c r="R872" s="7"/>
      <c r="S872" s="7"/>
      <c r="T872" s="7"/>
      <c r="U872" s="7"/>
      <c r="V872" s="7"/>
      <c r="AA872"/>
      <c r="AE872"/>
    </row>
    <row r="873" spans="10:31" x14ac:dyDescent="0.3">
      <c r="J873" s="20"/>
      <c r="K873" s="7"/>
      <c r="R873" s="7"/>
      <c r="S873" s="7"/>
      <c r="T873" s="7"/>
      <c r="U873" s="7"/>
      <c r="V873" s="7"/>
      <c r="AA873"/>
      <c r="AE873"/>
    </row>
    <row r="874" spans="10:31" x14ac:dyDescent="0.3">
      <c r="J874" s="20"/>
      <c r="K874" s="7"/>
      <c r="R874" s="7"/>
      <c r="S874" s="7"/>
      <c r="T874" s="7"/>
      <c r="U874" s="7"/>
      <c r="V874" s="7"/>
      <c r="AA874"/>
      <c r="AE874"/>
    </row>
    <row r="875" spans="10:31" x14ac:dyDescent="0.3">
      <c r="J875" s="20"/>
      <c r="K875" s="7"/>
      <c r="R875" s="7"/>
      <c r="S875" s="7"/>
      <c r="T875" s="7"/>
      <c r="U875" s="7"/>
      <c r="V875" s="7"/>
      <c r="AA875"/>
      <c r="AE875"/>
    </row>
    <row r="876" spans="10:31" x14ac:dyDescent="0.3">
      <c r="J876" s="20"/>
      <c r="K876" s="7"/>
      <c r="R876" s="7"/>
      <c r="S876" s="7"/>
      <c r="T876" s="7"/>
      <c r="U876" s="7"/>
      <c r="V876" s="7"/>
      <c r="AA876"/>
      <c r="AE876"/>
    </row>
    <row r="877" spans="10:31" x14ac:dyDescent="0.3">
      <c r="J877" s="20"/>
      <c r="K877" s="7"/>
      <c r="R877" s="7"/>
      <c r="S877" s="7"/>
      <c r="T877" s="7"/>
      <c r="U877" s="7"/>
      <c r="V877" s="7"/>
      <c r="AA877"/>
      <c r="AE877"/>
    </row>
    <row r="878" spans="10:31" x14ac:dyDescent="0.3">
      <c r="J878" s="20"/>
      <c r="K878" s="7"/>
      <c r="R878" s="7"/>
      <c r="S878" s="7"/>
      <c r="T878" s="7"/>
      <c r="U878" s="7"/>
      <c r="V878" s="7"/>
      <c r="AA878"/>
      <c r="AE878"/>
    </row>
    <row r="879" spans="10:31" x14ac:dyDescent="0.3">
      <c r="J879" s="20"/>
      <c r="K879" s="7"/>
      <c r="R879" s="7"/>
      <c r="S879" s="7"/>
      <c r="T879" s="7"/>
      <c r="U879" s="7"/>
      <c r="V879" s="7"/>
      <c r="AA879"/>
      <c r="AE879"/>
    </row>
    <row r="880" spans="10:31" x14ac:dyDescent="0.3">
      <c r="J880" s="20"/>
      <c r="K880" s="7"/>
      <c r="R880" s="7"/>
      <c r="S880" s="7"/>
      <c r="T880" s="7"/>
      <c r="U880" s="7"/>
      <c r="V880" s="7"/>
      <c r="AA880"/>
      <c r="AE880"/>
    </row>
    <row r="881" spans="10:31" x14ac:dyDescent="0.3">
      <c r="J881" s="20"/>
      <c r="K881" s="7"/>
      <c r="R881" s="7"/>
      <c r="S881" s="7"/>
      <c r="T881" s="7"/>
      <c r="U881" s="7"/>
      <c r="V881" s="7"/>
      <c r="AA881"/>
      <c r="AE881"/>
    </row>
    <row r="883" spans="10:31" x14ac:dyDescent="0.3">
      <c r="S883" s="13">
        <f>SUBTOTAL(9,S5:S521)</f>
        <v>3138.559999999999</v>
      </c>
      <c r="T883" s="13">
        <f>SUBTOTAL(9,T86:T88)</f>
        <v>68.16</v>
      </c>
      <c r="U883" s="13">
        <f>SUBTOTAL(9,U62:U529)</f>
        <v>516.86666666666679</v>
      </c>
      <c r="V883" s="13">
        <f>SUBTOTAL(9,V4:V84)</f>
        <v>9.6</v>
      </c>
    </row>
    <row r="884" spans="10:31" x14ac:dyDescent="0.3">
      <c r="S884" s="13">
        <f>S883/3</f>
        <v>1046.1866666666663</v>
      </c>
      <c r="T884" s="13">
        <f>T883/3</f>
        <v>22.72</v>
      </c>
      <c r="U884" s="13">
        <f>U883/3</f>
        <v>172.28888888888892</v>
      </c>
      <c r="V884" s="13">
        <f>V883/3</f>
        <v>3.1999999999999997</v>
      </c>
    </row>
  </sheetData>
  <autoFilter ref="J1:P881" xr:uid="{00000000-0009-0000-0000-000000000000}"/>
  <mergeCells count="40">
    <mergeCell ref="C507:E507"/>
    <mergeCell ref="A530:Q530"/>
    <mergeCell ref="C270:E270"/>
    <mergeCell ref="C271:E271"/>
    <mergeCell ref="C272:E272"/>
    <mergeCell ref="C351:E351"/>
    <mergeCell ref="C370:E370"/>
    <mergeCell ref="C414:E414"/>
    <mergeCell ref="C433:E433"/>
    <mergeCell ref="C484:E484"/>
    <mergeCell ref="C503:E503"/>
    <mergeCell ref="C155:E155"/>
    <mergeCell ref="C163:E163"/>
    <mergeCell ref="C170:E170"/>
    <mergeCell ref="C202:E202"/>
    <mergeCell ref="C210:E210"/>
    <mergeCell ref="C140:E140"/>
    <mergeCell ref="G1:I1"/>
    <mergeCell ref="C22:E22"/>
    <mergeCell ref="C28:E28"/>
    <mergeCell ref="C38:E38"/>
    <mergeCell ref="C43:E43"/>
    <mergeCell ref="C65:E65"/>
    <mergeCell ref="C91:E91"/>
    <mergeCell ref="C101:E101"/>
    <mergeCell ref="C111:E111"/>
    <mergeCell ref="C121:E121"/>
    <mergeCell ref="C127:E127"/>
    <mergeCell ref="A196:A197"/>
    <mergeCell ref="C289:E289"/>
    <mergeCell ref="A306:A307"/>
    <mergeCell ref="A403:A404"/>
    <mergeCell ref="C404:E404"/>
    <mergeCell ref="C269:E269"/>
    <mergeCell ref="C230:E230"/>
    <mergeCell ref="C256:E256"/>
    <mergeCell ref="C259:E259"/>
    <mergeCell ref="C266:E266"/>
    <mergeCell ref="C267:E267"/>
    <mergeCell ref="C268:E268"/>
  </mergeCells>
  <pageMargins left="0.34" right="0.7" top="0.31" bottom="0.2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8"/>
  <sheetViews>
    <sheetView topLeftCell="A3" zoomScale="85" zoomScaleNormal="85" workbookViewId="0">
      <selection activeCell="H6" sqref="E6:H12"/>
    </sheetView>
  </sheetViews>
  <sheetFormatPr defaultRowHeight="14.4" x14ac:dyDescent="0.3"/>
  <cols>
    <col min="1" max="1" width="3.44140625" customWidth="1"/>
    <col min="2" max="2" width="7.5546875" bestFit="1" customWidth="1"/>
    <col min="3" max="3" width="29.77734375" bestFit="1" customWidth="1"/>
    <col min="4" max="4" width="10.21875" bestFit="1" customWidth="1"/>
    <col min="5" max="6" width="10.44140625" bestFit="1" customWidth="1"/>
    <col min="7" max="7" width="9.5546875" bestFit="1" customWidth="1"/>
    <col min="8" max="8" width="12.21875" customWidth="1"/>
    <col min="9" max="9" width="3.88671875" customWidth="1"/>
    <col min="11" max="11" width="9.6640625" bestFit="1" customWidth="1"/>
    <col min="15" max="15" width="13.21875" bestFit="1" customWidth="1"/>
  </cols>
  <sheetData>
    <row r="1" spans="2:15" ht="15" thickBot="1" x14ac:dyDescent="0.35"/>
    <row r="2" spans="2:15" ht="21.6" thickBot="1" x14ac:dyDescent="0.45">
      <c r="B2" s="115" t="s">
        <v>231</v>
      </c>
      <c r="C2" s="116"/>
      <c r="D2" s="116"/>
      <c r="E2" s="116"/>
      <c r="F2" s="116"/>
      <c r="G2" s="116"/>
      <c r="H2" s="117"/>
    </row>
    <row r="3" spans="2:15" ht="21.6" thickBot="1" x14ac:dyDescent="0.45">
      <c r="B3" s="121" t="s">
        <v>5</v>
      </c>
      <c r="C3" s="122"/>
      <c r="D3" s="122"/>
      <c r="E3" s="122"/>
      <c r="F3" s="123"/>
      <c r="G3" s="124">
        <v>45342</v>
      </c>
      <c r="H3" s="125"/>
    </row>
    <row r="4" spans="2:15" ht="18.600000000000001" thickBot="1" x14ac:dyDescent="0.35">
      <c r="B4" s="119" t="s">
        <v>6</v>
      </c>
      <c r="C4" s="119" t="s">
        <v>4</v>
      </c>
      <c r="D4" s="126" t="s">
        <v>240</v>
      </c>
      <c r="E4" s="127"/>
      <c r="F4" s="127"/>
      <c r="G4" s="128"/>
      <c r="H4" s="119" t="s">
        <v>7</v>
      </c>
    </row>
    <row r="5" spans="2:15" ht="18.600000000000001" thickBot="1" x14ac:dyDescent="0.35">
      <c r="B5" s="120"/>
      <c r="C5" s="120"/>
      <c r="D5" s="73" t="s">
        <v>241</v>
      </c>
      <c r="E5" s="73" t="s">
        <v>242</v>
      </c>
      <c r="F5" s="73" t="s">
        <v>23</v>
      </c>
      <c r="G5" s="73" t="s">
        <v>24</v>
      </c>
      <c r="H5" s="120"/>
    </row>
    <row r="6" spans="2:15" ht="18" x14ac:dyDescent="0.35">
      <c r="B6" s="28">
        <v>1</v>
      </c>
      <c r="C6" s="68" t="s">
        <v>210</v>
      </c>
      <c r="D6" s="76"/>
      <c r="E6" s="76"/>
      <c r="F6" s="76"/>
      <c r="G6" s="76"/>
      <c r="H6" s="29">
        <v>1</v>
      </c>
      <c r="J6" s="67" t="s">
        <v>232</v>
      </c>
      <c r="K6" s="67">
        <v>2</v>
      </c>
      <c r="L6" s="118" t="s">
        <v>233</v>
      </c>
      <c r="M6" s="118"/>
      <c r="N6" s="118"/>
      <c r="O6" s="69" t="s">
        <v>234</v>
      </c>
    </row>
    <row r="7" spans="2:15" ht="18" x14ac:dyDescent="0.35">
      <c r="B7" s="1">
        <f>B6+1</f>
        <v>2</v>
      </c>
      <c r="C7" s="24" t="s">
        <v>211</v>
      </c>
      <c r="D7" s="77"/>
      <c r="E7" s="77"/>
      <c r="F7" s="77"/>
      <c r="G7" s="77"/>
      <c r="H7" s="14">
        <v>12</v>
      </c>
    </row>
    <row r="8" spans="2:15" ht="18" x14ac:dyDescent="0.35">
      <c r="B8" s="1">
        <f t="shared" ref="B8:B27" si="0">B7+1</f>
        <v>3</v>
      </c>
      <c r="C8" s="26" t="s">
        <v>212</v>
      </c>
      <c r="D8" s="78"/>
      <c r="E8" s="78"/>
      <c r="F8" s="78"/>
      <c r="G8" s="78"/>
      <c r="H8" s="27">
        <v>30</v>
      </c>
    </row>
    <row r="9" spans="2:15" ht="18" x14ac:dyDescent="0.35">
      <c r="B9" s="1">
        <f t="shared" si="0"/>
        <v>4</v>
      </c>
      <c r="C9" s="26" t="s">
        <v>213</v>
      </c>
      <c r="D9" s="78"/>
      <c r="E9" s="78"/>
      <c r="F9" s="78"/>
      <c r="G9" s="78"/>
      <c r="H9" s="27">
        <v>53</v>
      </c>
    </row>
    <row r="10" spans="2:15" ht="18" x14ac:dyDescent="0.35">
      <c r="B10" s="1">
        <f t="shared" si="0"/>
        <v>5</v>
      </c>
      <c r="C10" s="24" t="s">
        <v>214</v>
      </c>
      <c r="D10" s="78"/>
      <c r="E10" s="78"/>
      <c r="F10" s="78"/>
      <c r="G10" s="78"/>
      <c r="H10" s="27">
        <v>4</v>
      </c>
    </row>
    <row r="11" spans="2:15" ht="18" x14ac:dyDescent="0.35">
      <c r="B11" s="1">
        <f t="shared" si="0"/>
        <v>6</v>
      </c>
      <c r="C11" s="26" t="s">
        <v>215</v>
      </c>
      <c r="D11" s="78"/>
      <c r="E11" s="78"/>
      <c r="F11" s="78"/>
      <c r="G11" s="78"/>
      <c r="H11" s="27">
        <v>1</v>
      </c>
    </row>
    <row r="12" spans="2:15" ht="18" x14ac:dyDescent="0.35">
      <c r="B12" s="1">
        <f t="shared" si="0"/>
        <v>7</v>
      </c>
      <c r="C12" s="26" t="s">
        <v>216</v>
      </c>
      <c r="D12" s="78"/>
      <c r="E12" s="78"/>
      <c r="F12" s="78"/>
      <c r="G12" s="78"/>
      <c r="H12" s="27">
        <v>16</v>
      </c>
    </row>
    <row r="13" spans="2:15" ht="18" x14ac:dyDescent="0.35">
      <c r="B13" s="1">
        <f t="shared" si="0"/>
        <v>8</v>
      </c>
      <c r="C13" s="75" t="s">
        <v>217</v>
      </c>
      <c r="D13" s="78" t="s">
        <v>243</v>
      </c>
      <c r="E13" s="78"/>
      <c r="F13" s="78"/>
      <c r="G13" s="78" t="s">
        <v>244</v>
      </c>
      <c r="H13" s="27">
        <v>5</v>
      </c>
    </row>
    <row r="14" spans="2:15" ht="18" x14ac:dyDescent="0.35">
      <c r="B14" s="1">
        <f t="shared" si="0"/>
        <v>9</v>
      </c>
      <c r="C14" s="26" t="s">
        <v>218</v>
      </c>
      <c r="D14" s="78"/>
      <c r="E14" s="78" t="s">
        <v>245</v>
      </c>
      <c r="F14" s="78"/>
      <c r="G14" s="78"/>
      <c r="H14" s="27">
        <v>6</v>
      </c>
    </row>
    <row r="15" spans="2:15" ht="18" x14ac:dyDescent="0.35">
      <c r="B15" s="1">
        <f t="shared" si="0"/>
        <v>10</v>
      </c>
      <c r="C15" s="70" t="s">
        <v>219</v>
      </c>
      <c r="D15" s="78"/>
      <c r="E15" s="78" t="s">
        <v>246</v>
      </c>
      <c r="F15" s="78"/>
      <c r="G15" s="78"/>
      <c r="H15" s="71">
        <v>1</v>
      </c>
    </row>
    <row r="16" spans="2:15" ht="18" x14ac:dyDescent="0.35">
      <c r="B16" s="1">
        <f t="shared" si="0"/>
        <v>11</v>
      </c>
      <c r="C16" s="72" t="s">
        <v>236</v>
      </c>
      <c r="D16" s="78"/>
      <c r="E16" s="78" t="s">
        <v>247</v>
      </c>
      <c r="F16" s="78"/>
      <c r="G16" s="78"/>
      <c r="H16" s="71">
        <v>1</v>
      </c>
    </row>
    <row r="17" spans="2:15" ht="18" x14ac:dyDescent="0.35">
      <c r="B17" s="1">
        <f t="shared" si="0"/>
        <v>12</v>
      </c>
      <c r="C17" s="26" t="s">
        <v>220</v>
      </c>
      <c r="D17" s="78"/>
      <c r="E17" s="78" t="s">
        <v>248</v>
      </c>
      <c r="F17" s="78"/>
      <c r="G17" s="78"/>
      <c r="H17" s="27">
        <v>2</v>
      </c>
    </row>
    <row r="18" spans="2:15" ht="18" x14ac:dyDescent="0.35">
      <c r="B18" s="1">
        <f t="shared" si="0"/>
        <v>13</v>
      </c>
      <c r="C18" s="26" t="s">
        <v>221</v>
      </c>
      <c r="D18" s="78"/>
      <c r="E18" s="78" t="s">
        <v>249</v>
      </c>
      <c r="F18" s="78"/>
      <c r="G18" s="78"/>
      <c r="H18" s="27">
        <v>1</v>
      </c>
    </row>
    <row r="19" spans="2:15" ht="18" x14ac:dyDescent="0.35">
      <c r="B19" s="1">
        <f t="shared" si="0"/>
        <v>14</v>
      </c>
      <c r="C19" s="26" t="s">
        <v>222</v>
      </c>
      <c r="D19" s="78"/>
      <c r="E19" s="78" t="s">
        <v>243</v>
      </c>
      <c r="F19" s="78"/>
      <c r="G19" s="78"/>
      <c r="H19" s="27">
        <v>5</v>
      </c>
    </row>
    <row r="20" spans="2:15" ht="18" x14ac:dyDescent="0.35">
      <c r="B20" s="1">
        <f t="shared" si="0"/>
        <v>15</v>
      </c>
      <c r="C20" s="26" t="s">
        <v>223</v>
      </c>
      <c r="D20" s="78"/>
      <c r="E20" s="78" t="s">
        <v>250</v>
      </c>
      <c r="F20" s="78"/>
      <c r="G20" s="78"/>
      <c r="H20" s="27">
        <v>4</v>
      </c>
    </row>
    <row r="21" spans="2:15" ht="18" x14ac:dyDescent="0.35">
      <c r="B21" s="1">
        <f t="shared" si="0"/>
        <v>16</v>
      </c>
      <c r="C21" s="26" t="s">
        <v>251</v>
      </c>
      <c r="D21" s="78"/>
      <c r="E21" s="78" t="s">
        <v>252</v>
      </c>
      <c r="F21" s="78"/>
      <c r="G21" s="78"/>
      <c r="H21" s="27">
        <v>5</v>
      </c>
    </row>
    <row r="22" spans="2:15" ht="18" x14ac:dyDescent="0.35">
      <c r="B22" s="1">
        <f t="shared" si="0"/>
        <v>17</v>
      </c>
      <c r="C22" s="26" t="s">
        <v>224</v>
      </c>
      <c r="D22" s="78"/>
      <c r="E22" s="78" t="s">
        <v>253</v>
      </c>
      <c r="F22" s="78"/>
      <c r="G22" s="78"/>
      <c r="H22" s="27">
        <v>3</v>
      </c>
    </row>
    <row r="23" spans="2:15" ht="18" x14ac:dyDescent="0.35">
      <c r="B23" s="1">
        <f t="shared" si="0"/>
        <v>18</v>
      </c>
      <c r="C23" s="26" t="s">
        <v>225</v>
      </c>
      <c r="D23" s="78"/>
      <c r="E23" s="78"/>
      <c r="F23" s="78" t="s">
        <v>254</v>
      </c>
      <c r="G23" s="78"/>
      <c r="H23" s="27">
        <v>11</v>
      </c>
    </row>
    <row r="24" spans="2:15" ht="18" x14ac:dyDescent="0.35">
      <c r="B24" s="1">
        <f t="shared" si="0"/>
        <v>19</v>
      </c>
      <c r="C24" s="26" t="s">
        <v>226</v>
      </c>
      <c r="D24" s="78"/>
      <c r="E24" s="78" t="s">
        <v>255</v>
      </c>
      <c r="F24" s="78"/>
      <c r="G24" s="78"/>
      <c r="H24" s="27">
        <v>4</v>
      </c>
    </row>
    <row r="25" spans="2:15" ht="18" x14ac:dyDescent="0.35">
      <c r="B25" s="1">
        <f t="shared" si="0"/>
        <v>20</v>
      </c>
      <c r="C25" s="26" t="s">
        <v>227</v>
      </c>
      <c r="D25" s="78"/>
      <c r="E25" s="78" t="s">
        <v>250</v>
      </c>
      <c r="F25" s="78"/>
      <c r="G25" s="78"/>
      <c r="H25" s="27">
        <v>4</v>
      </c>
    </row>
    <row r="26" spans="2:15" ht="18" x14ac:dyDescent="0.35">
      <c r="B26" s="1">
        <f t="shared" si="0"/>
        <v>21</v>
      </c>
      <c r="C26" s="26" t="s">
        <v>228</v>
      </c>
      <c r="D26" s="78"/>
      <c r="E26" s="78" t="s">
        <v>256</v>
      </c>
      <c r="F26" s="78"/>
      <c r="G26" s="78"/>
      <c r="H26" s="27">
        <v>3</v>
      </c>
    </row>
    <row r="27" spans="2:15" ht="18" x14ac:dyDescent="0.35">
      <c r="B27" s="1">
        <f t="shared" si="0"/>
        <v>22</v>
      </c>
      <c r="C27" s="26" t="s">
        <v>229</v>
      </c>
      <c r="D27" s="78"/>
      <c r="E27" s="78" t="s">
        <v>248</v>
      </c>
      <c r="F27" s="78"/>
      <c r="G27" s="78"/>
      <c r="H27" s="27">
        <v>2</v>
      </c>
    </row>
    <row r="28" spans="2:15" ht="18.600000000000001" thickBot="1" x14ac:dyDescent="0.4">
      <c r="B28" s="15">
        <f>B27+1</f>
        <v>23</v>
      </c>
      <c r="C28" s="25" t="s">
        <v>230</v>
      </c>
      <c r="D28" s="79" t="s">
        <v>257</v>
      </c>
      <c r="E28" s="79"/>
      <c r="F28" s="79"/>
      <c r="G28" s="79"/>
      <c r="H28" s="16">
        <v>170</v>
      </c>
      <c r="J28" s="67" t="s">
        <v>232</v>
      </c>
      <c r="K28" s="67">
        <v>2</v>
      </c>
      <c r="L28" s="118" t="s">
        <v>233</v>
      </c>
      <c r="M28" s="118"/>
      <c r="N28" s="118"/>
      <c r="O28" s="69" t="s">
        <v>234</v>
      </c>
    </row>
  </sheetData>
  <mergeCells count="9">
    <mergeCell ref="B2:H2"/>
    <mergeCell ref="L6:N6"/>
    <mergeCell ref="L28:N28"/>
    <mergeCell ref="H4:H5"/>
    <mergeCell ref="B4:B5"/>
    <mergeCell ref="C4:C5"/>
    <mergeCell ref="B3:F3"/>
    <mergeCell ref="G3:H3"/>
    <mergeCell ref="D4:G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127D-A3B3-4169-BEFC-B56F83CC2E5D}">
  <dimension ref="B1:J43"/>
  <sheetViews>
    <sheetView tabSelected="1" topLeftCell="A17" workbookViewId="0">
      <selection activeCell="B37" sqref="B37:J37"/>
    </sheetView>
  </sheetViews>
  <sheetFormatPr defaultRowHeight="14.4" x14ac:dyDescent="0.3"/>
  <cols>
    <col min="10" max="10" width="16.109375" bestFit="1" customWidth="1"/>
  </cols>
  <sheetData>
    <row r="1" spans="2:10" ht="21" x14ac:dyDescent="0.4">
      <c r="B1" s="158" t="s">
        <v>262</v>
      </c>
      <c r="C1" s="158"/>
      <c r="D1" s="158"/>
      <c r="E1" s="158"/>
      <c r="F1" s="158"/>
      <c r="G1" s="158"/>
      <c r="H1" s="158"/>
      <c r="I1" s="158"/>
      <c r="J1" s="158"/>
    </row>
    <row r="2" spans="2:10" ht="18" x14ac:dyDescent="0.35">
      <c r="B2" s="159" t="s">
        <v>263</v>
      </c>
      <c r="C2" s="159"/>
      <c r="D2" s="159"/>
      <c r="E2" s="159"/>
      <c r="F2" s="159"/>
      <c r="G2" s="159"/>
      <c r="H2" s="159"/>
      <c r="I2" s="159"/>
      <c r="J2" s="159"/>
    </row>
    <row r="3" spans="2:10" x14ac:dyDescent="0.3">
      <c r="B3" s="160" t="s">
        <v>264</v>
      </c>
      <c r="C3" s="161"/>
      <c r="D3" s="161"/>
      <c r="E3" s="161"/>
      <c r="F3" s="161"/>
      <c r="G3" s="162"/>
      <c r="H3" s="162"/>
      <c r="I3" s="163"/>
      <c r="J3" s="90" t="s">
        <v>317</v>
      </c>
    </row>
    <row r="4" spans="2:10" x14ac:dyDescent="0.3">
      <c r="B4" s="157" t="s">
        <v>265</v>
      </c>
      <c r="C4" s="157"/>
      <c r="D4" s="157"/>
      <c r="E4" s="157"/>
      <c r="F4" s="157"/>
      <c r="G4" s="139"/>
      <c r="H4" s="139"/>
      <c r="I4" s="139"/>
      <c r="J4" s="139"/>
    </row>
    <row r="5" spans="2:10" x14ac:dyDescent="0.3">
      <c r="B5" s="157" t="s">
        <v>316</v>
      </c>
      <c r="C5" s="157"/>
      <c r="D5" s="157"/>
      <c r="E5" s="157"/>
      <c r="F5" s="157"/>
      <c r="G5" s="157" t="s">
        <v>266</v>
      </c>
      <c r="H5" s="157"/>
      <c r="I5" s="157"/>
      <c r="J5" s="157"/>
    </row>
    <row r="6" spans="2:10" x14ac:dyDescent="0.3">
      <c r="B6" s="38" t="s">
        <v>267</v>
      </c>
      <c r="C6" s="135" t="s">
        <v>268</v>
      </c>
      <c r="D6" s="135"/>
      <c r="E6" s="135"/>
      <c r="F6" s="135"/>
      <c r="G6" s="38" t="s">
        <v>7</v>
      </c>
      <c r="H6" s="38" t="s">
        <v>269</v>
      </c>
      <c r="I6" s="38" t="s">
        <v>270</v>
      </c>
      <c r="J6" s="38" t="s">
        <v>271</v>
      </c>
    </row>
    <row r="7" spans="2:10" x14ac:dyDescent="0.3">
      <c r="B7" s="156">
        <v>1</v>
      </c>
      <c r="C7" s="156" t="s">
        <v>272</v>
      </c>
      <c r="D7" s="156"/>
      <c r="E7" s="139" t="s">
        <v>273</v>
      </c>
      <c r="F7" s="139"/>
      <c r="G7" s="39">
        <v>102</v>
      </c>
      <c r="H7" s="39" t="s">
        <v>274</v>
      </c>
      <c r="I7" s="39">
        <v>450</v>
      </c>
      <c r="J7" s="39">
        <f>G7*I7</f>
        <v>45900</v>
      </c>
    </row>
    <row r="8" spans="2:10" x14ac:dyDescent="0.3">
      <c r="B8" s="156"/>
      <c r="C8" s="156"/>
      <c r="D8" s="156"/>
      <c r="E8" s="139" t="s">
        <v>275</v>
      </c>
      <c r="F8" s="139"/>
      <c r="G8" s="39">
        <v>15</v>
      </c>
      <c r="H8" s="39" t="s">
        <v>274</v>
      </c>
      <c r="I8" s="39">
        <v>700</v>
      </c>
      <c r="J8" s="39">
        <f>G8*I8</f>
        <v>10500</v>
      </c>
    </row>
    <row r="9" spans="2:10" x14ac:dyDescent="0.3">
      <c r="B9" s="156"/>
      <c r="C9" s="156"/>
      <c r="D9" s="156"/>
      <c r="E9" s="139" t="s">
        <v>276</v>
      </c>
      <c r="F9" s="139"/>
      <c r="G9" s="39">
        <v>12</v>
      </c>
      <c r="H9" s="39" t="s">
        <v>274</v>
      </c>
      <c r="I9" s="39">
        <v>150</v>
      </c>
      <c r="J9" s="39">
        <f>G9*I9</f>
        <v>1800</v>
      </c>
    </row>
    <row r="10" spans="2:10" x14ac:dyDescent="0.3">
      <c r="B10" s="39">
        <v>2</v>
      </c>
      <c r="C10" s="139" t="s">
        <v>277</v>
      </c>
      <c r="D10" s="139"/>
      <c r="E10" s="139"/>
      <c r="F10" s="139"/>
      <c r="G10" s="39">
        <v>6870</v>
      </c>
      <c r="H10" s="39" t="s">
        <v>10</v>
      </c>
      <c r="I10" s="39">
        <v>3</v>
      </c>
      <c r="J10" s="39">
        <f>G10*I10</f>
        <v>20610</v>
      </c>
    </row>
    <row r="11" spans="2:10" x14ac:dyDescent="0.3">
      <c r="B11" s="39">
        <v>3</v>
      </c>
      <c r="C11" s="139" t="s">
        <v>278</v>
      </c>
      <c r="D11" s="139"/>
      <c r="E11" s="139"/>
      <c r="F11" s="139"/>
      <c r="G11" s="39">
        <v>750</v>
      </c>
      <c r="H11" s="39" t="s">
        <v>10</v>
      </c>
      <c r="I11" s="39">
        <v>10</v>
      </c>
      <c r="J11" s="39">
        <f>G11*I11</f>
        <v>7500</v>
      </c>
    </row>
    <row r="12" spans="2:10" x14ac:dyDescent="0.3">
      <c r="B12" s="98">
        <v>4</v>
      </c>
      <c r="C12" s="156" t="s">
        <v>279</v>
      </c>
      <c r="D12" s="156"/>
      <c r="E12" s="139" t="s">
        <v>280</v>
      </c>
      <c r="F12" s="139"/>
      <c r="G12" s="39"/>
      <c r="H12" s="39" t="s">
        <v>274</v>
      </c>
      <c r="I12" s="39"/>
      <c r="J12" s="39">
        <f t="shared" ref="J12:J27" si="0">G12*I12</f>
        <v>0</v>
      </c>
    </row>
    <row r="13" spans="2:10" x14ac:dyDescent="0.3">
      <c r="B13" s="99"/>
      <c r="C13" s="156"/>
      <c r="D13" s="156"/>
      <c r="E13" s="139" t="s">
        <v>281</v>
      </c>
      <c r="F13" s="139"/>
      <c r="G13" s="39"/>
      <c r="H13" s="39" t="s">
        <v>274</v>
      </c>
      <c r="I13" s="39"/>
      <c r="J13" s="39">
        <f>G13*I13</f>
        <v>0</v>
      </c>
    </row>
    <row r="14" spans="2:10" x14ac:dyDescent="0.3">
      <c r="B14" s="156">
        <v>5</v>
      </c>
      <c r="C14" s="156" t="s">
        <v>282</v>
      </c>
      <c r="D14" s="156"/>
      <c r="E14" s="139" t="s">
        <v>283</v>
      </c>
      <c r="F14" s="139"/>
      <c r="G14" s="39">
        <v>3310</v>
      </c>
      <c r="H14" s="39" t="s">
        <v>10</v>
      </c>
      <c r="I14" s="39">
        <v>13</v>
      </c>
      <c r="J14" s="39">
        <f>G14*I14</f>
        <v>43030</v>
      </c>
    </row>
    <row r="15" spans="2:10" x14ac:dyDescent="0.3">
      <c r="B15" s="156"/>
      <c r="C15" s="156"/>
      <c r="D15" s="156"/>
      <c r="E15" s="139" t="s">
        <v>284</v>
      </c>
      <c r="F15" s="139"/>
      <c r="G15" s="39"/>
      <c r="H15" s="39" t="s">
        <v>10</v>
      </c>
      <c r="I15" s="39"/>
      <c r="J15" s="39">
        <f t="shared" si="0"/>
        <v>0</v>
      </c>
    </row>
    <row r="16" spans="2:10" x14ac:dyDescent="0.3">
      <c r="B16" s="156"/>
      <c r="C16" s="156"/>
      <c r="D16" s="156"/>
      <c r="E16" s="139" t="s">
        <v>285</v>
      </c>
      <c r="F16" s="139"/>
      <c r="G16" s="39"/>
      <c r="H16" s="39" t="s">
        <v>10</v>
      </c>
      <c r="I16" s="39"/>
      <c r="J16" s="39">
        <f t="shared" si="0"/>
        <v>0</v>
      </c>
    </row>
    <row r="17" spans="2:10" x14ac:dyDescent="0.3">
      <c r="B17" s="156"/>
      <c r="C17" s="156"/>
      <c r="D17" s="156"/>
      <c r="E17" s="139" t="s">
        <v>286</v>
      </c>
      <c r="F17" s="139"/>
      <c r="G17" s="39"/>
      <c r="H17" s="39" t="s">
        <v>10</v>
      </c>
      <c r="I17" s="39"/>
      <c r="J17" s="39">
        <f t="shared" si="0"/>
        <v>0</v>
      </c>
    </row>
    <row r="18" spans="2:10" x14ac:dyDescent="0.3">
      <c r="B18" s="156"/>
      <c r="C18" s="156"/>
      <c r="D18" s="156"/>
      <c r="E18" s="139" t="s">
        <v>287</v>
      </c>
      <c r="F18" s="139"/>
      <c r="G18" s="39">
        <v>2830</v>
      </c>
      <c r="H18" s="39" t="s">
        <v>10</v>
      </c>
      <c r="I18" s="39">
        <v>27</v>
      </c>
      <c r="J18" s="39">
        <f>G18*I18</f>
        <v>76410</v>
      </c>
    </row>
    <row r="19" spans="2:10" x14ac:dyDescent="0.3">
      <c r="B19" s="156"/>
      <c r="C19" s="156"/>
      <c r="D19" s="156"/>
      <c r="E19" s="139" t="s">
        <v>288</v>
      </c>
      <c r="F19" s="139"/>
      <c r="G19" s="39"/>
      <c r="H19" s="39" t="s">
        <v>10</v>
      </c>
      <c r="I19" s="39"/>
      <c r="J19" s="39">
        <f t="shared" si="0"/>
        <v>0</v>
      </c>
    </row>
    <row r="20" spans="2:10" x14ac:dyDescent="0.3">
      <c r="B20" s="156"/>
      <c r="C20" s="156"/>
      <c r="D20" s="156"/>
      <c r="E20" s="139" t="s">
        <v>289</v>
      </c>
      <c r="F20" s="139"/>
      <c r="G20" s="39">
        <v>10</v>
      </c>
      <c r="H20" s="39" t="s">
        <v>10</v>
      </c>
      <c r="I20" s="39">
        <v>32</v>
      </c>
      <c r="J20" s="39">
        <f>G20*I20</f>
        <v>320</v>
      </c>
    </row>
    <row r="21" spans="2:10" x14ac:dyDescent="0.3">
      <c r="B21" s="156"/>
      <c r="C21" s="156"/>
      <c r="D21" s="156"/>
      <c r="E21" s="139" t="s">
        <v>290</v>
      </c>
      <c r="F21" s="139"/>
      <c r="G21" s="39"/>
      <c r="H21" s="39" t="s">
        <v>10</v>
      </c>
      <c r="I21" s="39"/>
      <c r="J21" s="39">
        <f t="shared" si="0"/>
        <v>0</v>
      </c>
    </row>
    <row r="22" spans="2:10" x14ac:dyDescent="0.3">
      <c r="B22" s="98">
        <v>6</v>
      </c>
      <c r="C22" s="139" t="s">
        <v>291</v>
      </c>
      <c r="D22" s="139"/>
      <c r="E22" s="139" t="s">
        <v>292</v>
      </c>
      <c r="F22" s="139"/>
      <c r="G22" s="39">
        <v>2800</v>
      </c>
      <c r="H22" s="39"/>
      <c r="I22" s="39">
        <v>5</v>
      </c>
      <c r="J22" s="39">
        <f>G22*I22</f>
        <v>14000</v>
      </c>
    </row>
    <row r="23" spans="2:10" x14ac:dyDescent="0.3">
      <c r="B23" s="99"/>
      <c r="C23" s="139"/>
      <c r="D23" s="139"/>
      <c r="E23" s="139" t="s">
        <v>293</v>
      </c>
      <c r="F23" s="139"/>
      <c r="G23" s="39">
        <v>560</v>
      </c>
      <c r="H23" s="39"/>
      <c r="I23" s="39">
        <v>15</v>
      </c>
      <c r="J23" s="39">
        <f>G23*I23</f>
        <v>8400</v>
      </c>
    </row>
    <row r="24" spans="2:10" x14ac:dyDescent="0.3">
      <c r="B24" s="39">
        <v>7</v>
      </c>
      <c r="C24" s="139" t="s">
        <v>294</v>
      </c>
      <c r="D24" s="139"/>
      <c r="E24" s="139"/>
      <c r="F24" s="139"/>
      <c r="G24" s="39"/>
      <c r="H24" s="39"/>
      <c r="I24" s="39"/>
      <c r="J24" s="39">
        <v>3000</v>
      </c>
    </row>
    <row r="25" spans="2:10" x14ac:dyDescent="0.3">
      <c r="B25" s="39">
        <v>8</v>
      </c>
      <c r="C25" s="139" t="s">
        <v>295</v>
      </c>
      <c r="D25" s="139"/>
      <c r="E25" s="139"/>
      <c r="F25" s="139"/>
      <c r="G25" s="39"/>
      <c r="H25" s="39"/>
      <c r="I25" s="39"/>
      <c r="J25" s="39">
        <v>500</v>
      </c>
    </row>
    <row r="26" spans="2:10" x14ac:dyDescent="0.3">
      <c r="B26" s="98">
        <v>9</v>
      </c>
      <c r="C26" s="150" t="s">
        <v>296</v>
      </c>
      <c r="D26" s="151"/>
      <c r="E26" s="139" t="s">
        <v>297</v>
      </c>
      <c r="F26" s="139"/>
      <c r="G26" s="39"/>
      <c r="H26" s="39" t="s">
        <v>274</v>
      </c>
      <c r="I26" s="39"/>
      <c r="J26" s="39">
        <f t="shared" si="0"/>
        <v>0</v>
      </c>
    </row>
    <row r="27" spans="2:10" x14ac:dyDescent="0.3">
      <c r="B27" s="149"/>
      <c r="C27" s="152"/>
      <c r="D27" s="153"/>
      <c r="E27" s="139" t="s">
        <v>298</v>
      </c>
      <c r="F27" s="139"/>
      <c r="G27" s="39"/>
      <c r="H27" s="39" t="s">
        <v>274</v>
      </c>
      <c r="I27" s="39"/>
      <c r="J27" s="39">
        <f t="shared" si="0"/>
        <v>0</v>
      </c>
    </row>
    <row r="28" spans="2:10" x14ac:dyDescent="0.3">
      <c r="B28" s="99"/>
      <c r="C28" s="154"/>
      <c r="D28" s="155"/>
      <c r="E28" s="139" t="s">
        <v>299</v>
      </c>
      <c r="F28" s="139"/>
      <c r="G28" s="39"/>
      <c r="H28" s="39" t="s">
        <v>274</v>
      </c>
      <c r="I28" s="39"/>
      <c r="J28" s="39">
        <f>G28*I28</f>
        <v>0</v>
      </c>
    </row>
    <row r="29" spans="2:10" x14ac:dyDescent="0.3">
      <c r="B29" s="39">
        <v>10</v>
      </c>
      <c r="C29" s="139" t="s">
        <v>300</v>
      </c>
      <c r="D29" s="139"/>
      <c r="E29" s="139"/>
      <c r="F29" s="139"/>
      <c r="G29" s="39"/>
      <c r="H29" s="39"/>
      <c r="I29" s="39"/>
      <c r="J29" s="39">
        <v>23400</v>
      </c>
    </row>
    <row r="30" spans="2:10" x14ac:dyDescent="0.3">
      <c r="B30" s="140" t="s">
        <v>301</v>
      </c>
      <c r="C30" s="141"/>
      <c r="D30" s="141"/>
      <c r="E30" s="141"/>
      <c r="F30" s="142"/>
      <c r="G30" s="135" t="s">
        <v>302</v>
      </c>
      <c r="H30" s="135"/>
      <c r="I30" s="135"/>
      <c r="J30" s="91">
        <f>SUM(J7:J29)</f>
        <v>255370</v>
      </c>
    </row>
    <row r="31" spans="2:10" x14ac:dyDescent="0.3">
      <c r="B31" s="143"/>
      <c r="C31" s="144"/>
      <c r="D31" s="144"/>
      <c r="E31" s="144"/>
      <c r="F31" s="145"/>
      <c r="G31" s="135" t="s">
        <v>303</v>
      </c>
      <c r="H31" s="135"/>
      <c r="I31" s="135"/>
      <c r="J31" s="91"/>
    </row>
    <row r="32" spans="2:10" x14ac:dyDescent="0.3">
      <c r="B32" s="143"/>
      <c r="C32" s="144"/>
      <c r="D32" s="144"/>
      <c r="E32" s="144"/>
      <c r="F32" s="145"/>
      <c r="G32" s="135" t="s">
        <v>303</v>
      </c>
      <c r="H32" s="135"/>
      <c r="I32" s="135"/>
      <c r="J32" s="91"/>
    </row>
    <row r="33" spans="2:10" x14ac:dyDescent="0.3">
      <c r="B33" s="146"/>
      <c r="C33" s="147"/>
      <c r="D33" s="147"/>
      <c r="E33" s="147"/>
      <c r="F33" s="148"/>
      <c r="G33" s="135" t="s">
        <v>304</v>
      </c>
      <c r="H33" s="135"/>
      <c r="I33" s="135"/>
      <c r="J33" s="92">
        <f>(J30+J31)+J32</f>
        <v>255370</v>
      </c>
    </row>
    <row r="34" spans="2:10" x14ac:dyDescent="0.3">
      <c r="B34" s="135" t="s">
        <v>305</v>
      </c>
      <c r="C34" s="135"/>
      <c r="D34" s="135"/>
      <c r="E34" s="135"/>
      <c r="F34" s="135"/>
      <c r="G34" s="135" t="s">
        <v>306</v>
      </c>
      <c r="H34" s="135"/>
      <c r="I34" s="135"/>
      <c r="J34" s="135"/>
    </row>
    <row r="35" spans="2:10" x14ac:dyDescent="0.3">
      <c r="B35" s="136" t="s">
        <v>307</v>
      </c>
      <c r="C35" s="137"/>
      <c r="D35" s="137"/>
      <c r="E35" s="137"/>
      <c r="F35" s="137"/>
      <c r="G35" s="137"/>
      <c r="H35" s="137"/>
      <c r="I35" s="137"/>
      <c r="J35" s="138"/>
    </row>
    <row r="36" spans="2:10" x14ac:dyDescent="0.3">
      <c r="B36" s="129" t="s">
        <v>308</v>
      </c>
      <c r="C36" s="130"/>
      <c r="D36" s="130"/>
      <c r="E36" s="130"/>
      <c r="F36" s="130"/>
      <c r="G36" s="130"/>
      <c r="H36" s="130"/>
      <c r="I36" s="130"/>
      <c r="J36" s="131"/>
    </row>
    <row r="37" spans="2:10" x14ac:dyDescent="0.3">
      <c r="B37" s="129" t="s">
        <v>309</v>
      </c>
      <c r="C37" s="130"/>
      <c r="D37" s="130"/>
      <c r="E37" s="130"/>
      <c r="F37" s="130"/>
      <c r="G37" s="130"/>
      <c r="H37" s="130"/>
      <c r="I37" s="130"/>
      <c r="J37" s="131"/>
    </row>
    <row r="38" spans="2:10" x14ac:dyDescent="0.3">
      <c r="B38" s="129" t="s">
        <v>310</v>
      </c>
      <c r="C38" s="130"/>
      <c r="D38" s="130"/>
      <c r="E38" s="130"/>
      <c r="F38" s="130"/>
      <c r="G38" s="130"/>
      <c r="H38" s="130"/>
      <c r="I38" s="130"/>
      <c r="J38" s="131"/>
    </row>
    <row r="39" spans="2:10" x14ac:dyDescent="0.3">
      <c r="B39" s="129" t="s">
        <v>311</v>
      </c>
      <c r="C39" s="130"/>
      <c r="D39" s="130"/>
      <c r="E39" s="130"/>
      <c r="F39" s="130"/>
      <c r="G39" s="130"/>
      <c r="H39" s="130"/>
      <c r="I39" s="130"/>
      <c r="J39" s="131"/>
    </row>
    <row r="40" spans="2:10" x14ac:dyDescent="0.3">
      <c r="B40" s="129" t="s">
        <v>312</v>
      </c>
      <c r="C40" s="130"/>
      <c r="D40" s="130"/>
      <c r="E40" s="130"/>
      <c r="F40" s="130"/>
      <c r="G40" s="130"/>
      <c r="H40" s="130"/>
      <c r="I40" s="130"/>
      <c r="J40" s="131"/>
    </row>
    <row r="41" spans="2:10" x14ac:dyDescent="0.3">
      <c r="B41" s="129" t="s">
        <v>313</v>
      </c>
      <c r="C41" s="130"/>
      <c r="D41" s="130"/>
      <c r="E41" s="130"/>
      <c r="F41" s="130"/>
      <c r="G41" s="130"/>
      <c r="H41" s="130"/>
      <c r="I41" s="130"/>
      <c r="J41" s="131"/>
    </row>
    <row r="42" spans="2:10" x14ac:dyDescent="0.3">
      <c r="B42" s="129" t="s">
        <v>314</v>
      </c>
      <c r="C42" s="130"/>
      <c r="D42" s="130"/>
      <c r="E42" s="130"/>
      <c r="F42" s="130"/>
      <c r="G42" s="130"/>
      <c r="H42" s="130"/>
      <c r="I42" s="130"/>
      <c r="J42" s="131"/>
    </row>
    <row r="43" spans="2:10" x14ac:dyDescent="0.3">
      <c r="B43" s="132" t="s">
        <v>315</v>
      </c>
      <c r="C43" s="133"/>
      <c r="D43" s="133"/>
      <c r="E43" s="133"/>
      <c r="F43" s="133"/>
      <c r="G43" s="133"/>
      <c r="H43" s="133"/>
      <c r="I43" s="133"/>
      <c r="J43" s="134"/>
    </row>
  </sheetData>
  <mergeCells count="63">
    <mergeCell ref="B1:J1"/>
    <mergeCell ref="B2:J2"/>
    <mergeCell ref="B3:F3"/>
    <mergeCell ref="G3:I3"/>
    <mergeCell ref="B4:F4"/>
    <mergeCell ref="G4:J4"/>
    <mergeCell ref="B5:F5"/>
    <mergeCell ref="G5:J5"/>
    <mergeCell ref="C6:F6"/>
    <mergeCell ref="B7:B9"/>
    <mergeCell ref="C7:D9"/>
    <mergeCell ref="E7:F7"/>
    <mergeCell ref="E8:F8"/>
    <mergeCell ref="E9:F9"/>
    <mergeCell ref="C10:D10"/>
    <mergeCell ref="E10:F10"/>
    <mergeCell ref="C11:D11"/>
    <mergeCell ref="E11:F11"/>
    <mergeCell ref="B12:B13"/>
    <mergeCell ref="C12:D13"/>
    <mergeCell ref="E12:F12"/>
    <mergeCell ref="E13:F13"/>
    <mergeCell ref="B14:B21"/>
    <mergeCell ref="C14:D21"/>
    <mergeCell ref="E14:F14"/>
    <mergeCell ref="E15:F15"/>
    <mergeCell ref="E16:F16"/>
    <mergeCell ref="E17:F17"/>
    <mergeCell ref="E18:F18"/>
    <mergeCell ref="E19:F19"/>
    <mergeCell ref="E20:F20"/>
    <mergeCell ref="E21:F21"/>
    <mergeCell ref="B22:B23"/>
    <mergeCell ref="C22:D23"/>
    <mergeCell ref="E22:F22"/>
    <mergeCell ref="E23:F23"/>
    <mergeCell ref="C24:D24"/>
    <mergeCell ref="E24:F24"/>
    <mergeCell ref="C25:D25"/>
    <mergeCell ref="E25:F25"/>
    <mergeCell ref="B26:B28"/>
    <mergeCell ref="C26:D28"/>
    <mergeCell ref="E26:F26"/>
    <mergeCell ref="E27:F27"/>
    <mergeCell ref="E28:F28"/>
    <mergeCell ref="B38:J38"/>
    <mergeCell ref="C29:D29"/>
    <mergeCell ref="E29:F29"/>
    <mergeCell ref="B30:F33"/>
    <mergeCell ref="G30:I30"/>
    <mergeCell ref="G31:I31"/>
    <mergeCell ref="G32:I32"/>
    <mergeCell ref="G33:I33"/>
    <mergeCell ref="B34:F34"/>
    <mergeCell ref="G34:J34"/>
    <mergeCell ref="B35:J35"/>
    <mergeCell ref="B36:J36"/>
    <mergeCell ref="B37:J37"/>
    <mergeCell ref="B39:J39"/>
    <mergeCell ref="B40:J40"/>
    <mergeCell ref="B41:J41"/>
    <mergeCell ref="B42:J42"/>
    <mergeCell ref="B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CUTLIST</vt:lpstr>
      <vt:lpstr>INDENT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tukaram shinde</cp:lastModifiedBy>
  <cp:lastPrinted>2024-02-29T04:04:52Z</cp:lastPrinted>
  <dcterms:created xsi:type="dcterms:W3CDTF">2017-06-02T06:23:10Z</dcterms:created>
  <dcterms:modified xsi:type="dcterms:W3CDTF">2024-03-06T14:32:48Z</dcterms:modified>
</cp:coreProperties>
</file>