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 PERFORMANCE\"/>
    </mc:Choice>
  </mc:AlternateContent>
  <xr:revisionPtr revIDLastSave="0" documentId="13_ncr:1_{631EC942-8627-4427-9EF6-F250CB6CA86A}" xr6:coauthVersionLast="47" xr6:coauthVersionMax="47" xr10:uidLastSave="{00000000-0000-0000-0000-000000000000}"/>
  <bookViews>
    <workbookView xWindow="-120" yWindow="-120" windowWidth="20730" windowHeight="11040" xr2:uid="{10E0EB34-412F-40D2-9809-5397FD1A2CB3}"/>
  </bookViews>
  <sheets>
    <sheet name="Sheet1" sheetId="1" r:id="rId1"/>
  </sheets>
  <definedNames>
    <definedName name="_xlnm.Print_Titles" localSheetId="0">Sheet1!$4:$6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" i="1" l="1"/>
  <c r="O38" i="1"/>
  <c r="N37" i="1"/>
  <c r="P37" i="1" s="1"/>
  <c r="L37" i="1"/>
  <c r="J37" i="1"/>
  <c r="P38" i="1"/>
  <c r="P39" i="1"/>
  <c r="H28" i="1"/>
  <c r="H45" i="1"/>
  <c r="H15" i="1"/>
  <c r="P15" i="1" s="1"/>
  <c r="O15" i="1"/>
  <c r="H38" i="1"/>
  <c r="H35" i="1"/>
  <c r="P35" i="1" s="1"/>
  <c r="O35" i="1"/>
  <c r="N43" i="1"/>
  <c r="L43" i="1"/>
  <c r="O43" i="1"/>
  <c r="J43" i="1"/>
  <c r="N36" i="1"/>
  <c r="L36" i="1"/>
  <c r="J36" i="1"/>
  <c r="H36" i="1"/>
  <c r="O36" i="1"/>
  <c r="E51" i="1"/>
  <c r="M50" i="1"/>
  <c r="N50" i="1" s="1"/>
  <c r="N51" i="1" s="1"/>
  <c r="K50" i="1"/>
  <c r="L50" i="1" s="1"/>
  <c r="L51" i="1" s="1"/>
  <c r="I50" i="1"/>
  <c r="J50" i="1" s="1"/>
  <c r="J51" i="1" s="1"/>
  <c r="G50" i="1"/>
  <c r="G51" i="1" s="1"/>
  <c r="F50" i="1"/>
  <c r="F51" i="1" s="1"/>
  <c r="M47" i="1"/>
  <c r="K47" i="1"/>
  <c r="I47" i="1"/>
  <c r="G47" i="1"/>
  <c r="E47" i="1"/>
  <c r="O46" i="1"/>
  <c r="N46" i="1"/>
  <c r="L46" i="1"/>
  <c r="J46" i="1"/>
  <c r="H46" i="1"/>
  <c r="F46" i="1"/>
  <c r="H43" i="1"/>
  <c r="E40" i="1"/>
  <c r="O39" i="1"/>
  <c r="J39" i="1"/>
  <c r="O34" i="1"/>
  <c r="N34" i="1"/>
  <c r="L34" i="1"/>
  <c r="J34" i="1"/>
  <c r="H34" i="1"/>
  <c r="F34" i="1"/>
  <c r="O33" i="1"/>
  <c r="N33" i="1"/>
  <c r="L33" i="1"/>
  <c r="J33" i="1"/>
  <c r="H33" i="1"/>
  <c r="F33" i="1"/>
  <c r="O32" i="1"/>
  <c r="F32" i="1"/>
  <c r="P32" i="1" s="1"/>
  <c r="O31" i="1"/>
  <c r="N31" i="1"/>
  <c r="L31" i="1"/>
  <c r="J31" i="1"/>
  <c r="H31" i="1"/>
  <c r="F31" i="1"/>
  <c r="O30" i="1"/>
  <c r="F30" i="1"/>
  <c r="P30" i="1" s="1"/>
  <c r="O29" i="1"/>
  <c r="J29" i="1"/>
  <c r="F29" i="1"/>
  <c r="P29" i="1" s="1"/>
  <c r="O28" i="1"/>
  <c r="F28" i="1"/>
  <c r="N27" i="1"/>
  <c r="M27" i="1"/>
  <c r="L27" i="1"/>
  <c r="K27" i="1"/>
  <c r="K40" i="1" s="1"/>
  <c r="J27" i="1"/>
  <c r="I27" i="1"/>
  <c r="I40" i="1" s="1"/>
  <c r="H27" i="1"/>
  <c r="G27" i="1"/>
  <c r="F27" i="1"/>
  <c r="N26" i="1"/>
  <c r="M26" i="1"/>
  <c r="O26" i="1" s="1"/>
  <c r="L26" i="1"/>
  <c r="J26" i="1"/>
  <c r="H26" i="1"/>
  <c r="F26" i="1"/>
  <c r="M23" i="1"/>
  <c r="K23" i="1"/>
  <c r="I23" i="1"/>
  <c r="G23" i="1"/>
  <c r="J21" i="1"/>
  <c r="O20" i="1"/>
  <c r="H20" i="1"/>
  <c r="P20" i="1" s="1"/>
  <c r="O19" i="1"/>
  <c r="H19" i="1"/>
  <c r="P19" i="1" s="1"/>
  <c r="O18" i="1"/>
  <c r="H18" i="1"/>
  <c r="P18" i="1" s="1"/>
  <c r="O17" i="1"/>
  <c r="O16" i="1"/>
  <c r="H16" i="1"/>
  <c r="P16" i="1" s="1"/>
  <c r="O14" i="1"/>
  <c r="H14" i="1"/>
  <c r="P14" i="1" s="1"/>
  <c r="O13" i="1"/>
  <c r="H13" i="1"/>
  <c r="P13" i="1" s="1"/>
  <c r="O12" i="1"/>
  <c r="N12" i="1"/>
  <c r="L12" i="1"/>
  <c r="J12" i="1"/>
  <c r="H12" i="1"/>
  <c r="F12" i="1"/>
  <c r="O11" i="1"/>
  <c r="N11" i="1"/>
  <c r="L11" i="1"/>
  <c r="J11" i="1"/>
  <c r="H11" i="1"/>
  <c r="F11" i="1"/>
  <c r="P10" i="1"/>
  <c r="O10" i="1"/>
  <c r="O9" i="1"/>
  <c r="N9" i="1"/>
  <c r="L9" i="1"/>
  <c r="J9" i="1"/>
  <c r="H9" i="1"/>
  <c r="F9" i="1"/>
  <c r="N8" i="1"/>
  <c r="L8" i="1"/>
  <c r="J8" i="1"/>
  <c r="H8" i="1"/>
  <c r="F8" i="1"/>
  <c r="E8" i="1"/>
  <c r="O8" i="1" s="1"/>
  <c r="P28" i="1" l="1"/>
  <c r="P36" i="1"/>
  <c r="N47" i="1"/>
  <c r="P43" i="1"/>
  <c r="L47" i="1"/>
  <c r="J47" i="1"/>
  <c r="P12" i="1"/>
  <c r="H40" i="1"/>
  <c r="P26" i="1"/>
  <c r="P34" i="1"/>
  <c r="P46" i="1"/>
  <c r="L23" i="1"/>
  <c r="P8" i="1"/>
  <c r="P11" i="1"/>
  <c r="N23" i="1"/>
  <c r="P33" i="1"/>
  <c r="F47" i="1"/>
  <c r="O23" i="1"/>
  <c r="O50" i="1"/>
  <c r="O51" i="1" s="1"/>
  <c r="J40" i="1"/>
  <c r="H23" i="1"/>
  <c r="J23" i="1"/>
  <c r="L40" i="1"/>
  <c r="N40" i="1"/>
  <c r="P9" i="1"/>
  <c r="P31" i="1"/>
  <c r="O47" i="1"/>
  <c r="P27" i="1"/>
  <c r="O27" i="1"/>
  <c r="O40" i="1" s="1"/>
  <c r="F40" i="1"/>
  <c r="H50" i="1"/>
  <c r="H51" i="1" s="1"/>
  <c r="G40" i="1"/>
  <c r="G54" i="1" s="1"/>
  <c r="H47" i="1"/>
  <c r="I51" i="1"/>
  <c r="I54" i="1" s="1"/>
  <c r="E23" i="1"/>
  <c r="E54" i="1" s="1"/>
  <c r="K51" i="1"/>
  <c r="K54" i="1" s="1"/>
  <c r="F23" i="1"/>
  <c r="M51" i="1"/>
  <c r="M40" i="1"/>
  <c r="P47" i="1" l="1"/>
  <c r="P40" i="1"/>
  <c r="N54" i="1"/>
  <c r="L54" i="1"/>
  <c r="F54" i="1"/>
  <c r="J54" i="1"/>
  <c r="O54" i="1"/>
  <c r="P23" i="1"/>
  <c r="H54" i="1"/>
  <c r="P50" i="1"/>
  <c r="P51" i="1" s="1"/>
  <c r="M54" i="1"/>
  <c r="P54" i="1" l="1"/>
</calcChain>
</file>

<file path=xl/sharedStrings.xml><?xml version="1.0" encoding="utf-8"?>
<sst xmlns="http://schemas.openxmlformats.org/spreadsheetml/2006/main" count="109" uniqueCount="74">
  <si>
    <t>BENZO CHEM INDUSTRIES PVT. LTD.</t>
  </si>
  <si>
    <t>PARTICULARS</t>
  </si>
  <si>
    <t>NOV</t>
  </si>
  <si>
    <t>DEC</t>
  </si>
  <si>
    <t>JAN</t>
  </si>
  <si>
    <t>FEB</t>
  </si>
  <si>
    <t>QTY</t>
  </si>
  <si>
    <t>SALES</t>
  </si>
  <si>
    <t>MAR</t>
  </si>
  <si>
    <t>JALGAON</t>
  </si>
  <si>
    <t>4mxpa</t>
  </si>
  <si>
    <t>1CMN</t>
  </si>
  <si>
    <t>opa</t>
  </si>
  <si>
    <t>alpha bromo</t>
  </si>
  <si>
    <t>TOTAL</t>
  </si>
  <si>
    <t>MLK1</t>
  </si>
  <si>
    <t>PCCN</t>
  </si>
  <si>
    <t>EOU</t>
  </si>
  <si>
    <t>DAHEJ</t>
  </si>
  <si>
    <t>DCP KETONE</t>
  </si>
  <si>
    <t>cdmt</t>
  </si>
  <si>
    <t>MCCN</t>
  </si>
  <si>
    <t>M2CP</t>
  </si>
  <si>
    <t>OCB</t>
  </si>
  <si>
    <t>PCPAA</t>
  </si>
  <si>
    <t>OCPAA</t>
  </si>
  <si>
    <t>PCB</t>
  </si>
  <si>
    <t>2C POWDER</t>
  </si>
  <si>
    <t>3CMA</t>
  </si>
  <si>
    <t>2,4 DCCN - LOCAL</t>
  </si>
  <si>
    <t>4 METHYL BENZYL CHLORIDE</t>
  </si>
  <si>
    <t>4 methoxy phenacyl bromide</t>
  </si>
  <si>
    <t>TEAS</t>
  </si>
  <si>
    <t>PENDING CONFIRMED ORDERS FOR SUPPLIES FROM NOV., 24 - MAR., 25</t>
  </si>
  <si>
    <t>OCBCN</t>
  </si>
  <si>
    <t>TOTAL - JALGAON</t>
  </si>
  <si>
    <t>TOTAL - MLK 1</t>
  </si>
  <si>
    <t>TOTAL - EOU</t>
  </si>
  <si>
    <t>TOTAL - DAHEJ</t>
  </si>
  <si>
    <t xml:space="preserve">TOTAL - COMPANY </t>
  </si>
  <si>
    <t>Chlorothymol</t>
  </si>
  <si>
    <t>Cresylic Acid</t>
  </si>
  <si>
    <t>4-Bromo Anisole</t>
  </si>
  <si>
    <t>Customer Name</t>
  </si>
  <si>
    <t>Centaur pharma, Vidith healthcare</t>
  </si>
  <si>
    <t>Hikal ltd</t>
  </si>
  <si>
    <t>Prime Disin/  Super hygenic</t>
  </si>
  <si>
    <t>1-Naphtaldehdye</t>
  </si>
  <si>
    <t>Artek surfine</t>
  </si>
  <si>
    <t>Mangalam ,Asiel chem pharma ,Siflon</t>
  </si>
  <si>
    <t>Medilux /Kalpasutra/SLN pharma</t>
  </si>
  <si>
    <t>1- Napthyl acetonitrile</t>
  </si>
  <si>
    <t>BYK INDIA PVT LTD</t>
  </si>
  <si>
    <t>CHLOROTHYMOL</t>
  </si>
  <si>
    <t>INDOCO REMEDIES LTD</t>
  </si>
  <si>
    <t>PCMC</t>
  </si>
  <si>
    <t xml:space="preserve">VDH CHEM TECH PVT LTD </t>
  </si>
  <si>
    <t>CROPNOSYS (INDIA ) PVT LTD</t>
  </si>
  <si>
    <t>Punjab Chemicals</t>
  </si>
  <si>
    <t>Vanita</t>
  </si>
  <si>
    <t>Deccan Goa</t>
  </si>
  <si>
    <t>Sales person Name</t>
  </si>
  <si>
    <t>S.Kant Healthcare /Bal pharma/DCM /Asiel chem pharma</t>
  </si>
  <si>
    <t>Cohance</t>
  </si>
  <si>
    <t>Uma</t>
  </si>
  <si>
    <t>Rampex</t>
  </si>
  <si>
    <t>Shantanu</t>
  </si>
  <si>
    <t>Para Xylene (RM )</t>
  </si>
  <si>
    <t>Jamun impex</t>
  </si>
  <si>
    <t>Polyvalent organics</t>
  </si>
  <si>
    <t>3-ISO</t>
  </si>
  <si>
    <t>Coromondel</t>
  </si>
  <si>
    <t>Ipca</t>
  </si>
  <si>
    <t>Acharya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</si>
</sst>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03DD-7712-43B8-B527-0D69F9D298D6}">
  <sheetPr>
    <pageSetUpPr fitToPage="1"/>
  </sheetPr>
  <dimension ref="A1:P55"/>
  <sheetViews>
    <sheetView tabSelected="1" zoomScale="106" zoomScaleNormal="106" workbookViewId="0">
      <selection activeCell="E18" sqref="E18"/>
    </sheetView>
  </sheetViews>
  <sheetFormatPr defaultColWidth="8.85546875" defaultRowHeight="15" x14ac:dyDescent="0.25"/>
  <cols>
    <col min="1" max="1" width="27.85546875" style="2" customWidth="1"/>
    <col min="2" max="2" width="18.140625" style="2" customWidth="1"/>
    <col min="3" max="3" width="35" style="2" customWidth="1"/>
    <col min="4" max="4" width="6.140625" style="2" customWidth="1"/>
    <col min="5" max="5" width="8.85546875" style="2"/>
    <col min="6" max="6" width="13.28515625" style="2" customWidth="1"/>
    <col min="7" max="7" width="8.85546875" style="2"/>
    <col min="8" max="8" width="11.140625" style="2" customWidth="1"/>
    <col min="9" max="9" width="8.85546875" style="2"/>
    <col min="10" max="10" width="9.85546875" style="2" customWidth="1"/>
    <col min="11" max="11" width="8.85546875" style="2"/>
    <col min="12" max="12" width="12.140625" style="2" customWidth="1"/>
    <col min="13" max="13" width="8.85546875" style="2"/>
    <col min="14" max="14" width="11.85546875" style="2" customWidth="1"/>
    <col min="15" max="15" width="8.85546875" style="2"/>
    <col min="16" max="16" width="12.42578125" style="2" customWidth="1"/>
    <col min="17" max="17" width="9" style="2" bestFit="1" customWidth="1"/>
    <col min="18" max="16384" width="8.85546875" style="2"/>
  </cols>
  <sheetData>
    <row r="1" spans="1:16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s="15" t="s">
        <v>33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4" spans="1:16" x14ac:dyDescent="0.25">
      <c r="A4" s="7" t="s">
        <v>1</v>
      </c>
      <c r="B4" s="7" t="s">
        <v>61</v>
      </c>
      <c r="C4" s="7" t="s">
        <v>43</v>
      </c>
      <c r="D4" s="8"/>
      <c r="E4" s="16" t="s">
        <v>2</v>
      </c>
      <c r="F4" s="16"/>
      <c r="G4" s="16" t="s">
        <v>3</v>
      </c>
      <c r="H4" s="16" t="s">
        <v>3</v>
      </c>
      <c r="I4" s="16" t="s">
        <v>4</v>
      </c>
      <c r="J4" s="16" t="s">
        <v>4</v>
      </c>
      <c r="K4" s="16" t="s">
        <v>5</v>
      </c>
      <c r="L4" s="16" t="s">
        <v>5</v>
      </c>
      <c r="M4" s="16" t="s">
        <v>8</v>
      </c>
      <c r="N4" s="16" t="s">
        <v>8</v>
      </c>
      <c r="O4" s="16" t="s">
        <v>14</v>
      </c>
      <c r="P4" s="16" t="s">
        <v>8</v>
      </c>
    </row>
    <row r="5" spans="1:16" x14ac:dyDescent="0.25">
      <c r="A5" s="9"/>
      <c r="B5" s="9"/>
      <c r="C5" s="9"/>
      <c r="D5" s="9"/>
      <c r="E5" s="10" t="s">
        <v>6</v>
      </c>
      <c r="F5" s="10" t="s">
        <v>7</v>
      </c>
      <c r="G5" s="10" t="s">
        <v>6</v>
      </c>
      <c r="H5" s="10" t="s">
        <v>7</v>
      </c>
      <c r="I5" s="10" t="s">
        <v>6</v>
      </c>
      <c r="J5" s="10" t="s">
        <v>7</v>
      </c>
      <c r="K5" s="10" t="s">
        <v>6</v>
      </c>
      <c r="L5" s="10" t="s">
        <v>7</v>
      </c>
      <c r="M5" s="10" t="s">
        <v>6</v>
      </c>
      <c r="N5" s="10" t="s">
        <v>7</v>
      </c>
      <c r="O5" s="10" t="s">
        <v>6</v>
      </c>
      <c r="P5" s="10" t="s">
        <v>7</v>
      </c>
    </row>
    <row r="7" spans="1:16" x14ac:dyDescent="0.25">
      <c r="A7" s="1" t="s">
        <v>9</v>
      </c>
      <c r="B7" s="1"/>
    </row>
    <row r="8" spans="1:16" x14ac:dyDescent="0.25">
      <c r="A8" s="2" t="s">
        <v>10</v>
      </c>
      <c r="E8" s="2">
        <f>1800+300+8000</f>
        <v>10100</v>
      </c>
      <c r="F8" s="2">
        <f>(27000*91)+(25*400*83.5)+(8000*1167)</f>
        <v>12628000</v>
      </c>
      <c r="G8" s="2">
        <v>18000</v>
      </c>
      <c r="H8" s="2">
        <f>1115*G8</f>
        <v>20070000</v>
      </c>
      <c r="I8" s="2">
        <v>18000</v>
      </c>
      <c r="J8" s="2">
        <f>1115*I8</f>
        <v>20070000</v>
      </c>
      <c r="K8" s="2">
        <v>18000</v>
      </c>
      <c r="L8" s="2">
        <f>1115*K8</f>
        <v>20070000</v>
      </c>
      <c r="M8" s="4">
        <v>18000</v>
      </c>
      <c r="N8" s="4">
        <f>1115*M8</f>
        <v>20070000</v>
      </c>
      <c r="O8" s="2">
        <f t="shared" ref="O8:P20" si="0">+E8+G8+I8+K8+M8</f>
        <v>82100</v>
      </c>
      <c r="P8" s="2">
        <f t="shared" si="0"/>
        <v>92908000</v>
      </c>
    </row>
    <row r="9" spans="1:16" x14ac:dyDescent="0.25">
      <c r="A9" s="2" t="s">
        <v>11</v>
      </c>
      <c r="E9" s="2">
        <v>9600</v>
      </c>
      <c r="F9" s="2">
        <f>124224*91</f>
        <v>11304384</v>
      </c>
      <c r="G9" s="2">
        <v>1000</v>
      </c>
      <c r="H9" s="2">
        <f>+G9*850</f>
        <v>850000</v>
      </c>
      <c r="I9" s="2">
        <v>1000</v>
      </c>
      <c r="J9" s="2">
        <f>+I9*850</f>
        <v>850000</v>
      </c>
      <c r="K9" s="2">
        <v>1000</v>
      </c>
      <c r="L9" s="2">
        <f>+K9*850</f>
        <v>850000</v>
      </c>
      <c r="M9" s="2">
        <v>1000</v>
      </c>
      <c r="N9" s="2">
        <f>+M9*850</f>
        <v>850000</v>
      </c>
      <c r="O9" s="2">
        <f t="shared" si="0"/>
        <v>13600</v>
      </c>
      <c r="P9" s="2">
        <f t="shared" si="0"/>
        <v>14704384</v>
      </c>
    </row>
    <row r="10" spans="1:16" x14ac:dyDescent="0.25">
      <c r="A10" s="12" t="s">
        <v>12</v>
      </c>
      <c r="E10" s="2">
        <v>1000</v>
      </c>
      <c r="F10" s="2">
        <v>8350000</v>
      </c>
      <c r="G10" s="2">
        <v>1000</v>
      </c>
      <c r="H10" s="2">
        <v>8350000</v>
      </c>
      <c r="M10" s="2">
        <v>1000</v>
      </c>
      <c r="N10" s="2">
        <v>8350000</v>
      </c>
      <c r="O10" s="2">
        <f t="shared" si="0"/>
        <v>3000</v>
      </c>
      <c r="P10" s="2">
        <f t="shared" si="0"/>
        <v>25050000</v>
      </c>
    </row>
    <row r="11" spans="1:16" x14ac:dyDescent="0.25">
      <c r="A11" s="12" t="s">
        <v>13</v>
      </c>
      <c r="E11" s="2">
        <v>15000</v>
      </c>
      <c r="F11" s="2">
        <f>+E11*880</f>
        <v>13200000</v>
      </c>
      <c r="G11" s="2">
        <v>15000</v>
      </c>
      <c r="H11" s="2">
        <f>+G11*880</f>
        <v>13200000</v>
      </c>
      <c r="I11" s="2">
        <v>15000</v>
      </c>
      <c r="J11" s="2">
        <f>+I11*880</f>
        <v>13200000</v>
      </c>
      <c r="K11" s="2">
        <v>15000</v>
      </c>
      <c r="L11" s="2">
        <f>+K11*880</f>
        <v>13200000</v>
      </c>
      <c r="M11" s="2">
        <v>15000</v>
      </c>
      <c r="N11" s="2">
        <f>+M11*880</f>
        <v>13200000</v>
      </c>
      <c r="O11" s="2">
        <f t="shared" si="0"/>
        <v>75000</v>
      </c>
      <c r="P11" s="2">
        <f t="shared" si="0"/>
        <v>66000000</v>
      </c>
    </row>
    <row r="12" spans="1:16" x14ac:dyDescent="0.25">
      <c r="A12" s="12" t="s">
        <v>31</v>
      </c>
      <c r="B12" s="2" t="s">
        <v>59</v>
      </c>
      <c r="C12" s="2" t="s">
        <v>50</v>
      </c>
      <c r="E12" s="2">
        <v>3000</v>
      </c>
      <c r="F12" s="2">
        <f>+E12*1340</f>
        <v>4020000</v>
      </c>
      <c r="G12" s="2">
        <v>1000</v>
      </c>
      <c r="H12" s="2">
        <f>+G12*1340</f>
        <v>1340000</v>
      </c>
      <c r="I12" s="2">
        <v>1000</v>
      </c>
      <c r="J12" s="2">
        <f>+I12*1340</f>
        <v>1340000</v>
      </c>
      <c r="K12" s="2">
        <v>1000</v>
      </c>
      <c r="L12" s="2">
        <f>+K12*1340</f>
        <v>1340000</v>
      </c>
      <c r="M12" s="2">
        <v>1000</v>
      </c>
      <c r="N12" s="2">
        <f>+M12*1340</f>
        <v>1340000</v>
      </c>
      <c r="O12" s="2">
        <f t="shared" si="0"/>
        <v>7000</v>
      </c>
      <c r="P12" s="2">
        <f t="shared" si="0"/>
        <v>9380000</v>
      </c>
    </row>
    <row r="13" spans="1:16" x14ac:dyDescent="0.25">
      <c r="A13" s="12" t="s">
        <v>32</v>
      </c>
      <c r="C13" s="2" t="s">
        <v>52</v>
      </c>
      <c r="G13" s="2">
        <v>4600</v>
      </c>
      <c r="H13" s="2">
        <f>+G13*410</f>
        <v>1886000</v>
      </c>
      <c r="O13" s="2">
        <f t="shared" si="0"/>
        <v>4600</v>
      </c>
      <c r="P13" s="2">
        <f t="shared" si="0"/>
        <v>1886000</v>
      </c>
    </row>
    <row r="14" spans="1:16" x14ac:dyDescent="0.25">
      <c r="A14" s="14" t="s">
        <v>47</v>
      </c>
      <c r="B14" s="2" t="s">
        <v>59</v>
      </c>
      <c r="C14" s="2" t="s">
        <v>48</v>
      </c>
      <c r="G14" s="2">
        <v>25</v>
      </c>
      <c r="H14" s="2">
        <f>+G14*2450</f>
        <v>61250</v>
      </c>
      <c r="O14" s="2">
        <f t="shared" si="0"/>
        <v>25</v>
      </c>
      <c r="P14" s="2">
        <f t="shared" si="0"/>
        <v>61250</v>
      </c>
    </row>
    <row r="15" spans="1:16" x14ac:dyDescent="0.25">
      <c r="A15" s="14"/>
      <c r="B15" s="2" t="s">
        <v>59</v>
      </c>
      <c r="C15" s="2" t="s">
        <v>69</v>
      </c>
      <c r="G15" s="2">
        <v>10</v>
      </c>
      <c r="H15" s="2">
        <f>+G15*3500</f>
        <v>35000</v>
      </c>
      <c r="O15" s="2">
        <f t="shared" si="0"/>
        <v>10</v>
      </c>
      <c r="P15" s="2">
        <f t="shared" si="0"/>
        <v>35000</v>
      </c>
    </row>
    <row r="16" spans="1:16" x14ac:dyDescent="0.25">
      <c r="A16" s="12" t="s">
        <v>40</v>
      </c>
      <c r="B16" s="2" t="s">
        <v>59</v>
      </c>
      <c r="C16" s="2" t="s">
        <v>44</v>
      </c>
      <c r="G16" s="2">
        <v>50</v>
      </c>
      <c r="H16" s="2">
        <f>+G16*6700</f>
        <v>335000</v>
      </c>
      <c r="O16" s="2">
        <f t="shared" si="0"/>
        <v>50</v>
      </c>
      <c r="P16" s="2">
        <f t="shared" si="0"/>
        <v>335000</v>
      </c>
    </row>
    <row r="17" spans="1:16" x14ac:dyDescent="0.25">
      <c r="A17" s="12" t="s">
        <v>53</v>
      </c>
      <c r="B17" s="2" t="s">
        <v>66</v>
      </c>
      <c r="C17" s="2" t="s">
        <v>54</v>
      </c>
      <c r="G17" s="2">
        <v>150</v>
      </c>
      <c r="H17">
        <v>1550000</v>
      </c>
      <c r="O17" s="2">
        <f t="shared" si="0"/>
        <v>150</v>
      </c>
      <c r="P17">
        <v>1550000</v>
      </c>
    </row>
    <row r="18" spans="1:16" x14ac:dyDescent="0.25">
      <c r="A18" s="2" t="s">
        <v>41</v>
      </c>
      <c r="B18" s="2" t="s">
        <v>59</v>
      </c>
      <c r="C18" s="2" t="s">
        <v>46</v>
      </c>
      <c r="G18" s="2">
        <v>1200</v>
      </c>
      <c r="H18" s="2">
        <f>+G18*130</f>
        <v>156000</v>
      </c>
      <c r="O18" s="2">
        <f t="shared" si="0"/>
        <v>1200</v>
      </c>
      <c r="P18" s="2">
        <f t="shared" si="0"/>
        <v>156000</v>
      </c>
    </row>
    <row r="19" spans="1:16" x14ac:dyDescent="0.25">
      <c r="A19" s="2" t="s">
        <v>42</v>
      </c>
      <c r="B19" s="2" t="s">
        <v>59</v>
      </c>
      <c r="C19" s="2" t="s">
        <v>45</v>
      </c>
      <c r="G19" s="2">
        <v>100</v>
      </c>
      <c r="H19" s="2">
        <f>+G19*750</f>
        <v>75000</v>
      </c>
      <c r="O19" s="2">
        <f t="shared" si="0"/>
        <v>100</v>
      </c>
      <c r="P19" s="2">
        <f t="shared" si="0"/>
        <v>75000</v>
      </c>
    </row>
    <row r="20" spans="1:16" x14ac:dyDescent="0.25">
      <c r="A20" s="2" t="s">
        <v>20</v>
      </c>
      <c r="G20" s="2">
        <v>6400</v>
      </c>
      <c r="H20" s="2">
        <f>18.75*83.5*G20</f>
        <v>10020000</v>
      </c>
      <c r="O20" s="2">
        <f t="shared" si="0"/>
        <v>6400</v>
      </c>
      <c r="P20" s="2">
        <f t="shared" si="0"/>
        <v>10020000</v>
      </c>
    </row>
    <row r="21" spans="1:16" x14ac:dyDescent="0.25">
      <c r="A21" s="2" t="s">
        <v>51</v>
      </c>
      <c r="B21" s="2" t="s">
        <v>64</v>
      </c>
      <c r="I21" s="2">
        <v>330</v>
      </c>
      <c r="J21" s="2">
        <f>+I21*4250</f>
        <v>1402500</v>
      </c>
    </row>
    <row r="22" spans="1:16" x14ac:dyDescent="0.25">
      <c r="A22" s="2" t="s">
        <v>55</v>
      </c>
      <c r="B22" s="2" t="s">
        <v>66</v>
      </c>
      <c r="C22" s="11" t="s">
        <v>56</v>
      </c>
      <c r="G22" s="2">
        <v>2000</v>
      </c>
      <c r="H22" s="2">
        <v>1400000</v>
      </c>
    </row>
    <row r="23" spans="1:16" x14ac:dyDescent="0.25">
      <c r="A23" s="1" t="s">
        <v>35</v>
      </c>
      <c r="B23" s="1"/>
      <c r="E23" s="5">
        <f t="shared" ref="E23:P23" si="1">SUM(E8:E20)</f>
        <v>38700</v>
      </c>
      <c r="F23" s="5">
        <f t="shared" si="1"/>
        <v>49502384</v>
      </c>
      <c r="G23" s="5">
        <f>SUM(G8:G22)</f>
        <v>50535</v>
      </c>
      <c r="H23" s="5">
        <f>SUM(H8:H22)</f>
        <v>59328250</v>
      </c>
      <c r="I23" s="5">
        <f>SUM(I8:I21)</f>
        <v>35330</v>
      </c>
      <c r="J23" s="5">
        <f>SUM(J8:J21)</f>
        <v>36862500</v>
      </c>
      <c r="K23" s="5">
        <f t="shared" si="1"/>
        <v>35000</v>
      </c>
      <c r="L23" s="5">
        <f t="shared" si="1"/>
        <v>35460000</v>
      </c>
      <c r="M23" s="5">
        <f t="shared" si="1"/>
        <v>36000</v>
      </c>
      <c r="N23" s="5">
        <f t="shared" si="1"/>
        <v>43810000</v>
      </c>
      <c r="O23" s="5">
        <f t="shared" si="1"/>
        <v>193235</v>
      </c>
      <c r="P23" s="5">
        <f t="shared" si="1"/>
        <v>222160634</v>
      </c>
    </row>
    <row r="25" spans="1:16" x14ac:dyDescent="0.25">
      <c r="A25" s="1" t="s">
        <v>15</v>
      </c>
      <c r="B25" s="1"/>
    </row>
    <row r="26" spans="1:16" x14ac:dyDescent="0.25">
      <c r="A26" s="2" t="s">
        <v>16</v>
      </c>
      <c r="C26" s="2" t="s">
        <v>49</v>
      </c>
      <c r="E26" s="2">
        <v>8000</v>
      </c>
      <c r="F26" s="2">
        <f>+E26*410</f>
        <v>3280000</v>
      </c>
      <c r="G26" s="2">
        <v>5400</v>
      </c>
      <c r="H26" s="2">
        <f>+G26*410</f>
        <v>2214000</v>
      </c>
      <c r="I26" s="2">
        <v>5000</v>
      </c>
      <c r="J26" s="2">
        <f>+I26*410</f>
        <v>2050000</v>
      </c>
      <c r="K26" s="2">
        <v>5000</v>
      </c>
      <c r="L26" s="2">
        <f>+K26*410</f>
        <v>2050000</v>
      </c>
      <c r="M26" s="2">
        <f>7040+5000</f>
        <v>12040</v>
      </c>
      <c r="N26" s="2">
        <f>(59136*83.5)+(5000*410)</f>
        <v>6987856</v>
      </c>
      <c r="O26" s="2">
        <f t="shared" ref="O26:P39" si="2">+E26+G26+I26+K26+M26</f>
        <v>35440</v>
      </c>
      <c r="P26" s="2">
        <f t="shared" si="2"/>
        <v>16581856</v>
      </c>
    </row>
    <row r="27" spans="1:16" x14ac:dyDescent="0.25">
      <c r="A27" s="2" t="s">
        <v>21</v>
      </c>
      <c r="E27" s="2">
        <v>5000</v>
      </c>
      <c r="F27" s="2">
        <f>+E27*1075</f>
        <v>5375000</v>
      </c>
      <c r="G27" s="2">
        <f>13000+15000</f>
        <v>28000</v>
      </c>
      <c r="H27" s="2">
        <f>(1165*13000)+(1075*15000)</f>
        <v>31270000</v>
      </c>
      <c r="I27" s="2">
        <f>13000+15000</f>
        <v>28000</v>
      </c>
      <c r="J27" s="2">
        <f>(1165*13000)+(1075*15000)</f>
        <v>31270000</v>
      </c>
      <c r="K27" s="2">
        <f>13000+10000</f>
        <v>23000</v>
      </c>
      <c r="L27" s="2">
        <f>(1165*13000)+(1075*10000)</f>
        <v>25895000</v>
      </c>
      <c r="M27" s="2">
        <f>13000+10000</f>
        <v>23000</v>
      </c>
      <c r="N27" s="2">
        <f>(1165*13000)+(1075*10000)</f>
        <v>25895000</v>
      </c>
      <c r="O27" s="2">
        <f t="shared" si="2"/>
        <v>107000</v>
      </c>
      <c r="P27" s="2">
        <f t="shared" si="2"/>
        <v>119705000</v>
      </c>
    </row>
    <row r="28" spans="1:16" x14ac:dyDescent="0.25">
      <c r="A28" s="2" t="s">
        <v>29</v>
      </c>
      <c r="B28" s="2" t="s">
        <v>59</v>
      </c>
      <c r="C28" s="2" t="s">
        <v>60</v>
      </c>
      <c r="E28" s="2">
        <v>50000</v>
      </c>
      <c r="F28" s="2">
        <f>+E28*630</f>
        <v>31500000</v>
      </c>
      <c r="G28" s="2">
        <v>3000</v>
      </c>
      <c r="H28" s="2">
        <f>+G28*630</f>
        <v>1890000</v>
      </c>
      <c r="O28" s="2">
        <f t="shared" si="2"/>
        <v>53000</v>
      </c>
      <c r="P28" s="2">
        <f t="shared" si="2"/>
        <v>33390000</v>
      </c>
    </row>
    <row r="29" spans="1:16" x14ac:dyDescent="0.25">
      <c r="A29" s="2" t="s">
        <v>22</v>
      </c>
      <c r="B29" s="2" t="s">
        <v>64</v>
      </c>
      <c r="E29" s="2">
        <v>10152</v>
      </c>
      <c r="F29" s="2">
        <f>+E29*650</f>
        <v>6598800</v>
      </c>
      <c r="I29" s="2">
        <v>21996</v>
      </c>
      <c r="J29" s="2">
        <f>+I29*650</f>
        <v>14297400</v>
      </c>
      <c r="O29" s="2">
        <f t="shared" si="2"/>
        <v>32148</v>
      </c>
      <c r="P29" s="2">
        <f t="shared" si="2"/>
        <v>20896200</v>
      </c>
    </row>
    <row r="30" spans="1:16" x14ac:dyDescent="0.25">
      <c r="A30" s="2" t="s">
        <v>34</v>
      </c>
      <c r="E30" s="2">
        <v>20000</v>
      </c>
      <c r="F30" s="2">
        <f>+E30*310</f>
        <v>6200000</v>
      </c>
      <c r="O30" s="2">
        <f t="shared" si="2"/>
        <v>20000</v>
      </c>
      <c r="P30" s="2">
        <f t="shared" si="2"/>
        <v>6200000</v>
      </c>
    </row>
    <row r="31" spans="1:16" x14ac:dyDescent="0.25">
      <c r="A31" s="2" t="s">
        <v>23</v>
      </c>
      <c r="E31" s="2">
        <v>150000</v>
      </c>
      <c r="F31" s="2">
        <f>+E31*210</f>
        <v>31500000</v>
      </c>
      <c r="G31" s="2">
        <v>10000</v>
      </c>
      <c r="H31" s="2">
        <f>+G31*210</f>
        <v>2100000</v>
      </c>
      <c r="I31" s="2">
        <v>15000</v>
      </c>
      <c r="J31" s="2">
        <f>+I31*210</f>
        <v>3150000</v>
      </c>
      <c r="K31" s="2">
        <v>10000</v>
      </c>
      <c r="L31" s="2">
        <f>+K31*210</f>
        <v>2100000</v>
      </c>
      <c r="M31" s="2">
        <v>10000</v>
      </c>
      <c r="N31" s="2">
        <f>+M31*210</f>
        <v>2100000</v>
      </c>
      <c r="O31" s="2">
        <f t="shared" si="2"/>
        <v>195000</v>
      </c>
      <c r="P31" s="2">
        <f t="shared" si="2"/>
        <v>40950000</v>
      </c>
    </row>
    <row r="32" spans="1:16" x14ac:dyDescent="0.25">
      <c r="A32" s="2" t="s">
        <v>24</v>
      </c>
      <c r="E32" s="2">
        <v>32500</v>
      </c>
      <c r="F32" s="2">
        <f>+E32*505</f>
        <v>16412500</v>
      </c>
      <c r="O32" s="2">
        <f t="shared" si="2"/>
        <v>32500</v>
      </c>
      <c r="P32" s="2">
        <f t="shared" si="2"/>
        <v>16412500</v>
      </c>
    </row>
    <row r="33" spans="1:16" x14ac:dyDescent="0.25">
      <c r="A33" s="2" t="s">
        <v>25</v>
      </c>
      <c r="E33" s="2">
        <v>8000</v>
      </c>
      <c r="F33" s="2">
        <f>+E33*510</f>
        <v>4080000</v>
      </c>
      <c r="G33" s="2">
        <v>8000</v>
      </c>
      <c r="H33" s="2">
        <f>+G33*510</f>
        <v>4080000</v>
      </c>
      <c r="I33" s="2">
        <v>8000</v>
      </c>
      <c r="J33" s="2">
        <f>+I33*510</f>
        <v>4080000</v>
      </c>
      <c r="K33" s="2">
        <v>8000</v>
      </c>
      <c r="L33" s="2">
        <f>+K33*510</f>
        <v>4080000</v>
      </c>
      <c r="M33" s="2">
        <v>8000</v>
      </c>
      <c r="N33" s="2">
        <f>+M33*510</f>
        <v>4080000</v>
      </c>
      <c r="O33" s="2">
        <f t="shared" si="2"/>
        <v>40000</v>
      </c>
      <c r="P33" s="2">
        <f t="shared" si="2"/>
        <v>20400000</v>
      </c>
    </row>
    <row r="34" spans="1:16" x14ac:dyDescent="0.25">
      <c r="A34" s="14" t="s">
        <v>26</v>
      </c>
      <c r="B34" s="2" t="s">
        <v>64</v>
      </c>
      <c r="C34" s="2" t="s">
        <v>63</v>
      </c>
      <c r="F34" s="2">
        <f>+E34*210</f>
        <v>0</v>
      </c>
      <c r="G34" s="2">
        <v>2800</v>
      </c>
      <c r="H34" s="2">
        <f>+G34*210</f>
        <v>588000</v>
      </c>
      <c r="J34" s="2">
        <f>+I34*210</f>
        <v>0</v>
      </c>
      <c r="L34" s="2">
        <f>+K34*210</f>
        <v>0</v>
      </c>
      <c r="N34" s="2">
        <f>+M34*210</f>
        <v>0</v>
      </c>
      <c r="O34" s="2">
        <f t="shared" si="2"/>
        <v>2800</v>
      </c>
      <c r="P34" s="2">
        <f t="shared" si="2"/>
        <v>588000</v>
      </c>
    </row>
    <row r="35" spans="1:16" x14ac:dyDescent="0.25">
      <c r="A35" s="14"/>
      <c r="B35" s="2" t="s">
        <v>64</v>
      </c>
      <c r="C35" s="2" t="s">
        <v>65</v>
      </c>
      <c r="G35" s="2">
        <v>650</v>
      </c>
      <c r="H35" s="2">
        <f>+G35*350</f>
        <v>227500</v>
      </c>
      <c r="O35" s="2">
        <f t="shared" si="2"/>
        <v>650</v>
      </c>
      <c r="P35" s="2">
        <f t="shared" si="2"/>
        <v>227500</v>
      </c>
    </row>
    <row r="36" spans="1:16" ht="30" x14ac:dyDescent="0.25">
      <c r="A36" s="14"/>
      <c r="B36" s="2" t="s">
        <v>59</v>
      </c>
      <c r="C36" s="13" t="s">
        <v>62</v>
      </c>
      <c r="E36" s="2">
        <v>8000</v>
      </c>
      <c r="F36" s="2">
        <v>210</v>
      </c>
      <c r="G36" s="2">
        <v>500</v>
      </c>
      <c r="H36" s="2">
        <f>+G36*350</f>
        <v>175000</v>
      </c>
      <c r="I36" s="2">
        <v>20000</v>
      </c>
      <c r="J36" s="2">
        <f>+I36*220</f>
        <v>4400000</v>
      </c>
      <c r="K36" s="2">
        <v>5000</v>
      </c>
      <c r="L36" s="2">
        <f>+K36*202</f>
        <v>1010000</v>
      </c>
      <c r="M36" s="2">
        <v>5000</v>
      </c>
      <c r="N36" s="2">
        <f>+M36*205</f>
        <v>1025000</v>
      </c>
      <c r="O36" s="2">
        <f t="shared" si="2"/>
        <v>38500</v>
      </c>
      <c r="P36" s="2">
        <f t="shared" si="2"/>
        <v>6610210</v>
      </c>
    </row>
    <row r="37" spans="1:16" x14ac:dyDescent="0.25">
      <c r="A37" s="14"/>
      <c r="B37" s="2" t="s">
        <v>59</v>
      </c>
      <c r="C37" s="2" t="s">
        <v>72</v>
      </c>
      <c r="I37" s="2">
        <v>5000</v>
      </c>
      <c r="J37" s="2">
        <f>+I37*210</f>
        <v>1050000</v>
      </c>
      <c r="K37" s="2">
        <v>5000</v>
      </c>
      <c r="L37" s="2">
        <f>+K37*210</f>
        <v>1050000</v>
      </c>
      <c r="M37" s="2">
        <v>5000</v>
      </c>
      <c r="N37" s="2">
        <f>+M37*210</f>
        <v>1050000</v>
      </c>
      <c r="O37" s="2">
        <f t="shared" si="2"/>
        <v>15000</v>
      </c>
      <c r="P37" s="2">
        <f t="shared" si="2"/>
        <v>3150000</v>
      </c>
    </row>
    <row r="38" spans="1:16" x14ac:dyDescent="0.25">
      <c r="A38" s="12" t="s">
        <v>67</v>
      </c>
      <c r="B38" s="2" t="s">
        <v>59</v>
      </c>
      <c r="C38" s="2" t="s">
        <v>68</v>
      </c>
      <c r="G38" s="2">
        <v>5040</v>
      </c>
      <c r="H38" s="2">
        <f>+G38*125</f>
        <v>630000</v>
      </c>
      <c r="O38" s="2">
        <f t="shared" si="2"/>
        <v>5040</v>
      </c>
      <c r="P38" s="2">
        <f t="shared" si="2"/>
        <v>630000</v>
      </c>
    </row>
    <row r="39" spans="1:16" x14ac:dyDescent="0.25">
      <c r="A39" s="2" t="s">
        <v>30</v>
      </c>
      <c r="J39" s="2">
        <f>+I39*250</f>
        <v>0</v>
      </c>
      <c r="O39" s="2">
        <f t="shared" si="2"/>
        <v>0</v>
      </c>
      <c r="P39" s="2">
        <f t="shared" si="2"/>
        <v>0</v>
      </c>
    </row>
    <row r="40" spans="1:16" x14ac:dyDescent="0.25">
      <c r="A40" s="1" t="s">
        <v>36</v>
      </c>
      <c r="B40" s="1"/>
      <c r="E40" s="5">
        <f t="shared" ref="E40:P40" si="3">SUM(E26:E39)</f>
        <v>291652</v>
      </c>
      <c r="F40" s="5">
        <f t="shared" si="3"/>
        <v>104946510</v>
      </c>
      <c r="G40" s="5">
        <f t="shared" si="3"/>
        <v>63390</v>
      </c>
      <c r="H40" s="5">
        <f t="shared" si="3"/>
        <v>43174500</v>
      </c>
      <c r="I40" s="5">
        <f t="shared" si="3"/>
        <v>102996</v>
      </c>
      <c r="J40" s="5">
        <f t="shared" si="3"/>
        <v>60297400</v>
      </c>
      <c r="K40" s="5">
        <f t="shared" si="3"/>
        <v>56000</v>
      </c>
      <c r="L40" s="5">
        <f t="shared" si="3"/>
        <v>36185000</v>
      </c>
      <c r="M40" s="5">
        <f t="shared" si="3"/>
        <v>63040</v>
      </c>
      <c r="N40" s="5">
        <f t="shared" si="3"/>
        <v>41137856</v>
      </c>
      <c r="O40" s="5">
        <f t="shared" si="3"/>
        <v>577078</v>
      </c>
      <c r="P40" s="5">
        <f t="shared" si="3"/>
        <v>285741266</v>
      </c>
    </row>
    <row r="42" spans="1:16" x14ac:dyDescent="0.25">
      <c r="A42" s="1" t="s">
        <v>17</v>
      </c>
      <c r="B42" s="1"/>
    </row>
    <row r="43" spans="1:16" x14ac:dyDescent="0.25">
      <c r="A43" s="2" t="s">
        <v>27</v>
      </c>
      <c r="B43" s="2" t="s">
        <v>59</v>
      </c>
      <c r="C43" s="2" t="s">
        <v>58</v>
      </c>
      <c r="G43" s="2">
        <v>15900</v>
      </c>
      <c r="H43" s="2">
        <f>+G43*689</f>
        <v>10955100</v>
      </c>
      <c r="I43" s="2">
        <v>30000</v>
      </c>
      <c r="J43" s="2">
        <f>+I43*700</f>
        <v>21000000</v>
      </c>
      <c r="K43" s="2">
        <v>30000</v>
      </c>
      <c r="L43" s="2">
        <f>+K43*700</f>
        <v>21000000</v>
      </c>
      <c r="M43" s="2">
        <v>20000</v>
      </c>
      <c r="N43" s="2">
        <f>+M43*700</f>
        <v>14000000</v>
      </c>
      <c r="O43" s="2">
        <f t="shared" ref="O43:P43" si="4">+E43+G43+I43+K43+M43</f>
        <v>95900</v>
      </c>
      <c r="P43" s="2">
        <f t="shared" si="4"/>
        <v>66955100</v>
      </c>
    </row>
    <row r="44" spans="1:16" x14ac:dyDescent="0.25">
      <c r="A44" s="2" t="s">
        <v>27</v>
      </c>
      <c r="B44" s="2" t="s">
        <v>66</v>
      </c>
      <c r="C44" s="2" t="s">
        <v>57</v>
      </c>
      <c r="G44" s="2">
        <v>150</v>
      </c>
      <c r="H44" s="2">
        <v>147000</v>
      </c>
      <c r="O44" s="2">
        <v>150</v>
      </c>
      <c r="P44" s="2">
        <v>147000</v>
      </c>
    </row>
    <row r="45" spans="1:16" x14ac:dyDescent="0.25">
      <c r="A45" s="2" t="s">
        <v>70</v>
      </c>
      <c r="B45" s="2" t="s">
        <v>59</v>
      </c>
      <c r="C45" s="2" t="s">
        <v>71</v>
      </c>
      <c r="G45" s="2">
        <v>300</v>
      </c>
      <c r="H45" s="2">
        <f>+G45*1900</f>
        <v>570000</v>
      </c>
    </row>
    <row r="46" spans="1:16" x14ac:dyDescent="0.25">
      <c r="A46" s="2" t="s">
        <v>28</v>
      </c>
      <c r="B46" s="2" t="s">
        <v>59</v>
      </c>
      <c r="C46" s="2" t="s">
        <v>73</v>
      </c>
      <c r="E46" s="2">
        <v>50000</v>
      </c>
      <c r="F46" s="2">
        <f>+E46*760</f>
        <v>38000000</v>
      </c>
      <c r="G46" s="2">
        <v>56000</v>
      </c>
      <c r="H46" s="2">
        <f>+G46*760</f>
        <v>42560000</v>
      </c>
      <c r="I46" s="2">
        <v>35000</v>
      </c>
      <c r="J46" s="2">
        <f>+I46*760</f>
        <v>26600000</v>
      </c>
      <c r="K46" s="2">
        <v>35000</v>
      </c>
      <c r="L46" s="2">
        <f>+K46*760</f>
        <v>26600000</v>
      </c>
      <c r="M46" s="2">
        <v>35000</v>
      </c>
      <c r="N46" s="2">
        <f>+M46*760</f>
        <v>26600000</v>
      </c>
      <c r="O46" s="2">
        <f t="shared" ref="O46:P46" si="5">+E46+G46+I46+K46+M46</f>
        <v>211000</v>
      </c>
      <c r="P46" s="2">
        <f t="shared" si="5"/>
        <v>160360000</v>
      </c>
    </row>
    <row r="47" spans="1:16" x14ac:dyDescent="0.25">
      <c r="A47" s="1" t="s">
        <v>37</v>
      </c>
      <c r="B47" s="1"/>
      <c r="E47" s="5">
        <f t="shared" ref="E47:P47" si="6">SUM(E43:E46)</f>
        <v>50000</v>
      </c>
      <c r="F47" s="5">
        <f t="shared" si="6"/>
        <v>38000000</v>
      </c>
      <c r="G47" s="5">
        <f>SUM(G43:G46)</f>
        <v>72350</v>
      </c>
      <c r="H47" s="5">
        <f>SUM(H43:H46)</f>
        <v>54232100</v>
      </c>
      <c r="I47" s="5">
        <f t="shared" si="6"/>
        <v>65000</v>
      </c>
      <c r="J47" s="5">
        <f t="shared" si="6"/>
        <v>47600000</v>
      </c>
      <c r="K47" s="5">
        <f>SUM(K43:K46)</f>
        <v>65000</v>
      </c>
      <c r="L47" s="5">
        <f>SUM(L43:L46)</f>
        <v>47600000</v>
      </c>
      <c r="M47" s="5">
        <f t="shared" si="6"/>
        <v>55000</v>
      </c>
      <c r="N47" s="5">
        <f t="shared" si="6"/>
        <v>40600000</v>
      </c>
      <c r="O47" s="5">
        <f t="shared" si="6"/>
        <v>307050</v>
      </c>
      <c r="P47" s="5">
        <f t="shared" si="6"/>
        <v>227462100</v>
      </c>
    </row>
    <row r="49" spans="1:16" x14ac:dyDescent="0.25">
      <c r="A49" s="1" t="s">
        <v>18</v>
      </c>
      <c r="B49" s="1"/>
    </row>
    <row r="50" spans="1:16" x14ac:dyDescent="0.25">
      <c r="A50" s="2" t="s">
        <v>19</v>
      </c>
      <c r="B50" s="2" t="s">
        <v>59</v>
      </c>
      <c r="C50" s="3" t="s">
        <v>60</v>
      </c>
      <c r="E50" s="2">
        <v>6625</v>
      </c>
      <c r="F50" s="2">
        <f>+E50*4726</f>
        <v>31309750</v>
      </c>
      <c r="G50" s="2">
        <f>6625*3</f>
        <v>19875</v>
      </c>
      <c r="H50" s="2">
        <f>+G50*4726</f>
        <v>93929250</v>
      </c>
      <c r="I50" s="2">
        <f>6625*3</f>
        <v>19875</v>
      </c>
      <c r="J50" s="2">
        <f>+I50*4726</f>
        <v>93929250</v>
      </c>
      <c r="K50" s="2">
        <f>6625*3</f>
        <v>19875</v>
      </c>
      <c r="L50" s="2">
        <f>+K50*4726</f>
        <v>93929250</v>
      </c>
      <c r="M50" s="2">
        <f>6625*3</f>
        <v>19875</v>
      </c>
      <c r="N50" s="2">
        <f>+M50*4726</f>
        <v>93929250</v>
      </c>
      <c r="O50" s="2">
        <f t="shared" ref="O50:P50" si="7">+E50+G50+I50+K50+M50</f>
        <v>86125</v>
      </c>
      <c r="P50" s="2">
        <f t="shared" si="7"/>
        <v>407026750</v>
      </c>
    </row>
    <row r="51" spans="1:16" x14ac:dyDescent="0.25">
      <c r="A51" s="1" t="s">
        <v>38</v>
      </c>
      <c r="B51" s="1"/>
      <c r="E51" s="5">
        <f t="shared" ref="E51:P51" si="8">SUM(E50:E50)</f>
        <v>6625</v>
      </c>
      <c r="F51" s="5">
        <f t="shared" si="8"/>
        <v>31309750</v>
      </c>
      <c r="G51" s="5">
        <f t="shared" si="8"/>
        <v>19875</v>
      </c>
      <c r="H51" s="5">
        <f t="shared" si="8"/>
        <v>93929250</v>
      </c>
      <c r="I51" s="5">
        <f t="shared" si="8"/>
        <v>19875</v>
      </c>
      <c r="J51" s="5">
        <f t="shared" si="8"/>
        <v>93929250</v>
      </c>
      <c r="K51" s="5">
        <f t="shared" si="8"/>
        <v>19875</v>
      </c>
      <c r="L51" s="5">
        <f t="shared" si="8"/>
        <v>93929250</v>
      </c>
      <c r="M51" s="5">
        <f t="shared" si="8"/>
        <v>19875</v>
      </c>
      <c r="N51" s="5">
        <f t="shared" si="8"/>
        <v>93929250</v>
      </c>
      <c r="O51" s="5">
        <f t="shared" si="8"/>
        <v>86125</v>
      </c>
      <c r="P51" s="5">
        <f t="shared" si="8"/>
        <v>407026750</v>
      </c>
    </row>
    <row r="54" spans="1:16" ht="15.75" thickBot="1" x14ac:dyDescent="0.3">
      <c r="A54" s="1" t="s">
        <v>39</v>
      </c>
      <c r="B54" s="1"/>
      <c r="E54" s="6">
        <f t="shared" ref="E54:P54" si="9">+E51+E47+E40+E23</f>
        <v>386977</v>
      </c>
      <c r="F54" s="6">
        <f t="shared" si="9"/>
        <v>223758644</v>
      </c>
      <c r="G54" s="6">
        <f t="shared" si="9"/>
        <v>206150</v>
      </c>
      <c r="H54" s="6">
        <f t="shared" si="9"/>
        <v>250664100</v>
      </c>
      <c r="I54" s="6">
        <f t="shared" si="9"/>
        <v>223201</v>
      </c>
      <c r="J54" s="6">
        <f t="shared" si="9"/>
        <v>238689150</v>
      </c>
      <c r="K54" s="6">
        <f t="shared" si="9"/>
        <v>175875</v>
      </c>
      <c r="L54" s="6">
        <f t="shared" si="9"/>
        <v>213174250</v>
      </c>
      <c r="M54" s="6">
        <f t="shared" si="9"/>
        <v>173915</v>
      </c>
      <c r="N54" s="6">
        <f t="shared" si="9"/>
        <v>219477106</v>
      </c>
      <c r="O54" s="6">
        <f t="shared" si="9"/>
        <v>1163488</v>
      </c>
      <c r="P54" s="6">
        <f t="shared" si="9"/>
        <v>1142390750</v>
      </c>
    </row>
    <row r="55" spans="1:16" ht="15.75" thickTop="1" x14ac:dyDescent="0.25"/>
  </sheetData>
  <mergeCells count="10">
    <mergeCell ref="A34:A37"/>
    <mergeCell ref="A14:A15"/>
    <mergeCell ref="A1:P1"/>
    <mergeCell ref="A2:P2"/>
    <mergeCell ref="O4:P4"/>
    <mergeCell ref="E4:F4"/>
    <mergeCell ref="G4:H4"/>
    <mergeCell ref="I4:J4"/>
    <mergeCell ref="K4:L4"/>
    <mergeCell ref="M4:N4"/>
  </mergeCells>
  <printOptions gridLines="1"/>
  <pageMargins left="0.11811023622047245" right="0.11811023622047245" top="0.35433070866141736" bottom="0.35433070866141736" header="0.31496062992125984" footer="0.31496062992125984"/>
  <pageSetup paperSize="9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marketing@benzochem.co.in</dc:creator>
  <cp:lastModifiedBy>Admin</cp:lastModifiedBy>
  <cp:lastPrinted>2024-11-14T06:30:03Z</cp:lastPrinted>
  <dcterms:created xsi:type="dcterms:W3CDTF">2024-11-05T08:57:20Z</dcterms:created>
  <dcterms:modified xsi:type="dcterms:W3CDTF">2024-12-19T10:20:41Z</dcterms:modified>
</cp:coreProperties>
</file>