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drawings/drawing28.xml" ContentType="application/vnd.openxmlformats-officedocument.drawing+xml"/>
  <Override PartName="/xl/charts/chart8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drawings/drawing24.xml" ContentType="application/vnd.openxmlformats-officedocument.drawing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drawings/drawing31.xml" ContentType="application/vnd.openxmlformats-officedocument.drawing+xml"/>
  <Override PartName="/xl/charts/chart92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25.xml" ContentType="application/vnd.openxmlformats-officedocument.drawing+xml"/>
  <Override PartName="/xl/charts/chart86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drawings/drawing32.xml" ContentType="application/vnd.openxmlformats-officedocument.drawing+xml"/>
  <Override PartName="/xl/charts/chart106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drawings/drawing21.xml" ContentType="application/vnd.openxmlformats-officedocument.drawing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worksheets/sheet26.xml" ContentType="application/vnd.openxmlformats-officedocument.spreadsheetml.workshee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22.xml" ContentType="application/vnd.openxmlformats-officedocument.drawing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drawings/drawing27.xml" ContentType="application/vnd.openxmlformats-officedocument.drawing+xml"/>
  <Override PartName="/xl/charts/chart88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drawings/drawing34.xml" ContentType="application/vnd.openxmlformats-officedocument.drawing+xml"/>
  <Override PartName="/xl/charts/chart10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84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drawings/drawing30.xml" ContentType="application/vnd.openxmlformats-officedocument.drawing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worksheets/sheet28.xml" ContentType="application/vnd.openxmlformats-officedocument.spreadsheetml.work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 xmlns:mx="http://schemas.microsoft.com/office/mac/excel/2008/main" xmlns:r="http://schemas.openxmlformats.org/officeDocument/2006/relationships">
  <x:fileVersion appName="xl" lastEdited="4" lowestEdited="4" rupBuild="4507"/>
  <x:workbookPr autoCompressPictures="0"/>
  <x:bookViews>
    <x:workbookView xWindow="0" yWindow="0" windowWidth="20730" windowHeight="11760" tabRatio="806" firstSheet="27" activeTab="35"/>
  </x:bookViews>
  <x:sheets>
    <x:sheet name="Jan 10" sheetId="1" state="hidden" r:id="rId1"/>
    <x:sheet name="Feb 10" sheetId="4" state="hidden" r:id="rId2"/>
    <x:sheet name="Mar 10" sheetId="5" state="hidden" r:id="rId3"/>
    <x:sheet name="Apr 10" sheetId="6" state="hidden" r:id="rId4"/>
    <x:sheet name="May 10" sheetId="7" state="hidden" r:id="rId5"/>
    <x:sheet name="Jun 10" sheetId="9" state="hidden" r:id="rId6"/>
    <x:sheet name="Jul 10" sheetId="10" state="hidden" r:id="rId7"/>
    <x:sheet name="Aug 10" sheetId="11" state="hidden" r:id="rId8"/>
    <x:sheet name="Sep 10" sheetId="12" state="hidden" r:id="rId9"/>
    <x:sheet name="Oct 10" sheetId="13" state="hidden" r:id="rId10"/>
    <x:sheet name="Nov 10" sheetId="14" state="hidden" r:id="rId11"/>
    <x:sheet name="Dec 10" sheetId="15" state="hidden" r:id="rId12"/>
    <x:sheet name="Month - Jan 2011" sheetId="19" r:id="rId13"/>
    <x:sheet name="Month - Feb 2011" sheetId="23" r:id="rId14"/>
    <x:sheet name="Month - Mar 2011" sheetId="24" r:id="rId15"/>
    <x:sheet name="Month - Apr 2011" sheetId="25" r:id="rId16"/>
    <x:sheet name="Month - May 2011 " sheetId="26" r:id="rId17"/>
    <x:sheet name="Month - June 2011 " sheetId="27" r:id="rId18"/>
    <x:sheet name="Month - July 2011 " sheetId="28" r:id="rId19"/>
    <x:sheet name="Month - Aug 2011 " sheetId="29" r:id="rId20"/>
    <x:sheet name="Month - Sept 2011 " sheetId="30" r:id="rId21"/>
    <x:sheet name="Month - Oct 2011 " sheetId="31" r:id="rId22"/>
    <x:sheet name="Month - Nov 2011 " sheetId="32" r:id="rId23"/>
    <x:sheet name="Month - Dec 2011 " sheetId="33" r:id="rId24"/>
    <x:sheet name="Month - Jan 2012 " sheetId="34" r:id="rId25"/>
    <x:sheet name="Month - Feb 2012 " sheetId="38" r:id="rId26"/>
    <x:sheet name="Month - Mar 2012  " sheetId="36" r:id="rId27"/>
    <x:sheet name="Month - Apr 2012 " sheetId="39" r:id="rId28"/>
    <x:sheet name="Month - May 2012" sheetId="40" r:id="rId29"/>
    <x:sheet name="Month - June 2012" sheetId="41" r:id="rId30"/>
    <x:sheet name="Month - July 2012" sheetId="42" r:id="rId31"/>
    <x:sheet name="Month - Aug 2012" sheetId="43" r:id="rId32"/>
    <x:sheet name="Month - Sept 2012" sheetId="44" r:id="rId33"/>
    <x:sheet name="Month - Oct 2012" sheetId="45" r:id="rId34"/>
    <x:sheet name="Month - Nov 2012" sheetId="46" r:id="rId35"/>
    <x:sheet name="Month - Jan 2013" sheetId="48" r:id="rId36"/>
  </x:sheets>
  <x:externalReferences>
    <x:externalReference r:id="rId37"/>
  </x:externalReferences>
  <x:definedNames>
    <x:definedName name="_xlnm.Print_Area" localSheetId="35">Sep '[1]10'!$B$2:$AA$118</x:definedName>
    <x:definedName name="_xlnm.Print_Area">Sep '[1]10'!$B$2:$AA$118</x:definedName>
  </x:definedNames>
  <x:calcPr calcId="125725" fullCalcOnLoad="1" calcOnSave="1" concurrentCalc="0" forceFullCalc="1"/>
  <x:extLst xmlns:x="http://schemas.openxmlformats.org/spreadsheetml/2006/main" xmlns:mx="http://schemas.microsoft.com/office/mac/excel/2008/main">
    <x:ext uri="{7523E5D3-25F3-A5E0-1632-64F254C22452}">
      <mx:ArchID Flags="2"/>
    </x:ext>
  </x:extLst>
</x:workbook>
</file>

<file path=xl/calcChain.xml><?xml version="1.0" encoding="utf-8"?>
<calcChain xmlns="http://schemas.openxmlformats.org/spreadsheetml/2006/main">
  <c r="C7" i="48"/>
  <c r="C8"/>
  <c r="C9"/>
  <c r="C10"/>
  <c r="C11"/>
  <c r="C12"/>
  <c r="C13"/>
  <c r="C14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AD53"/>
  <c r="AD54"/>
  <c r="AD55"/>
  <c r="AD56"/>
  <c r="AD57"/>
  <c r="AD58"/>
  <c r="AD59"/>
  <c r="AD60"/>
  <c r="AC53"/>
  <c r="AC54"/>
  <c r="AC55"/>
  <c r="AC56"/>
  <c r="AC57"/>
  <c r="AC58"/>
  <c r="AC59"/>
  <c r="AC60"/>
  <c r="AB53"/>
  <c r="AB54"/>
  <c r="AB55"/>
  <c r="AB56"/>
  <c r="AB57"/>
  <c r="AB58"/>
  <c r="AB59"/>
  <c r="AB60"/>
  <c r="AA53"/>
  <c r="AA54"/>
  <c r="AA55"/>
  <c r="AA56"/>
  <c r="AA57"/>
  <c r="AA58"/>
  <c r="AA59"/>
  <c r="AA60"/>
  <c r="Z53"/>
  <c r="Z54"/>
  <c r="Z55"/>
  <c r="Z56"/>
  <c r="Z57"/>
  <c r="Z58"/>
  <c r="Z59"/>
  <c r="Z60"/>
  <c r="Y53"/>
  <c r="Y54"/>
  <c r="Y55"/>
  <c r="Y56"/>
  <c r="Y57"/>
  <c r="Y58"/>
  <c r="Y59"/>
  <c r="Y60"/>
  <c r="X53"/>
  <c r="X54"/>
  <c r="X55"/>
  <c r="X56"/>
  <c r="X57"/>
  <c r="X58"/>
  <c r="X59"/>
  <c r="X60"/>
  <c r="W53"/>
  <c r="W54"/>
  <c r="W55"/>
  <c r="W56"/>
  <c r="W57"/>
  <c r="W58"/>
  <c r="W59"/>
  <c r="W60"/>
  <c r="V53"/>
  <c r="V54"/>
  <c r="V55"/>
  <c r="V56"/>
  <c r="V57"/>
  <c r="V58"/>
  <c r="V59"/>
  <c r="V60"/>
  <c r="U53"/>
  <c r="U54"/>
  <c r="U55"/>
  <c r="U56"/>
  <c r="U57"/>
  <c r="U58"/>
  <c r="U59"/>
  <c r="U60"/>
  <c r="T53"/>
  <c r="T54"/>
  <c r="T55"/>
  <c r="T56"/>
  <c r="T57"/>
  <c r="T58"/>
  <c r="T59"/>
  <c r="T60"/>
  <c r="S53"/>
  <c r="S54"/>
  <c r="S55"/>
  <c r="S56"/>
  <c r="S57"/>
  <c r="S58"/>
  <c r="S59"/>
  <c r="S60"/>
  <c r="R53"/>
  <c r="R54"/>
  <c r="R55"/>
  <c r="R56"/>
  <c r="R57"/>
  <c r="R58"/>
  <c r="R59"/>
  <c r="R60"/>
  <c r="Q53"/>
  <c r="Q54"/>
  <c r="Q55"/>
  <c r="Q56"/>
  <c r="Q57"/>
  <c r="Q58"/>
  <c r="Q59"/>
  <c r="Q60"/>
  <c r="P53"/>
  <c r="P54"/>
  <c r="P55"/>
  <c r="P56"/>
  <c r="P57"/>
  <c r="P58"/>
  <c r="P59"/>
  <c r="P60"/>
  <c r="O53"/>
  <c r="O54"/>
  <c r="O55"/>
  <c r="O56"/>
  <c r="O57"/>
  <c r="O58"/>
  <c r="O59"/>
  <c r="O60"/>
  <c r="N53"/>
  <c r="N54"/>
  <c r="N55"/>
  <c r="N56"/>
  <c r="N57"/>
  <c r="N58"/>
  <c r="N59"/>
  <c r="N60"/>
  <c r="M53"/>
  <c r="M54"/>
  <c r="M55"/>
  <c r="M56"/>
  <c r="M57"/>
  <c r="M58"/>
  <c r="M59"/>
  <c r="M60"/>
  <c r="L53"/>
  <c r="L54"/>
  <c r="L55"/>
  <c r="L56"/>
  <c r="L57"/>
  <c r="L58"/>
  <c r="L59"/>
  <c r="L60"/>
  <c r="K53"/>
  <c r="K54"/>
  <c r="K55"/>
  <c r="K56"/>
  <c r="K57"/>
  <c r="K58"/>
  <c r="K59"/>
  <c r="K60"/>
  <c r="J53"/>
  <c r="J54"/>
  <c r="J55"/>
  <c r="J56"/>
  <c r="J57"/>
  <c r="J58"/>
  <c r="J59"/>
  <c r="J60"/>
  <c r="I53"/>
  <c r="I54"/>
  <c r="I55"/>
  <c r="I56"/>
  <c r="I57"/>
  <c r="I58"/>
  <c r="I59"/>
  <c r="I60"/>
  <c r="H53"/>
  <c r="H54"/>
  <c r="H55"/>
  <c r="H56"/>
  <c r="H57"/>
  <c r="H58"/>
  <c r="H59"/>
  <c r="H60"/>
  <c r="G53"/>
  <c r="G54"/>
  <c r="G55"/>
  <c r="G56"/>
  <c r="G57"/>
  <c r="G58"/>
  <c r="G59"/>
  <c r="G60"/>
  <c r="F53"/>
  <c r="F54"/>
  <c r="F55"/>
  <c r="F56"/>
  <c r="F57"/>
  <c r="F58"/>
  <c r="F59"/>
  <c r="F60"/>
  <c r="D60"/>
  <c r="C60"/>
  <c r="B22"/>
  <c r="B33"/>
  <c r="B45"/>
  <c r="B56"/>
  <c r="B32"/>
  <c r="B44"/>
  <c r="B55"/>
  <c r="AD18"/>
  <c r="AD41"/>
  <c r="AD52"/>
  <c r="AC18"/>
  <c r="AC41"/>
  <c r="AC52"/>
  <c r="AB18"/>
  <c r="AB41"/>
  <c r="AB52"/>
  <c r="AA18"/>
  <c r="AA41"/>
  <c r="AA52"/>
  <c r="Z18"/>
  <c r="Z41"/>
  <c r="Z52"/>
  <c r="Y18"/>
  <c r="Y41"/>
  <c r="Y52"/>
  <c r="X18"/>
  <c r="X41"/>
  <c r="X52"/>
  <c r="W18"/>
  <c r="W41"/>
  <c r="W52"/>
  <c r="V18"/>
  <c r="V41"/>
  <c r="V52"/>
  <c r="U18"/>
  <c r="U41"/>
  <c r="U52"/>
  <c r="T18"/>
  <c r="T41"/>
  <c r="T52"/>
  <c r="S18"/>
  <c r="S41"/>
  <c r="S52"/>
  <c r="R18"/>
  <c r="R41"/>
  <c r="R52"/>
  <c r="Q18"/>
  <c r="Q41"/>
  <c r="Q52"/>
  <c r="P18"/>
  <c r="P41"/>
  <c r="P52"/>
  <c r="O18"/>
  <c r="O41"/>
  <c r="O52"/>
  <c r="N18"/>
  <c r="N41"/>
  <c r="N52"/>
  <c r="M18"/>
  <c r="M41"/>
  <c r="M52"/>
  <c r="L18"/>
  <c r="L41"/>
  <c r="L52"/>
  <c r="K18"/>
  <c r="K41"/>
  <c r="K52"/>
  <c r="J18"/>
  <c r="J41"/>
  <c r="J52"/>
  <c r="I18"/>
  <c r="I41"/>
  <c r="I52"/>
  <c r="H18"/>
  <c r="H41"/>
  <c r="H52"/>
  <c r="G18"/>
  <c r="G41"/>
  <c r="G52"/>
  <c r="F18"/>
  <c r="F41"/>
  <c r="F52"/>
  <c r="AF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AE37"/>
  <c r="AF37"/>
  <c r="B37"/>
  <c r="AE36"/>
  <c r="AF36"/>
  <c r="B36"/>
  <c r="AE35"/>
  <c r="AF35"/>
  <c r="AE34"/>
  <c r="AF34"/>
  <c r="B34"/>
  <c r="AE33"/>
  <c r="AF33"/>
  <c r="AE32"/>
  <c r="AF32"/>
  <c r="AE31"/>
  <c r="AF31"/>
  <c r="B31"/>
  <c r="AE30"/>
  <c r="AF30"/>
  <c r="B30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C26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C25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C24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C23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C2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C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C20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C19"/>
  <c r="AE15"/>
  <c r="AE14"/>
  <c r="E14"/>
  <c r="D14"/>
  <c r="AE13"/>
  <c r="AE12"/>
  <c r="AE11"/>
  <c r="AE10"/>
  <c r="AE9"/>
  <c r="AE8"/>
  <c r="AE7"/>
  <c r="Z53" i="46"/>
  <c r="AA53"/>
  <c r="AB53"/>
  <c r="AC53"/>
  <c r="AD53"/>
  <c r="Z54"/>
  <c r="AA54"/>
  <c r="AB54"/>
  <c r="AC54"/>
  <c r="AD54"/>
  <c r="Z55"/>
  <c r="AA55"/>
  <c r="AB55"/>
  <c r="AC55"/>
  <c r="AD55"/>
  <c r="Z56"/>
  <c r="AA56"/>
  <c r="AB56"/>
  <c r="AC56"/>
  <c r="AD56"/>
  <c r="Z57"/>
  <c r="AA57"/>
  <c r="AB57"/>
  <c r="AC57"/>
  <c r="AD57"/>
  <c r="Z58"/>
  <c r="AA58"/>
  <c r="AB58"/>
  <c r="AC58"/>
  <c r="AD58"/>
  <c r="Z59"/>
  <c r="AA59"/>
  <c r="AB59"/>
  <c r="AC59"/>
  <c r="AD59"/>
  <c r="AE11"/>
  <c r="AE12"/>
  <c r="AE15"/>
  <c r="AE14"/>
  <c r="AE13"/>
  <c r="AE10"/>
  <c r="AE9"/>
  <c r="AE8"/>
  <c r="AE7"/>
  <c r="AD28"/>
  <c r="Z28"/>
  <c r="AA28"/>
  <c r="AB28"/>
  <c r="AC28"/>
  <c r="AA42"/>
  <c r="Z42"/>
  <c r="AC42"/>
  <c r="AD42"/>
  <c r="Z43"/>
  <c r="AA43"/>
  <c r="AB43"/>
  <c r="AC43"/>
  <c r="AD43"/>
  <c r="Z44"/>
  <c r="AA44"/>
  <c r="AB44"/>
  <c r="AC44"/>
  <c r="AD44"/>
  <c r="Z45"/>
  <c r="AA45"/>
  <c r="AB45"/>
  <c r="AC45"/>
  <c r="AD45"/>
  <c r="Z46"/>
  <c r="AA46"/>
  <c r="AB46"/>
  <c r="AC46"/>
  <c r="AD46"/>
  <c r="Z47"/>
  <c r="AA47"/>
  <c r="AB47"/>
  <c r="AC47"/>
  <c r="AD47"/>
  <c r="Z48"/>
  <c r="AA48"/>
  <c r="AB48"/>
  <c r="AC48"/>
  <c r="AD48"/>
  <c r="Z18"/>
  <c r="Z29"/>
  <c r="AA18"/>
  <c r="AA41"/>
  <c r="AA52"/>
  <c r="AB18"/>
  <c r="AB41"/>
  <c r="AB52"/>
  <c r="AC18"/>
  <c r="AC29"/>
  <c r="AD18"/>
  <c r="AD29"/>
  <c r="E63"/>
  <c r="D60"/>
  <c r="C60"/>
  <c r="W38"/>
  <c r="Y59"/>
  <c r="Y48"/>
  <c r="X59"/>
  <c r="X48"/>
  <c r="W59"/>
  <c r="W48"/>
  <c r="V59"/>
  <c r="V48"/>
  <c r="U59"/>
  <c r="U48"/>
  <c r="T59"/>
  <c r="T48"/>
  <c r="S59"/>
  <c r="S48"/>
  <c r="R59"/>
  <c r="R48"/>
  <c r="Q59"/>
  <c r="Q48"/>
  <c r="P59"/>
  <c r="P48"/>
  <c r="O59"/>
  <c r="O48"/>
  <c r="N59"/>
  <c r="N48"/>
  <c r="M59"/>
  <c r="M48"/>
  <c r="L59"/>
  <c r="L48"/>
  <c r="K59"/>
  <c r="K48"/>
  <c r="J59"/>
  <c r="J48"/>
  <c r="I59"/>
  <c r="I48"/>
  <c r="H59"/>
  <c r="H48"/>
  <c r="G59"/>
  <c r="G48"/>
  <c r="F59"/>
  <c r="F48"/>
  <c r="Y58"/>
  <c r="Y47"/>
  <c r="X58"/>
  <c r="X47"/>
  <c r="W58"/>
  <c r="W47"/>
  <c r="V58"/>
  <c r="V47"/>
  <c r="U58"/>
  <c r="U47"/>
  <c r="T58"/>
  <c r="T47"/>
  <c r="S58"/>
  <c r="S47"/>
  <c r="R58"/>
  <c r="R47"/>
  <c r="Q58"/>
  <c r="Q47"/>
  <c r="P58"/>
  <c r="P47"/>
  <c r="O58"/>
  <c r="O47"/>
  <c r="N58"/>
  <c r="N47"/>
  <c r="M58"/>
  <c r="M47"/>
  <c r="L58"/>
  <c r="L47"/>
  <c r="K58"/>
  <c r="K47"/>
  <c r="J58"/>
  <c r="J47"/>
  <c r="I58"/>
  <c r="I47"/>
  <c r="H58"/>
  <c r="H47"/>
  <c r="G58"/>
  <c r="G47"/>
  <c r="F58"/>
  <c r="F47"/>
  <c r="Y57"/>
  <c r="Y46"/>
  <c r="X57"/>
  <c r="X46"/>
  <c r="W57"/>
  <c r="W46"/>
  <c r="V57"/>
  <c r="V46"/>
  <c r="U57"/>
  <c r="U46"/>
  <c r="T57"/>
  <c r="T46"/>
  <c r="S57"/>
  <c r="S46"/>
  <c r="R57"/>
  <c r="R46"/>
  <c r="Q57"/>
  <c r="Q46"/>
  <c r="P57"/>
  <c r="P46"/>
  <c r="O57"/>
  <c r="O46"/>
  <c r="N57"/>
  <c r="N46"/>
  <c r="M57"/>
  <c r="M46"/>
  <c r="L57"/>
  <c r="L46"/>
  <c r="K57"/>
  <c r="K46"/>
  <c r="J57"/>
  <c r="J46"/>
  <c r="I57"/>
  <c r="I46"/>
  <c r="H57"/>
  <c r="H46"/>
  <c r="G57"/>
  <c r="G46"/>
  <c r="F57"/>
  <c r="F46"/>
  <c r="Y56"/>
  <c r="Y45"/>
  <c r="X56"/>
  <c r="X45"/>
  <c r="W56"/>
  <c r="W45"/>
  <c r="V56"/>
  <c r="V45"/>
  <c r="U56"/>
  <c r="U45"/>
  <c r="T56"/>
  <c r="T45"/>
  <c r="S56"/>
  <c r="S45"/>
  <c r="R56"/>
  <c r="R45"/>
  <c r="Q56"/>
  <c r="Q45"/>
  <c r="P56"/>
  <c r="P45"/>
  <c r="O56"/>
  <c r="O45"/>
  <c r="N56"/>
  <c r="N45"/>
  <c r="M56"/>
  <c r="M45"/>
  <c r="L56"/>
  <c r="L45"/>
  <c r="K56"/>
  <c r="K45"/>
  <c r="J56"/>
  <c r="J45"/>
  <c r="I56"/>
  <c r="I45"/>
  <c r="H56"/>
  <c r="H45"/>
  <c r="G56"/>
  <c r="G45"/>
  <c r="F56"/>
  <c r="F45"/>
  <c r="Y55"/>
  <c r="Y44"/>
  <c r="X55"/>
  <c r="X44"/>
  <c r="W55"/>
  <c r="W44"/>
  <c r="V55"/>
  <c r="V44"/>
  <c r="U55"/>
  <c r="U44"/>
  <c r="T55"/>
  <c r="T44"/>
  <c r="S55"/>
  <c r="S44"/>
  <c r="R55"/>
  <c r="R44"/>
  <c r="Q55"/>
  <c r="Q44"/>
  <c r="P55"/>
  <c r="P44"/>
  <c r="O55"/>
  <c r="O44"/>
  <c r="N55"/>
  <c r="N44"/>
  <c r="M55"/>
  <c r="M44"/>
  <c r="L55"/>
  <c r="L44"/>
  <c r="K55"/>
  <c r="K44"/>
  <c r="J55"/>
  <c r="J44"/>
  <c r="I55"/>
  <c r="I44"/>
  <c r="H55"/>
  <c r="H44"/>
  <c r="G55"/>
  <c r="G44"/>
  <c r="F55"/>
  <c r="F44"/>
  <c r="Y54"/>
  <c r="Y43"/>
  <c r="X54"/>
  <c r="X43"/>
  <c r="W54"/>
  <c r="W43"/>
  <c r="V54"/>
  <c r="V43"/>
  <c r="U54"/>
  <c r="U43"/>
  <c r="T54"/>
  <c r="T43"/>
  <c r="S54"/>
  <c r="S43"/>
  <c r="R54"/>
  <c r="R43"/>
  <c r="Q54"/>
  <c r="Q43"/>
  <c r="P54"/>
  <c r="P43"/>
  <c r="O54"/>
  <c r="O43"/>
  <c r="N54"/>
  <c r="N43"/>
  <c r="M54"/>
  <c r="M43"/>
  <c r="L54"/>
  <c r="L43"/>
  <c r="K54"/>
  <c r="K43"/>
  <c r="J54"/>
  <c r="J43"/>
  <c r="I54"/>
  <c r="I43"/>
  <c r="H54"/>
  <c r="H43"/>
  <c r="G54"/>
  <c r="G43"/>
  <c r="F54"/>
  <c r="F43"/>
  <c r="Y53"/>
  <c r="Y60"/>
  <c r="X53"/>
  <c r="W53"/>
  <c r="V53"/>
  <c r="V60"/>
  <c r="V49"/>
  <c r="U53"/>
  <c r="U60"/>
  <c r="T53"/>
  <c r="T60"/>
  <c r="S53"/>
  <c r="R53"/>
  <c r="R60"/>
  <c r="R49"/>
  <c r="Q53"/>
  <c r="Q60"/>
  <c r="P53"/>
  <c r="P60"/>
  <c r="O53"/>
  <c r="O60"/>
  <c r="N53"/>
  <c r="N60"/>
  <c r="N49"/>
  <c r="M53"/>
  <c r="M60"/>
  <c r="L53"/>
  <c r="L60"/>
  <c r="K53"/>
  <c r="K60"/>
  <c r="J53"/>
  <c r="J60"/>
  <c r="J49"/>
  <c r="I53"/>
  <c r="I60"/>
  <c r="H53"/>
  <c r="H60"/>
  <c r="G53"/>
  <c r="G60"/>
  <c r="F53"/>
  <c r="F60"/>
  <c r="F49"/>
  <c r="AF49"/>
  <c r="B37"/>
  <c r="AE36"/>
  <c r="AF36"/>
  <c r="B36"/>
  <c r="AE35"/>
  <c r="AF35"/>
  <c r="AE34"/>
  <c r="AF34"/>
  <c r="B34"/>
  <c r="AE33"/>
  <c r="AF33"/>
  <c r="AE32"/>
  <c r="AF32"/>
  <c r="B32"/>
  <c r="B44"/>
  <c r="B55"/>
  <c r="AE31"/>
  <c r="AF31"/>
  <c r="B31"/>
  <c r="AE30"/>
  <c r="AF30"/>
  <c r="B30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B22"/>
  <c r="B33"/>
  <c r="B45"/>
  <c r="B56"/>
  <c r="Y18"/>
  <c r="Y29"/>
  <c r="X18"/>
  <c r="X41"/>
  <c r="X52"/>
  <c r="W18"/>
  <c r="W41"/>
  <c r="W52"/>
  <c r="V18"/>
  <c r="V41"/>
  <c r="V52"/>
  <c r="U18"/>
  <c r="U29"/>
  <c r="T18"/>
  <c r="T41"/>
  <c r="T52"/>
  <c r="S18"/>
  <c r="S41"/>
  <c r="S52"/>
  <c r="R18"/>
  <c r="R41"/>
  <c r="R52"/>
  <c r="Q18"/>
  <c r="Q29"/>
  <c r="P18"/>
  <c r="P41"/>
  <c r="P52"/>
  <c r="O18"/>
  <c r="O41"/>
  <c r="O52"/>
  <c r="N18"/>
  <c r="N41"/>
  <c r="N52"/>
  <c r="M18"/>
  <c r="M29"/>
  <c r="L18"/>
  <c r="L41"/>
  <c r="L52"/>
  <c r="K18"/>
  <c r="K41"/>
  <c r="K52"/>
  <c r="J18"/>
  <c r="J41"/>
  <c r="J52"/>
  <c r="I18"/>
  <c r="I29"/>
  <c r="H18"/>
  <c r="H41"/>
  <c r="H52"/>
  <c r="G18"/>
  <c r="G41"/>
  <c r="G52"/>
  <c r="F18"/>
  <c r="F41"/>
  <c r="F52"/>
  <c r="E14"/>
  <c r="D14"/>
  <c r="C13"/>
  <c r="V25"/>
  <c r="C12"/>
  <c r="W24"/>
  <c r="C11"/>
  <c r="X23"/>
  <c r="C10"/>
  <c r="Y22"/>
  <c r="C9"/>
  <c r="W21"/>
  <c r="C8"/>
  <c r="X20"/>
  <c r="C7"/>
  <c r="Y19"/>
  <c r="Z31" i="45"/>
  <c r="AA31"/>
  <c r="Z32"/>
  <c r="AA32"/>
  <c r="Z33"/>
  <c r="AA33"/>
  <c r="Z34"/>
  <c r="AA34"/>
  <c r="Z35"/>
  <c r="AA35"/>
  <c r="Z36"/>
  <c r="AA36"/>
  <c r="Z30"/>
  <c r="AA30"/>
  <c r="Z14"/>
  <c r="Z8"/>
  <c r="Z9"/>
  <c r="Z10"/>
  <c r="Z11"/>
  <c r="Z12"/>
  <c r="Z13"/>
  <c r="Z7"/>
  <c r="AE35" i="44"/>
  <c r="AE34"/>
  <c r="AE33"/>
  <c r="AE32"/>
  <c r="AE31"/>
  <c r="AE30"/>
  <c r="AE29"/>
  <c r="AD36"/>
  <c r="AD13"/>
  <c r="AC36"/>
  <c r="AC13"/>
  <c r="X60" i="46"/>
  <c r="X49"/>
  <c r="AC60"/>
  <c r="AC49"/>
  <c r="AB60"/>
  <c r="AB49"/>
  <c r="AA60"/>
  <c r="AA49"/>
  <c r="AD60"/>
  <c r="AD49"/>
  <c r="Z60"/>
  <c r="Z49"/>
  <c r="H49"/>
  <c r="L49"/>
  <c r="P49"/>
  <c r="AB42"/>
  <c r="AD38"/>
  <c r="Z38"/>
  <c r="AA38"/>
  <c r="AB38"/>
  <c r="AC38"/>
  <c r="AB25"/>
  <c r="AC24"/>
  <c r="AD23"/>
  <c r="Z23"/>
  <c r="AA22"/>
  <c r="AB21"/>
  <c r="AC20"/>
  <c r="AD19"/>
  <c r="Z19"/>
  <c r="AC25"/>
  <c r="AD24"/>
  <c r="Z24"/>
  <c r="AA23"/>
  <c r="AB22"/>
  <c r="AC21"/>
  <c r="AD20"/>
  <c r="Z20"/>
  <c r="AA19"/>
  <c r="AD25"/>
  <c r="Z25"/>
  <c r="AA24"/>
  <c r="AB23"/>
  <c r="AC22"/>
  <c r="AD21"/>
  <c r="Z21"/>
  <c r="AA20"/>
  <c r="AB19"/>
  <c r="AA25"/>
  <c r="AB24"/>
  <c r="AC23"/>
  <c r="AD22"/>
  <c r="Z22"/>
  <c r="AA21"/>
  <c r="AB20"/>
  <c r="AC19"/>
  <c r="AD41"/>
  <c r="AD52"/>
  <c r="Z41"/>
  <c r="Z52"/>
  <c r="AA29"/>
  <c r="AB29"/>
  <c r="AC41"/>
  <c r="AC52"/>
  <c r="Y38"/>
  <c r="T49"/>
  <c r="I38"/>
  <c r="T38"/>
  <c r="N38"/>
  <c r="F38"/>
  <c r="L38"/>
  <c r="Q38"/>
  <c r="V38"/>
  <c r="AE37"/>
  <c r="AF37"/>
  <c r="H38"/>
  <c r="J38"/>
  <c r="M38"/>
  <c r="P38"/>
  <c r="R38"/>
  <c r="U38"/>
  <c r="X38"/>
  <c r="G49"/>
  <c r="K49"/>
  <c r="O49"/>
  <c r="V42"/>
  <c r="G38"/>
  <c r="K38"/>
  <c r="O38"/>
  <c r="S38"/>
  <c r="I49"/>
  <c r="M49"/>
  <c r="Q49"/>
  <c r="U49"/>
  <c r="Y49"/>
  <c r="R42"/>
  <c r="W60"/>
  <c r="W49"/>
  <c r="P42"/>
  <c r="X42"/>
  <c r="N42"/>
  <c r="T42"/>
  <c r="S60"/>
  <c r="S49"/>
  <c r="O42"/>
  <c r="S42"/>
  <c r="H42"/>
  <c r="W42"/>
  <c r="J42"/>
  <c r="L42"/>
  <c r="I20"/>
  <c r="Y20"/>
  <c r="O22"/>
  <c r="L24"/>
  <c r="F29"/>
  <c r="F20"/>
  <c r="V20"/>
  <c r="J22"/>
  <c r="C24"/>
  <c r="U24"/>
  <c r="Q20"/>
  <c r="G22"/>
  <c r="W22"/>
  <c r="T24"/>
  <c r="V29"/>
  <c r="N20"/>
  <c r="R22"/>
  <c r="M24"/>
  <c r="J29"/>
  <c r="J20"/>
  <c r="R20"/>
  <c r="K22"/>
  <c r="S22"/>
  <c r="H24"/>
  <c r="P24"/>
  <c r="X24"/>
  <c r="N29"/>
  <c r="F42"/>
  <c r="K42"/>
  <c r="C20"/>
  <c r="M20"/>
  <c r="U20"/>
  <c r="F22"/>
  <c r="N22"/>
  <c r="V22"/>
  <c r="I24"/>
  <c r="Q24"/>
  <c r="Y24"/>
  <c r="R29"/>
  <c r="G42"/>
  <c r="J19"/>
  <c r="R19"/>
  <c r="V19"/>
  <c r="P21"/>
  <c r="M23"/>
  <c r="C14"/>
  <c r="H19"/>
  <c r="L19"/>
  <c r="P19"/>
  <c r="T19"/>
  <c r="X19"/>
  <c r="G20"/>
  <c r="K20"/>
  <c r="O20"/>
  <c r="S20"/>
  <c r="W20"/>
  <c r="F21"/>
  <c r="J21"/>
  <c r="N21"/>
  <c r="R21"/>
  <c r="V21"/>
  <c r="H22"/>
  <c r="L22"/>
  <c r="P22"/>
  <c r="T22"/>
  <c r="X22"/>
  <c r="G23"/>
  <c r="K23"/>
  <c r="O23"/>
  <c r="S23"/>
  <c r="W23"/>
  <c r="F24"/>
  <c r="J24"/>
  <c r="N24"/>
  <c r="R24"/>
  <c r="V24"/>
  <c r="C25"/>
  <c r="I25"/>
  <c r="M25"/>
  <c r="Q25"/>
  <c r="U25"/>
  <c r="Y25"/>
  <c r="H29"/>
  <c r="L29"/>
  <c r="P29"/>
  <c r="T29"/>
  <c r="X29"/>
  <c r="I41"/>
  <c r="I52"/>
  <c r="M41"/>
  <c r="M52"/>
  <c r="Q41"/>
  <c r="Q52"/>
  <c r="U41"/>
  <c r="U52"/>
  <c r="Y41"/>
  <c r="Y52"/>
  <c r="I42"/>
  <c r="M42"/>
  <c r="Q42"/>
  <c r="U42"/>
  <c r="Y42"/>
  <c r="G19"/>
  <c r="K19"/>
  <c r="O19"/>
  <c r="S19"/>
  <c r="W19"/>
  <c r="C21"/>
  <c r="I21"/>
  <c r="M21"/>
  <c r="Q21"/>
  <c r="U21"/>
  <c r="Y21"/>
  <c r="F23"/>
  <c r="J23"/>
  <c r="N23"/>
  <c r="R23"/>
  <c r="V23"/>
  <c r="H25"/>
  <c r="L25"/>
  <c r="P25"/>
  <c r="T25"/>
  <c r="X25"/>
  <c r="G29"/>
  <c r="K29"/>
  <c r="O29"/>
  <c r="S29"/>
  <c r="W29"/>
  <c r="N19"/>
  <c r="T21"/>
  <c r="C23"/>
  <c r="I23"/>
  <c r="Q23"/>
  <c r="Y23"/>
  <c r="G25"/>
  <c r="K25"/>
  <c r="O25"/>
  <c r="S25"/>
  <c r="W25"/>
  <c r="F19"/>
  <c r="H21"/>
  <c r="L21"/>
  <c r="X21"/>
  <c r="U23"/>
  <c r="C19"/>
  <c r="I19"/>
  <c r="M19"/>
  <c r="Q19"/>
  <c r="U19"/>
  <c r="H20"/>
  <c r="L20"/>
  <c r="P20"/>
  <c r="T20"/>
  <c r="G21"/>
  <c r="K21"/>
  <c r="O21"/>
  <c r="S21"/>
  <c r="C22"/>
  <c r="I22"/>
  <c r="M22"/>
  <c r="Q22"/>
  <c r="U22"/>
  <c r="H23"/>
  <c r="L23"/>
  <c r="P23"/>
  <c r="T23"/>
  <c r="G24"/>
  <c r="K24"/>
  <c r="O24"/>
  <c r="S24"/>
  <c r="F25"/>
  <c r="J25"/>
  <c r="N25"/>
  <c r="R25"/>
  <c r="AB36" i="44"/>
  <c r="AB13"/>
  <c r="Z63" i="46"/>
  <c r="AD63"/>
  <c r="Y63"/>
  <c r="AC63"/>
  <c r="X63"/>
  <c r="AB63"/>
  <c r="W63"/>
  <c r="AA63"/>
  <c r="Z26"/>
  <c r="AD26"/>
  <c r="AC26"/>
  <c r="AB26"/>
  <c r="AA26"/>
  <c r="V63"/>
  <c r="R63"/>
  <c r="N63"/>
  <c r="J63"/>
  <c r="F63"/>
  <c r="Y26"/>
  <c r="U26"/>
  <c r="Q26"/>
  <c r="M26"/>
  <c r="I26"/>
  <c r="C26"/>
  <c r="S63"/>
  <c r="O63"/>
  <c r="K63"/>
  <c r="G63"/>
  <c r="V26"/>
  <c r="R26"/>
  <c r="N26"/>
  <c r="J26"/>
  <c r="F26"/>
  <c r="T63"/>
  <c r="P63"/>
  <c r="L63"/>
  <c r="H63"/>
  <c r="W26"/>
  <c r="S26"/>
  <c r="O26"/>
  <c r="K26"/>
  <c r="G26"/>
  <c r="U63"/>
  <c r="Q63"/>
  <c r="M63"/>
  <c r="I63"/>
  <c r="X26"/>
  <c r="T26"/>
  <c r="P26"/>
  <c r="L26"/>
  <c r="H26"/>
  <c r="AA13" i="44"/>
  <c r="AA36"/>
  <c r="Z52"/>
  <c r="Z41"/>
  <c r="AA52"/>
  <c r="AB52"/>
  <c r="AB41"/>
  <c r="AC52"/>
  <c r="AC41"/>
  <c r="AD52"/>
  <c r="AD41"/>
  <c r="Z53"/>
  <c r="Z42"/>
  <c r="AA53"/>
  <c r="AA42"/>
  <c r="AB53"/>
  <c r="AB42"/>
  <c r="AC53"/>
  <c r="AC42"/>
  <c r="AD53"/>
  <c r="Z54"/>
  <c r="Z43"/>
  <c r="AA54"/>
  <c r="AA43"/>
  <c r="AB54"/>
  <c r="AB43"/>
  <c r="AC54"/>
  <c r="AC43"/>
  <c r="AD54"/>
  <c r="AD43"/>
  <c r="Z55"/>
  <c r="Z44"/>
  <c r="AA55"/>
  <c r="AA44"/>
  <c r="AB55"/>
  <c r="AB44"/>
  <c r="AC55"/>
  <c r="AC44"/>
  <c r="AD55"/>
  <c r="AD44"/>
  <c r="Z56"/>
  <c r="Z45"/>
  <c r="AA56"/>
  <c r="AA45"/>
  <c r="AB56"/>
  <c r="AB45"/>
  <c r="AC56"/>
  <c r="AC45"/>
  <c r="AD56"/>
  <c r="AD45"/>
  <c r="Z57"/>
  <c r="Z46"/>
  <c r="AA57"/>
  <c r="AA46"/>
  <c r="AB57"/>
  <c r="AB46"/>
  <c r="AC57"/>
  <c r="AC46"/>
  <c r="AD57"/>
  <c r="AD46"/>
  <c r="Z58"/>
  <c r="Z47"/>
  <c r="AA58"/>
  <c r="AA47"/>
  <c r="AB58"/>
  <c r="AB47"/>
  <c r="AC58"/>
  <c r="AC47"/>
  <c r="AD58"/>
  <c r="AD47"/>
  <c r="L36"/>
  <c r="M36"/>
  <c r="N36"/>
  <c r="O36"/>
  <c r="P36"/>
  <c r="Q36"/>
  <c r="R36"/>
  <c r="S36"/>
  <c r="T36"/>
  <c r="U36"/>
  <c r="V36"/>
  <c r="W36"/>
  <c r="X36"/>
  <c r="Y36"/>
  <c r="Z36"/>
  <c r="L13"/>
  <c r="M13"/>
  <c r="N13"/>
  <c r="O13"/>
  <c r="P13"/>
  <c r="Q13"/>
  <c r="R13"/>
  <c r="S13"/>
  <c r="T13"/>
  <c r="U13"/>
  <c r="V13"/>
  <c r="W13"/>
  <c r="X13"/>
  <c r="Y13"/>
  <c r="Z13"/>
  <c r="E63" i="45"/>
  <c r="D60"/>
  <c r="C60"/>
  <c r="Y59"/>
  <c r="Y48"/>
  <c r="X59"/>
  <c r="X48"/>
  <c r="W59"/>
  <c r="W48"/>
  <c r="V59"/>
  <c r="V48"/>
  <c r="U59"/>
  <c r="U48"/>
  <c r="T59"/>
  <c r="T48"/>
  <c r="S59"/>
  <c r="S48"/>
  <c r="R59"/>
  <c r="R48"/>
  <c r="Q59"/>
  <c r="Q48"/>
  <c r="P59"/>
  <c r="P48"/>
  <c r="O59"/>
  <c r="O48"/>
  <c r="N59"/>
  <c r="N48"/>
  <c r="M59"/>
  <c r="M48"/>
  <c r="L59"/>
  <c r="L48"/>
  <c r="K59"/>
  <c r="K48"/>
  <c r="J59"/>
  <c r="J48"/>
  <c r="I59"/>
  <c r="I48"/>
  <c r="H59"/>
  <c r="H48"/>
  <c r="G59"/>
  <c r="G48"/>
  <c r="F59"/>
  <c r="F48"/>
  <c r="Y58"/>
  <c r="Y47"/>
  <c r="X58"/>
  <c r="X47"/>
  <c r="W58"/>
  <c r="W47"/>
  <c r="V58"/>
  <c r="V47"/>
  <c r="U58"/>
  <c r="U47"/>
  <c r="T58"/>
  <c r="T47"/>
  <c r="S58"/>
  <c r="S47"/>
  <c r="R58"/>
  <c r="R47"/>
  <c r="Q58"/>
  <c r="Q47"/>
  <c r="P58"/>
  <c r="P47"/>
  <c r="O58"/>
  <c r="O47"/>
  <c r="N58"/>
  <c r="N47"/>
  <c r="M58"/>
  <c r="M47"/>
  <c r="L58"/>
  <c r="L47"/>
  <c r="K58"/>
  <c r="K47"/>
  <c r="J58"/>
  <c r="J47"/>
  <c r="I58"/>
  <c r="I47"/>
  <c r="H58"/>
  <c r="H47"/>
  <c r="G58"/>
  <c r="G47"/>
  <c r="F58"/>
  <c r="F47"/>
  <c r="Y57"/>
  <c r="Y46"/>
  <c r="X57"/>
  <c r="X46"/>
  <c r="W57"/>
  <c r="W46"/>
  <c r="V57"/>
  <c r="V46"/>
  <c r="U57"/>
  <c r="U46"/>
  <c r="T57"/>
  <c r="T46"/>
  <c r="S57"/>
  <c r="S46"/>
  <c r="R57"/>
  <c r="R46"/>
  <c r="Q57"/>
  <c r="Q46"/>
  <c r="P57"/>
  <c r="P46"/>
  <c r="O57"/>
  <c r="O46"/>
  <c r="N57"/>
  <c r="N46"/>
  <c r="M57"/>
  <c r="M46"/>
  <c r="L57"/>
  <c r="L46"/>
  <c r="K57"/>
  <c r="K46"/>
  <c r="J57"/>
  <c r="J46"/>
  <c r="I57"/>
  <c r="I46"/>
  <c r="H57"/>
  <c r="H46"/>
  <c r="G57"/>
  <c r="G46"/>
  <c r="F57"/>
  <c r="F46"/>
  <c r="Y56"/>
  <c r="Y45"/>
  <c r="X56"/>
  <c r="X45"/>
  <c r="W56"/>
  <c r="W45"/>
  <c r="V56"/>
  <c r="V45"/>
  <c r="U56"/>
  <c r="U45"/>
  <c r="T56"/>
  <c r="T45"/>
  <c r="S56"/>
  <c r="S45"/>
  <c r="R56"/>
  <c r="R45"/>
  <c r="Q56"/>
  <c r="Q45"/>
  <c r="P56"/>
  <c r="P45"/>
  <c r="O56"/>
  <c r="O45"/>
  <c r="N56"/>
  <c r="N45"/>
  <c r="M56"/>
  <c r="M45"/>
  <c r="L56"/>
  <c r="L45"/>
  <c r="K56"/>
  <c r="K45"/>
  <c r="J56"/>
  <c r="J45"/>
  <c r="I56"/>
  <c r="I45"/>
  <c r="H56"/>
  <c r="H45"/>
  <c r="G56"/>
  <c r="G45"/>
  <c r="F56"/>
  <c r="F45"/>
  <c r="Y55"/>
  <c r="Y44"/>
  <c r="X55"/>
  <c r="X44"/>
  <c r="W55"/>
  <c r="W44"/>
  <c r="V55"/>
  <c r="V44"/>
  <c r="U55"/>
  <c r="U44"/>
  <c r="T55"/>
  <c r="T44"/>
  <c r="S55"/>
  <c r="S44"/>
  <c r="R55"/>
  <c r="R44"/>
  <c r="Q55"/>
  <c r="Q44"/>
  <c r="P55"/>
  <c r="P44"/>
  <c r="O55"/>
  <c r="O44"/>
  <c r="N55"/>
  <c r="N44"/>
  <c r="M55"/>
  <c r="M44"/>
  <c r="L55"/>
  <c r="L44"/>
  <c r="K55"/>
  <c r="K44"/>
  <c r="J55"/>
  <c r="J44"/>
  <c r="I55"/>
  <c r="I44"/>
  <c r="H55"/>
  <c r="H44"/>
  <c r="G55"/>
  <c r="G44"/>
  <c r="F55"/>
  <c r="F44"/>
  <c r="Y54"/>
  <c r="Y43"/>
  <c r="X54"/>
  <c r="X43"/>
  <c r="W54"/>
  <c r="W43"/>
  <c r="V54"/>
  <c r="V43"/>
  <c r="U54"/>
  <c r="U43"/>
  <c r="T54"/>
  <c r="T43"/>
  <c r="S54"/>
  <c r="S43"/>
  <c r="R54"/>
  <c r="R43"/>
  <c r="Q54"/>
  <c r="Q43"/>
  <c r="P54"/>
  <c r="P43"/>
  <c r="O54"/>
  <c r="O43"/>
  <c r="N54"/>
  <c r="N43"/>
  <c r="M54"/>
  <c r="M43"/>
  <c r="L54"/>
  <c r="L43"/>
  <c r="K54"/>
  <c r="K43"/>
  <c r="J54"/>
  <c r="J43"/>
  <c r="I54"/>
  <c r="I43"/>
  <c r="H54"/>
  <c r="H43"/>
  <c r="G54"/>
  <c r="G43"/>
  <c r="F54"/>
  <c r="F43"/>
  <c r="Y53"/>
  <c r="Y60"/>
  <c r="X53"/>
  <c r="X60"/>
  <c r="W53"/>
  <c r="V53"/>
  <c r="V60"/>
  <c r="V49"/>
  <c r="U53"/>
  <c r="U60"/>
  <c r="T53"/>
  <c r="T60"/>
  <c r="S53"/>
  <c r="R53"/>
  <c r="R60"/>
  <c r="R49"/>
  <c r="Q53"/>
  <c r="Q60"/>
  <c r="P53"/>
  <c r="P60"/>
  <c r="O53"/>
  <c r="N53"/>
  <c r="N60"/>
  <c r="N49"/>
  <c r="M53"/>
  <c r="M60"/>
  <c r="L53"/>
  <c r="L60"/>
  <c r="K53"/>
  <c r="K60"/>
  <c r="J53"/>
  <c r="J60"/>
  <c r="J49"/>
  <c r="I53"/>
  <c r="I60"/>
  <c r="H53"/>
  <c r="H60"/>
  <c r="G53"/>
  <c r="F53"/>
  <c r="F60"/>
  <c r="F49"/>
  <c r="AA49"/>
  <c r="B37"/>
  <c r="B36"/>
  <c r="B34"/>
  <c r="B32"/>
  <c r="B44"/>
  <c r="B55"/>
  <c r="B31"/>
  <c r="B30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B22"/>
  <c r="B33"/>
  <c r="B45"/>
  <c r="B56"/>
  <c r="Y18"/>
  <c r="Y29"/>
  <c r="X18"/>
  <c r="X41"/>
  <c r="X52"/>
  <c r="W18"/>
  <c r="W41"/>
  <c r="W52"/>
  <c r="V18"/>
  <c r="V41"/>
  <c r="V52"/>
  <c r="U18"/>
  <c r="U29"/>
  <c r="T18"/>
  <c r="T29"/>
  <c r="S18"/>
  <c r="S41"/>
  <c r="S52"/>
  <c r="R18"/>
  <c r="R41"/>
  <c r="R52"/>
  <c r="Q18"/>
  <c r="Q29"/>
  <c r="P18"/>
  <c r="P41"/>
  <c r="P52"/>
  <c r="O18"/>
  <c r="O41"/>
  <c r="O52"/>
  <c r="N18"/>
  <c r="N41"/>
  <c r="N52"/>
  <c r="M18"/>
  <c r="M29"/>
  <c r="L18"/>
  <c r="L29"/>
  <c r="K18"/>
  <c r="K41"/>
  <c r="K52"/>
  <c r="J18"/>
  <c r="J41"/>
  <c r="J52"/>
  <c r="I18"/>
  <c r="I29"/>
  <c r="H18"/>
  <c r="H41"/>
  <c r="H52"/>
  <c r="G18"/>
  <c r="G41"/>
  <c r="G52"/>
  <c r="F18"/>
  <c r="F41"/>
  <c r="F52"/>
  <c r="E14"/>
  <c r="D14"/>
  <c r="C13"/>
  <c r="V25"/>
  <c r="C12"/>
  <c r="W24"/>
  <c r="C11"/>
  <c r="X23"/>
  <c r="C10"/>
  <c r="Y22"/>
  <c r="C9"/>
  <c r="W21"/>
  <c r="C8"/>
  <c r="X20"/>
  <c r="C7"/>
  <c r="Y19"/>
  <c r="AE7" i="44"/>
  <c r="AE8"/>
  <c r="AE9"/>
  <c r="AE10"/>
  <c r="AE11"/>
  <c r="AE12"/>
  <c r="AE6"/>
  <c r="Z27"/>
  <c r="AA27"/>
  <c r="AB27"/>
  <c r="AC27"/>
  <c r="AD27"/>
  <c r="AD17"/>
  <c r="AD40"/>
  <c r="AD51"/>
  <c r="Z17"/>
  <c r="Z28"/>
  <c r="AA17"/>
  <c r="AA28"/>
  <c r="AB17"/>
  <c r="AB28"/>
  <c r="AC17"/>
  <c r="AC28"/>
  <c r="K36"/>
  <c r="K13"/>
  <c r="J36"/>
  <c r="I36"/>
  <c r="J13"/>
  <c r="I13"/>
  <c r="H36"/>
  <c r="H13"/>
  <c r="G36"/>
  <c r="G13"/>
  <c r="F36"/>
  <c r="F13"/>
  <c r="C59"/>
  <c r="AE36"/>
  <c r="C6"/>
  <c r="C18"/>
  <c r="C7"/>
  <c r="P19"/>
  <c r="C8"/>
  <c r="K20"/>
  <c r="C9"/>
  <c r="F21"/>
  <c r="C10"/>
  <c r="Q22"/>
  <c r="C11"/>
  <c r="L23"/>
  <c r="C12"/>
  <c r="G24"/>
  <c r="E62"/>
  <c r="Y52"/>
  <c r="Y41"/>
  <c r="Y53"/>
  <c r="Y42"/>
  <c r="Y54"/>
  <c r="Y43"/>
  <c r="Y55"/>
  <c r="Y44"/>
  <c r="Y56"/>
  <c r="Y45"/>
  <c r="Y57"/>
  <c r="Y46"/>
  <c r="Y58"/>
  <c r="Y47"/>
  <c r="X52"/>
  <c r="X41"/>
  <c r="X53"/>
  <c r="X42"/>
  <c r="X54"/>
  <c r="X43"/>
  <c r="X55"/>
  <c r="X44"/>
  <c r="X56"/>
  <c r="X45"/>
  <c r="X57"/>
  <c r="X46"/>
  <c r="X58"/>
  <c r="X47"/>
  <c r="W52"/>
  <c r="W41"/>
  <c r="W53"/>
  <c r="W42"/>
  <c r="W54"/>
  <c r="W43"/>
  <c r="W55"/>
  <c r="W44"/>
  <c r="W56"/>
  <c r="W45"/>
  <c r="W57"/>
  <c r="W46"/>
  <c r="W58"/>
  <c r="V52"/>
  <c r="V53"/>
  <c r="V42"/>
  <c r="V54"/>
  <c r="V43"/>
  <c r="V55"/>
  <c r="V44"/>
  <c r="V56"/>
  <c r="V45"/>
  <c r="V57"/>
  <c r="V46"/>
  <c r="V58"/>
  <c r="V47"/>
  <c r="U52"/>
  <c r="U41"/>
  <c r="U53"/>
  <c r="U42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53"/>
  <c r="R42"/>
  <c r="R54"/>
  <c r="R43"/>
  <c r="R55"/>
  <c r="R44"/>
  <c r="R56"/>
  <c r="R45"/>
  <c r="R57"/>
  <c r="R46"/>
  <c r="R58"/>
  <c r="R47"/>
  <c r="Q52"/>
  <c r="Q41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46"/>
  <c r="P58"/>
  <c r="P47"/>
  <c r="O52"/>
  <c r="O41"/>
  <c r="O53"/>
  <c r="O42"/>
  <c r="O54"/>
  <c r="O43"/>
  <c r="O55"/>
  <c r="O44"/>
  <c r="O56"/>
  <c r="O45"/>
  <c r="O57"/>
  <c r="O46"/>
  <c r="O58"/>
  <c r="O47"/>
  <c r="N52"/>
  <c r="N53"/>
  <c r="N42"/>
  <c r="N54"/>
  <c r="N43"/>
  <c r="N55"/>
  <c r="N44"/>
  <c r="N56"/>
  <c r="N45"/>
  <c r="N57"/>
  <c r="N46"/>
  <c r="N58"/>
  <c r="N47"/>
  <c r="M52"/>
  <c r="M41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53"/>
  <c r="J42"/>
  <c r="J54"/>
  <c r="J43"/>
  <c r="J55"/>
  <c r="J44"/>
  <c r="J56"/>
  <c r="J45"/>
  <c r="J57"/>
  <c r="J46"/>
  <c r="J58"/>
  <c r="J47"/>
  <c r="I52"/>
  <c r="I41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G47"/>
  <c r="F52"/>
  <c r="F41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40"/>
  <c r="Y51"/>
  <c r="X17"/>
  <c r="W17"/>
  <c r="W40"/>
  <c r="W51"/>
  <c r="V17"/>
  <c r="V40"/>
  <c r="V51"/>
  <c r="U17"/>
  <c r="U40"/>
  <c r="U51"/>
  <c r="T17"/>
  <c r="S17"/>
  <c r="S40"/>
  <c r="S51"/>
  <c r="R17"/>
  <c r="R40"/>
  <c r="R51"/>
  <c r="Q17"/>
  <c r="P17"/>
  <c r="O17"/>
  <c r="O40"/>
  <c r="O51"/>
  <c r="N17"/>
  <c r="N40"/>
  <c r="N51"/>
  <c r="M17"/>
  <c r="M40"/>
  <c r="M51"/>
  <c r="L17"/>
  <c r="K17"/>
  <c r="K28"/>
  <c r="J17"/>
  <c r="J40"/>
  <c r="J51"/>
  <c r="I17"/>
  <c r="H17"/>
  <c r="G17"/>
  <c r="G40"/>
  <c r="G51"/>
  <c r="F17"/>
  <c r="F40"/>
  <c r="F51"/>
  <c r="AF48"/>
  <c r="W47"/>
  <c r="Y27"/>
  <c r="B36"/>
  <c r="B35"/>
  <c r="B33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13"/>
  <c r="D13"/>
  <c r="Y36" i="43"/>
  <c r="Z35"/>
  <c r="Z34"/>
  <c r="Z33"/>
  <c r="Z32"/>
  <c r="Z31"/>
  <c r="Z30"/>
  <c r="Z29"/>
  <c r="Y13"/>
  <c r="X36"/>
  <c r="C59"/>
  <c r="X27"/>
  <c r="X13"/>
  <c r="W36"/>
  <c r="W13"/>
  <c r="U36"/>
  <c r="V36"/>
  <c r="U13"/>
  <c r="V13"/>
  <c r="T36"/>
  <c r="T13"/>
  <c r="S36"/>
  <c r="S13"/>
  <c r="R36"/>
  <c r="R13"/>
  <c r="Q36"/>
  <c r="Q27"/>
  <c r="Q13"/>
  <c r="P36"/>
  <c r="P13"/>
  <c r="O36"/>
  <c r="O37"/>
  <c r="O13"/>
  <c r="N36"/>
  <c r="N13"/>
  <c r="M36"/>
  <c r="M37"/>
  <c r="M13"/>
  <c r="L36"/>
  <c r="L13"/>
  <c r="K36"/>
  <c r="K37"/>
  <c r="K13"/>
  <c r="J36"/>
  <c r="J13"/>
  <c r="I36"/>
  <c r="I37"/>
  <c r="I13"/>
  <c r="H36"/>
  <c r="H13"/>
  <c r="G36"/>
  <c r="G37"/>
  <c r="G13"/>
  <c r="F36"/>
  <c r="F13"/>
  <c r="D13"/>
  <c r="E13"/>
  <c r="Y36" i="42"/>
  <c r="C59"/>
  <c r="Y27"/>
  <c r="Z35"/>
  <c r="Z34"/>
  <c r="Z33"/>
  <c r="Z32"/>
  <c r="AA32"/>
  <c r="Z31"/>
  <c r="Z30"/>
  <c r="Z29"/>
  <c r="Y13"/>
  <c r="C6" i="43"/>
  <c r="X18"/>
  <c r="C7"/>
  <c r="S19"/>
  <c r="C8"/>
  <c r="F20"/>
  <c r="C9"/>
  <c r="C10"/>
  <c r="H22"/>
  <c r="C11"/>
  <c r="C12"/>
  <c r="H24"/>
  <c r="E62"/>
  <c r="Y52"/>
  <c r="Y53"/>
  <c r="Y42"/>
  <c r="Y54"/>
  <c r="Y43"/>
  <c r="Y55"/>
  <c r="Y44"/>
  <c r="Y56"/>
  <c r="Y45"/>
  <c r="Y57"/>
  <c r="Y46"/>
  <c r="Y58"/>
  <c r="Y47"/>
  <c r="X52"/>
  <c r="X41"/>
  <c r="X53"/>
  <c r="X42"/>
  <c r="X54"/>
  <c r="X43"/>
  <c r="X55"/>
  <c r="X44"/>
  <c r="X56"/>
  <c r="X45"/>
  <c r="X57"/>
  <c r="X46"/>
  <c r="X58"/>
  <c r="X47"/>
  <c r="W52"/>
  <c r="W41"/>
  <c r="W53"/>
  <c r="W42"/>
  <c r="W54"/>
  <c r="W43"/>
  <c r="W55"/>
  <c r="W44"/>
  <c r="W56"/>
  <c r="W45"/>
  <c r="W57"/>
  <c r="W46"/>
  <c r="W58"/>
  <c r="W47"/>
  <c r="V52"/>
  <c r="V41"/>
  <c r="V53"/>
  <c r="V42"/>
  <c r="V54"/>
  <c r="V43"/>
  <c r="V55"/>
  <c r="V44"/>
  <c r="V56"/>
  <c r="V45"/>
  <c r="V57"/>
  <c r="V46"/>
  <c r="V58"/>
  <c r="V47"/>
  <c r="U52"/>
  <c r="U41"/>
  <c r="U53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53"/>
  <c r="R42"/>
  <c r="R54"/>
  <c r="R43"/>
  <c r="R55"/>
  <c r="R44"/>
  <c r="R56"/>
  <c r="R45"/>
  <c r="R57"/>
  <c r="R46"/>
  <c r="R58"/>
  <c r="R47"/>
  <c r="Q52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46"/>
  <c r="P58"/>
  <c r="P47"/>
  <c r="O52"/>
  <c r="O41"/>
  <c r="O53"/>
  <c r="O42"/>
  <c r="O54"/>
  <c r="O43"/>
  <c r="O55"/>
  <c r="O44"/>
  <c r="O56"/>
  <c r="O45"/>
  <c r="O57"/>
  <c r="O46"/>
  <c r="O58"/>
  <c r="O47"/>
  <c r="N52"/>
  <c r="N41"/>
  <c r="N53"/>
  <c r="N42"/>
  <c r="N54"/>
  <c r="N43"/>
  <c r="N55"/>
  <c r="N44"/>
  <c r="N56"/>
  <c r="N57"/>
  <c r="N46"/>
  <c r="N58"/>
  <c r="N47"/>
  <c r="M52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41"/>
  <c r="J53"/>
  <c r="J42"/>
  <c r="J54"/>
  <c r="J43"/>
  <c r="J55"/>
  <c r="J44"/>
  <c r="J56"/>
  <c r="J45"/>
  <c r="J57"/>
  <c r="J46"/>
  <c r="J58"/>
  <c r="J47"/>
  <c r="I52"/>
  <c r="I41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F52"/>
  <c r="F41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40"/>
  <c r="Y51"/>
  <c r="X17"/>
  <c r="W17"/>
  <c r="W40"/>
  <c r="W51"/>
  <c r="V17"/>
  <c r="V40"/>
  <c r="V51"/>
  <c r="U17"/>
  <c r="U40"/>
  <c r="U51"/>
  <c r="T17"/>
  <c r="S17"/>
  <c r="S40"/>
  <c r="S51"/>
  <c r="R17"/>
  <c r="R28"/>
  <c r="Q17"/>
  <c r="P17"/>
  <c r="O17"/>
  <c r="O40"/>
  <c r="O51"/>
  <c r="N17"/>
  <c r="M17"/>
  <c r="M28"/>
  <c r="L17"/>
  <c r="K17"/>
  <c r="K28"/>
  <c r="J17"/>
  <c r="I17"/>
  <c r="I40"/>
  <c r="I51"/>
  <c r="H17"/>
  <c r="G17"/>
  <c r="G40"/>
  <c r="G51"/>
  <c r="F17"/>
  <c r="F40"/>
  <c r="F51"/>
  <c r="AA48"/>
  <c r="G47"/>
  <c r="N45"/>
  <c r="B36"/>
  <c r="B35"/>
  <c r="B33"/>
  <c r="B30"/>
  <c r="B29"/>
  <c r="Y27"/>
  <c r="W27"/>
  <c r="V27"/>
  <c r="U27"/>
  <c r="T27"/>
  <c r="S27"/>
  <c r="R27"/>
  <c r="P27"/>
  <c r="O27"/>
  <c r="N27"/>
  <c r="M27"/>
  <c r="L27"/>
  <c r="K27"/>
  <c r="J27"/>
  <c r="I27"/>
  <c r="H27"/>
  <c r="G27"/>
  <c r="F27"/>
  <c r="Z12"/>
  <c r="Z11"/>
  <c r="Z10"/>
  <c r="Z9"/>
  <c r="Z8"/>
  <c r="Z7"/>
  <c r="Z6"/>
  <c r="X36" i="42"/>
  <c r="X27"/>
  <c r="X13"/>
  <c r="C6"/>
  <c r="C7"/>
  <c r="V19"/>
  <c r="C8"/>
  <c r="Q20"/>
  <c r="C9"/>
  <c r="X21"/>
  <c r="C10"/>
  <c r="C11"/>
  <c r="V23"/>
  <c r="C12"/>
  <c r="O24"/>
  <c r="W36"/>
  <c r="W13"/>
  <c r="V36"/>
  <c r="V13"/>
  <c r="U36"/>
  <c r="U13"/>
  <c r="T36"/>
  <c r="T13"/>
  <c r="S36"/>
  <c r="S13"/>
  <c r="R36"/>
  <c r="R13"/>
  <c r="Q36"/>
  <c r="Q13"/>
  <c r="P36"/>
  <c r="P13"/>
  <c r="O36"/>
  <c r="O13"/>
  <c r="N13"/>
  <c r="N36"/>
  <c r="M36"/>
  <c r="M13"/>
  <c r="L36"/>
  <c r="L13"/>
  <c r="K36"/>
  <c r="K13"/>
  <c r="J36"/>
  <c r="J27"/>
  <c r="J13"/>
  <c r="I36"/>
  <c r="I13"/>
  <c r="H36"/>
  <c r="H13"/>
  <c r="G36"/>
  <c r="G13"/>
  <c r="F36"/>
  <c r="F13"/>
  <c r="E62"/>
  <c r="Y52"/>
  <c r="Y41"/>
  <c r="Y53"/>
  <c r="Y42"/>
  <c r="Y54"/>
  <c r="Y43"/>
  <c r="Y55"/>
  <c r="Y44"/>
  <c r="Y56"/>
  <c r="Y45"/>
  <c r="Y57"/>
  <c r="Y46"/>
  <c r="Y58"/>
  <c r="Y47"/>
  <c r="X52"/>
  <c r="X41"/>
  <c r="X53"/>
  <c r="X42"/>
  <c r="X54"/>
  <c r="X55"/>
  <c r="X44"/>
  <c r="X56"/>
  <c r="X45"/>
  <c r="X57"/>
  <c r="X46"/>
  <c r="X58"/>
  <c r="X47"/>
  <c r="W52"/>
  <c r="W53"/>
  <c r="W42"/>
  <c r="W54"/>
  <c r="W43"/>
  <c r="W55"/>
  <c r="W44"/>
  <c r="W56"/>
  <c r="W45"/>
  <c r="W57"/>
  <c r="W46"/>
  <c r="W58"/>
  <c r="W47"/>
  <c r="V52"/>
  <c r="V41"/>
  <c r="V53"/>
  <c r="V42"/>
  <c r="V54"/>
  <c r="V55"/>
  <c r="V44"/>
  <c r="V56"/>
  <c r="V45"/>
  <c r="V57"/>
  <c r="V46"/>
  <c r="V58"/>
  <c r="V47"/>
  <c r="U52"/>
  <c r="U41"/>
  <c r="U53"/>
  <c r="U42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41"/>
  <c r="R53"/>
  <c r="R42"/>
  <c r="R54"/>
  <c r="R55"/>
  <c r="R44"/>
  <c r="R56"/>
  <c r="R45"/>
  <c r="R57"/>
  <c r="R46"/>
  <c r="R58"/>
  <c r="R47"/>
  <c r="Q52"/>
  <c r="Q41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46"/>
  <c r="P58"/>
  <c r="P47"/>
  <c r="O52"/>
  <c r="O41"/>
  <c r="O53"/>
  <c r="O54"/>
  <c r="O43"/>
  <c r="O55"/>
  <c r="O44"/>
  <c r="O56"/>
  <c r="O45"/>
  <c r="O57"/>
  <c r="O46"/>
  <c r="O58"/>
  <c r="O47"/>
  <c r="N52"/>
  <c r="N41"/>
  <c r="N53"/>
  <c r="N42"/>
  <c r="N54"/>
  <c r="N43"/>
  <c r="N55"/>
  <c r="N44"/>
  <c r="N56"/>
  <c r="N45"/>
  <c r="N57"/>
  <c r="N46"/>
  <c r="N58"/>
  <c r="N47"/>
  <c r="M52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53"/>
  <c r="J42"/>
  <c r="J54"/>
  <c r="J43"/>
  <c r="J55"/>
  <c r="J44"/>
  <c r="J56"/>
  <c r="J45"/>
  <c r="J57"/>
  <c r="J46"/>
  <c r="J58"/>
  <c r="J47"/>
  <c r="I52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F52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40"/>
  <c r="Y51"/>
  <c r="X17"/>
  <c r="X40"/>
  <c r="X51"/>
  <c r="W17"/>
  <c r="W28"/>
  <c r="V17"/>
  <c r="U17"/>
  <c r="U40"/>
  <c r="U51"/>
  <c r="T17"/>
  <c r="T40"/>
  <c r="T51"/>
  <c r="S17"/>
  <c r="S40"/>
  <c r="S51"/>
  <c r="R17"/>
  <c r="Q17"/>
  <c r="Q40"/>
  <c r="Q51"/>
  <c r="P17"/>
  <c r="P40"/>
  <c r="P51"/>
  <c r="O17"/>
  <c r="O40"/>
  <c r="O51"/>
  <c r="N17"/>
  <c r="M17"/>
  <c r="L17"/>
  <c r="K17"/>
  <c r="K40"/>
  <c r="K51"/>
  <c r="J17"/>
  <c r="I17"/>
  <c r="H17"/>
  <c r="H40"/>
  <c r="H51"/>
  <c r="G17"/>
  <c r="G40"/>
  <c r="G51"/>
  <c r="F17"/>
  <c r="AA48"/>
  <c r="G47"/>
  <c r="B36"/>
  <c r="B35"/>
  <c r="B33"/>
  <c r="B30"/>
  <c r="B29"/>
  <c r="W27"/>
  <c r="V27"/>
  <c r="U27"/>
  <c r="T27"/>
  <c r="S27"/>
  <c r="R27"/>
  <c r="Q27"/>
  <c r="P27"/>
  <c r="O27"/>
  <c r="N27"/>
  <c r="M27"/>
  <c r="L27"/>
  <c r="K27"/>
  <c r="I27"/>
  <c r="H27"/>
  <c r="G27"/>
  <c r="F27"/>
  <c r="E13"/>
  <c r="Z12"/>
  <c r="Z11"/>
  <c r="Z10"/>
  <c r="Z9"/>
  <c r="Z8"/>
  <c r="Z7"/>
  <c r="Z6"/>
  <c r="Y36" i="41"/>
  <c r="C59"/>
  <c r="Y27"/>
  <c r="Z35"/>
  <c r="Z34"/>
  <c r="Z33"/>
  <c r="Z32"/>
  <c r="Z31"/>
  <c r="Z30"/>
  <c r="Z29"/>
  <c r="Y13"/>
  <c r="X36"/>
  <c r="X13"/>
  <c r="W36"/>
  <c r="W13"/>
  <c r="V36"/>
  <c r="V13"/>
  <c r="U36"/>
  <c r="U37"/>
  <c r="U13"/>
  <c r="T36"/>
  <c r="T13"/>
  <c r="S36"/>
  <c r="S13"/>
  <c r="R36"/>
  <c r="R13"/>
  <c r="Q36"/>
  <c r="Q13"/>
  <c r="P36"/>
  <c r="P13"/>
  <c r="O36"/>
  <c r="N36"/>
  <c r="O13"/>
  <c r="N13"/>
  <c r="M36"/>
  <c r="M37"/>
  <c r="M13"/>
  <c r="L36"/>
  <c r="L13"/>
  <c r="K36"/>
  <c r="K13"/>
  <c r="J36"/>
  <c r="J13"/>
  <c r="I36"/>
  <c r="I13"/>
  <c r="H36"/>
  <c r="H13"/>
  <c r="G36"/>
  <c r="G13"/>
  <c r="F36"/>
  <c r="F13"/>
  <c r="C6"/>
  <c r="C7"/>
  <c r="C8"/>
  <c r="C9"/>
  <c r="Y21"/>
  <c r="C10"/>
  <c r="M22"/>
  <c r="C11"/>
  <c r="V23"/>
  <c r="C12"/>
  <c r="E62"/>
  <c r="Y52"/>
  <c r="Y41"/>
  <c r="Y53"/>
  <c r="Y42"/>
  <c r="Y54"/>
  <c r="Y43"/>
  <c r="Y55"/>
  <c r="Y44"/>
  <c r="Y56"/>
  <c r="Y45"/>
  <c r="Y57"/>
  <c r="Y46"/>
  <c r="Y58"/>
  <c r="Y47"/>
  <c r="X52"/>
  <c r="X41"/>
  <c r="X53"/>
  <c r="X42"/>
  <c r="X54"/>
  <c r="X43"/>
  <c r="X55"/>
  <c r="X44"/>
  <c r="X56"/>
  <c r="X45"/>
  <c r="X57"/>
  <c r="X46"/>
  <c r="X58"/>
  <c r="X47"/>
  <c r="W52"/>
  <c r="W41"/>
  <c r="W53"/>
  <c r="W42"/>
  <c r="W54"/>
  <c r="W43"/>
  <c r="W55"/>
  <c r="W44"/>
  <c r="W56"/>
  <c r="W45"/>
  <c r="W57"/>
  <c r="W46"/>
  <c r="W58"/>
  <c r="W47"/>
  <c r="V52"/>
  <c r="V41"/>
  <c r="V53"/>
  <c r="V42"/>
  <c r="V54"/>
  <c r="V43"/>
  <c r="V55"/>
  <c r="V44"/>
  <c r="V56"/>
  <c r="V45"/>
  <c r="V57"/>
  <c r="V46"/>
  <c r="V58"/>
  <c r="V47"/>
  <c r="U52"/>
  <c r="U41"/>
  <c r="U53"/>
  <c r="U42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41"/>
  <c r="R53"/>
  <c r="R42"/>
  <c r="R54"/>
  <c r="R43"/>
  <c r="R55"/>
  <c r="R44"/>
  <c r="R56"/>
  <c r="R45"/>
  <c r="R57"/>
  <c r="R46"/>
  <c r="R58"/>
  <c r="R47"/>
  <c r="Q52"/>
  <c r="Q41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46"/>
  <c r="P58"/>
  <c r="P47"/>
  <c r="O52"/>
  <c r="O41"/>
  <c r="O53"/>
  <c r="O42"/>
  <c r="O54"/>
  <c r="O43"/>
  <c r="O55"/>
  <c r="O44"/>
  <c r="O56"/>
  <c r="O45"/>
  <c r="O57"/>
  <c r="O46"/>
  <c r="O58"/>
  <c r="O47"/>
  <c r="N52"/>
  <c r="N41"/>
  <c r="N53"/>
  <c r="N42"/>
  <c r="N54"/>
  <c r="N43"/>
  <c r="N55"/>
  <c r="N44"/>
  <c r="N56"/>
  <c r="N45"/>
  <c r="N57"/>
  <c r="N46"/>
  <c r="N58"/>
  <c r="N47"/>
  <c r="M52"/>
  <c r="M41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41"/>
  <c r="J53"/>
  <c r="J42"/>
  <c r="J54"/>
  <c r="J43"/>
  <c r="J55"/>
  <c r="J44"/>
  <c r="J56"/>
  <c r="J45"/>
  <c r="J57"/>
  <c r="J46"/>
  <c r="J58"/>
  <c r="J47"/>
  <c r="I52"/>
  <c r="I41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G47"/>
  <c r="F52"/>
  <c r="F41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40"/>
  <c r="Y51"/>
  <c r="X17"/>
  <c r="X28"/>
  <c r="W17"/>
  <c r="V17"/>
  <c r="V28"/>
  <c r="U17"/>
  <c r="U40"/>
  <c r="U51"/>
  <c r="T17"/>
  <c r="T40"/>
  <c r="T51"/>
  <c r="S17"/>
  <c r="R17"/>
  <c r="R40"/>
  <c r="R51"/>
  <c r="Q17"/>
  <c r="Q28"/>
  <c r="P17"/>
  <c r="P40"/>
  <c r="P51"/>
  <c r="O17"/>
  <c r="N17"/>
  <c r="N28"/>
  <c r="M17"/>
  <c r="M28"/>
  <c r="L17"/>
  <c r="L40"/>
  <c r="L51"/>
  <c r="K17"/>
  <c r="J17"/>
  <c r="J40"/>
  <c r="J51"/>
  <c r="I17"/>
  <c r="I40"/>
  <c r="I51"/>
  <c r="H17"/>
  <c r="H28"/>
  <c r="G17"/>
  <c r="F17"/>
  <c r="F28"/>
  <c r="AA48"/>
  <c r="B36"/>
  <c r="B35"/>
  <c r="B33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13"/>
  <c r="Z12"/>
  <c r="Z11"/>
  <c r="Z10"/>
  <c r="Z9"/>
  <c r="Z8"/>
  <c r="Z7"/>
  <c r="Z6"/>
  <c r="Y36" i="40"/>
  <c r="C59"/>
  <c r="Y27"/>
  <c r="Z35"/>
  <c r="Z34"/>
  <c r="Z33"/>
  <c r="Z32"/>
  <c r="AA32"/>
  <c r="Z31"/>
  <c r="Z30"/>
  <c r="Z29"/>
  <c r="Y13"/>
  <c r="X36"/>
  <c r="X13"/>
  <c r="W36"/>
  <c r="W13"/>
  <c r="V36"/>
  <c r="V13"/>
  <c r="U36"/>
  <c r="U13"/>
  <c r="T36"/>
  <c r="T13"/>
  <c r="S36"/>
  <c r="S37"/>
  <c r="S13"/>
  <c r="R36"/>
  <c r="R13"/>
  <c r="Q36"/>
  <c r="Q37"/>
  <c r="Q13"/>
  <c r="P36"/>
  <c r="P13"/>
  <c r="O36"/>
  <c r="O37"/>
  <c r="O13"/>
  <c r="N36"/>
  <c r="N13"/>
  <c r="M36"/>
  <c r="M37"/>
  <c r="M13"/>
  <c r="L36"/>
  <c r="L13"/>
  <c r="K36"/>
  <c r="K37"/>
  <c r="K13"/>
  <c r="J36"/>
  <c r="J13"/>
  <c r="I36"/>
  <c r="I37"/>
  <c r="I13"/>
  <c r="H36"/>
  <c r="H13"/>
  <c r="G36"/>
  <c r="G37"/>
  <c r="G13"/>
  <c r="F36"/>
  <c r="F13"/>
  <c r="C6"/>
  <c r="C7"/>
  <c r="N19"/>
  <c r="C8"/>
  <c r="Y20"/>
  <c r="C9"/>
  <c r="I21"/>
  <c r="C10"/>
  <c r="C11"/>
  <c r="C12"/>
  <c r="M24"/>
  <c r="E62"/>
  <c r="Y52"/>
  <c r="Y41"/>
  <c r="Y53"/>
  <c r="Y42"/>
  <c r="Y54"/>
  <c r="Y43"/>
  <c r="Y55"/>
  <c r="Y44"/>
  <c r="Y56"/>
  <c r="Y45"/>
  <c r="Y57"/>
  <c r="Y46"/>
  <c r="Y58"/>
  <c r="Y47"/>
  <c r="X52"/>
  <c r="X41"/>
  <c r="X53"/>
  <c r="X42"/>
  <c r="X54"/>
  <c r="X43"/>
  <c r="X55"/>
  <c r="X44"/>
  <c r="X56"/>
  <c r="X45"/>
  <c r="X57"/>
  <c r="X46"/>
  <c r="X58"/>
  <c r="X47"/>
  <c r="W52"/>
  <c r="W41"/>
  <c r="W53"/>
  <c r="W42"/>
  <c r="W54"/>
  <c r="W43"/>
  <c r="W55"/>
  <c r="W44"/>
  <c r="W56"/>
  <c r="W45"/>
  <c r="W57"/>
  <c r="W46"/>
  <c r="W58"/>
  <c r="W47"/>
  <c r="V52"/>
  <c r="V41"/>
  <c r="V53"/>
  <c r="V42"/>
  <c r="V54"/>
  <c r="V43"/>
  <c r="V55"/>
  <c r="V44"/>
  <c r="V56"/>
  <c r="V45"/>
  <c r="V57"/>
  <c r="V46"/>
  <c r="V58"/>
  <c r="V47"/>
  <c r="U52"/>
  <c r="U41"/>
  <c r="U53"/>
  <c r="U42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41"/>
  <c r="R53"/>
  <c r="R42"/>
  <c r="R54"/>
  <c r="R43"/>
  <c r="R55"/>
  <c r="R44"/>
  <c r="R56"/>
  <c r="R45"/>
  <c r="R57"/>
  <c r="R46"/>
  <c r="R58"/>
  <c r="R47"/>
  <c r="Q52"/>
  <c r="Q41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58"/>
  <c r="P47"/>
  <c r="O52"/>
  <c r="O41"/>
  <c r="O53"/>
  <c r="O42"/>
  <c r="O54"/>
  <c r="O43"/>
  <c r="O55"/>
  <c r="O44"/>
  <c r="O56"/>
  <c r="O45"/>
  <c r="O57"/>
  <c r="O46"/>
  <c r="O58"/>
  <c r="O47"/>
  <c r="N52"/>
  <c r="N41"/>
  <c r="N53"/>
  <c r="N42"/>
  <c r="N54"/>
  <c r="N43"/>
  <c r="N55"/>
  <c r="N44"/>
  <c r="N56"/>
  <c r="N45"/>
  <c r="N57"/>
  <c r="N46"/>
  <c r="N58"/>
  <c r="N47"/>
  <c r="M52"/>
  <c r="M41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41"/>
  <c r="J53"/>
  <c r="J42"/>
  <c r="J54"/>
  <c r="J43"/>
  <c r="J55"/>
  <c r="J44"/>
  <c r="J56"/>
  <c r="J45"/>
  <c r="J57"/>
  <c r="J46"/>
  <c r="J58"/>
  <c r="J47"/>
  <c r="I52"/>
  <c r="I41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G47"/>
  <c r="F52"/>
  <c r="F41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28"/>
  <c r="X17"/>
  <c r="X40"/>
  <c r="X51"/>
  <c r="W17"/>
  <c r="W40"/>
  <c r="W51"/>
  <c r="V17"/>
  <c r="V28"/>
  <c r="U17"/>
  <c r="U28"/>
  <c r="T17"/>
  <c r="T40"/>
  <c r="T51"/>
  <c r="S17"/>
  <c r="S40"/>
  <c r="S51"/>
  <c r="R17"/>
  <c r="Q17"/>
  <c r="Q28"/>
  <c r="P17"/>
  <c r="P40"/>
  <c r="P51"/>
  <c r="O17"/>
  <c r="O40"/>
  <c r="O51"/>
  <c r="N17"/>
  <c r="N40"/>
  <c r="N51"/>
  <c r="M17"/>
  <c r="M28"/>
  <c r="L17"/>
  <c r="L40"/>
  <c r="L51"/>
  <c r="K17"/>
  <c r="J17"/>
  <c r="J40"/>
  <c r="J51"/>
  <c r="I17"/>
  <c r="I28"/>
  <c r="H17"/>
  <c r="G17"/>
  <c r="G40"/>
  <c r="G51"/>
  <c r="F17"/>
  <c r="F28"/>
  <c r="AA48"/>
  <c r="P46"/>
  <c r="B36"/>
  <c r="B35"/>
  <c r="B33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13"/>
  <c r="Z12"/>
  <c r="Z11"/>
  <c r="Z10"/>
  <c r="Z9"/>
  <c r="Z8"/>
  <c r="Z7"/>
  <c r="Z6"/>
  <c r="Y36" i="39"/>
  <c r="C59"/>
  <c r="Y27"/>
  <c r="Z35"/>
  <c r="Z34"/>
  <c r="Z33"/>
  <c r="Z32"/>
  <c r="AA32"/>
  <c r="Z31"/>
  <c r="Z30"/>
  <c r="Z29"/>
  <c r="Y13"/>
  <c r="X36"/>
  <c r="X13"/>
  <c r="W36"/>
  <c r="W37"/>
  <c r="W13"/>
  <c r="V36"/>
  <c r="V13"/>
  <c r="U36"/>
  <c r="U37"/>
  <c r="U13"/>
  <c r="T36"/>
  <c r="T13"/>
  <c r="S36"/>
  <c r="S37"/>
  <c r="S13"/>
  <c r="R36"/>
  <c r="R13"/>
  <c r="Q36"/>
  <c r="Q37"/>
  <c r="Q13"/>
  <c r="P36"/>
  <c r="P13"/>
  <c r="O36"/>
  <c r="O37"/>
  <c r="O13"/>
  <c r="N36"/>
  <c r="N13"/>
  <c r="M36"/>
  <c r="M37"/>
  <c r="M13"/>
  <c r="AA48"/>
  <c r="L36"/>
  <c r="L13"/>
  <c r="K36"/>
  <c r="K13"/>
  <c r="J36"/>
  <c r="J13"/>
  <c r="I36"/>
  <c r="I13"/>
  <c r="H36"/>
  <c r="H13"/>
  <c r="G36"/>
  <c r="Y36" i="36"/>
  <c r="C59"/>
  <c r="Y27"/>
  <c r="Z35"/>
  <c r="Z34"/>
  <c r="Z33"/>
  <c r="Z32"/>
  <c r="Z31"/>
  <c r="Z30"/>
  <c r="Z29"/>
  <c r="Y13"/>
  <c r="X36"/>
  <c r="X13"/>
  <c r="W36"/>
  <c r="W37"/>
  <c r="W13"/>
  <c r="V36"/>
  <c r="V13"/>
  <c r="U36"/>
  <c r="U37"/>
  <c r="U13"/>
  <c r="T36"/>
  <c r="T13"/>
  <c r="S36"/>
  <c r="S37"/>
  <c r="S13"/>
  <c r="R36"/>
  <c r="R13"/>
  <c r="Q36"/>
  <c r="Q37"/>
  <c r="Q13"/>
  <c r="P36"/>
  <c r="P13"/>
  <c r="O36"/>
  <c r="O37"/>
  <c r="O13"/>
  <c r="N36"/>
  <c r="N13"/>
  <c r="M36"/>
  <c r="M37"/>
  <c r="M13"/>
  <c r="L36"/>
  <c r="L13"/>
  <c r="K36"/>
  <c r="K37"/>
  <c r="K13"/>
  <c r="AA48"/>
  <c r="J36"/>
  <c r="J13"/>
  <c r="I36"/>
  <c r="I13"/>
  <c r="H36"/>
  <c r="H13"/>
  <c r="G36"/>
  <c r="C6" i="39"/>
  <c r="C7"/>
  <c r="K19"/>
  <c r="C8"/>
  <c r="W20"/>
  <c r="C9"/>
  <c r="C10"/>
  <c r="M22"/>
  <c r="C11"/>
  <c r="I23"/>
  <c r="C12"/>
  <c r="V24"/>
  <c r="E62"/>
  <c r="Y52"/>
  <c r="Y41"/>
  <c r="Y53"/>
  <c r="Y42"/>
  <c r="Y54"/>
  <c r="Y43"/>
  <c r="Y55"/>
  <c r="Y44"/>
  <c r="Y56"/>
  <c r="Y45"/>
  <c r="Y57"/>
  <c r="Y46"/>
  <c r="Y58"/>
  <c r="Y47"/>
  <c r="X52"/>
  <c r="X41"/>
  <c r="X53"/>
  <c r="X42"/>
  <c r="X54"/>
  <c r="X43"/>
  <c r="X55"/>
  <c r="X44"/>
  <c r="X56"/>
  <c r="X45"/>
  <c r="X57"/>
  <c r="X46"/>
  <c r="X58"/>
  <c r="X47"/>
  <c r="W52"/>
  <c r="W53"/>
  <c r="W42"/>
  <c r="W54"/>
  <c r="W43"/>
  <c r="W55"/>
  <c r="W44"/>
  <c r="W56"/>
  <c r="W45"/>
  <c r="W57"/>
  <c r="W46"/>
  <c r="W58"/>
  <c r="W47"/>
  <c r="V52"/>
  <c r="V53"/>
  <c r="V42"/>
  <c r="V54"/>
  <c r="V43"/>
  <c r="V55"/>
  <c r="V44"/>
  <c r="V56"/>
  <c r="V45"/>
  <c r="V57"/>
  <c r="V46"/>
  <c r="V58"/>
  <c r="U52"/>
  <c r="U53"/>
  <c r="U42"/>
  <c r="U54"/>
  <c r="U43"/>
  <c r="U55"/>
  <c r="U44"/>
  <c r="U56"/>
  <c r="U45"/>
  <c r="U57"/>
  <c r="U46"/>
  <c r="U58"/>
  <c r="U47"/>
  <c r="T52"/>
  <c r="T41"/>
  <c r="T53"/>
  <c r="T42"/>
  <c r="T54"/>
  <c r="T43"/>
  <c r="T55"/>
  <c r="T44"/>
  <c r="T56"/>
  <c r="T45"/>
  <c r="T57"/>
  <c r="T46"/>
  <c r="T58"/>
  <c r="T47"/>
  <c r="S52"/>
  <c r="S53"/>
  <c r="S42"/>
  <c r="S54"/>
  <c r="S43"/>
  <c r="S55"/>
  <c r="S44"/>
  <c r="S56"/>
  <c r="S45"/>
  <c r="S57"/>
  <c r="S46"/>
  <c r="S58"/>
  <c r="S47"/>
  <c r="R52"/>
  <c r="R53"/>
  <c r="R42"/>
  <c r="R54"/>
  <c r="R43"/>
  <c r="R55"/>
  <c r="R44"/>
  <c r="R56"/>
  <c r="R45"/>
  <c r="R57"/>
  <c r="R46"/>
  <c r="R58"/>
  <c r="R47"/>
  <c r="Q52"/>
  <c r="Q41"/>
  <c r="Q53"/>
  <c r="Q42"/>
  <c r="Q54"/>
  <c r="Q43"/>
  <c r="Q55"/>
  <c r="Q44"/>
  <c r="Q56"/>
  <c r="Q45"/>
  <c r="Q57"/>
  <c r="Q46"/>
  <c r="Q58"/>
  <c r="Q47"/>
  <c r="P52"/>
  <c r="P41"/>
  <c r="P53"/>
  <c r="P42"/>
  <c r="P54"/>
  <c r="P43"/>
  <c r="P55"/>
  <c r="P44"/>
  <c r="P56"/>
  <c r="P45"/>
  <c r="P57"/>
  <c r="P46"/>
  <c r="P58"/>
  <c r="P47"/>
  <c r="O52"/>
  <c r="O53"/>
  <c r="O42"/>
  <c r="O54"/>
  <c r="O43"/>
  <c r="O55"/>
  <c r="O44"/>
  <c r="O56"/>
  <c r="O45"/>
  <c r="O57"/>
  <c r="O46"/>
  <c r="O58"/>
  <c r="O47"/>
  <c r="N52"/>
  <c r="N53"/>
  <c r="N42"/>
  <c r="N54"/>
  <c r="N43"/>
  <c r="N55"/>
  <c r="N44"/>
  <c r="N56"/>
  <c r="N45"/>
  <c r="N57"/>
  <c r="N46"/>
  <c r="N58"/>
  <c r="N47"/>
  <c r="M52"/>
  <c r="M53"/>
  <c r="M42"/>
  <c r="M54"/>
  <c r="M43"/>
  <c r="M55"/>
  <c r="M44"/>
  <c r="M56"/>
  <c r="M45"/>
  <c r="M57"/>
  <c r="M46"/>
  <c r="M58"/>
  <c r="M47"/>
  <c r="L52"/>
  <c r="L41"/>
  <c r="L53"/>
  <c r="L42"/>
  <c r="L54"/>
  <c r="L43"/>
  <c r="L55"/>
  <c r="L44"/>
  <c r="L56"/>
  <c r="L45"/>
  <c r="L57"/>
  <c r="L46"/>
  <c r="L58"/>
  <c r="L47"/>
  <c r="K52"/>
  <c r="K53"/>
  <c r="K42"/>
  <c r="K54"/>
  <c r="K43"/>
  <c r="K55"/>
  <c r="K44"/>
  <c r="K56"/>
  <c r="K45"/>
  <c r="K57"/>
  <c r="K46"/>
  <c r="K58"/>
  <c r="K47"/>
  <c r="J52"/>
  <c r="J53"/>
  <c r="J42"/>
  <c r="J54"/>
  <c r="J43"/>
  <c r="J55"/>
  <c r="J44"/>
  <c r="J56"/>
  <c r="J45"/>
  <c r="J57"/>
  <c r="J46"/>
  <c r="J58"/>
  <c r="J47"/>
  <c r="I52"/>
  <c r="I41"/>
  <c r="I53"/>
  <c r="I42"/>
  <c r="I54"/>
  <c r="I43"/>
  <c r="I55"/>
  <c r="I44"/>
  <c r="I56"/>
  <c r="I45"/>
  <c r="I57"/>
  <c r="I46"/>
  <c r="I58"/>
  <c r="I47"/>
  <c r="H52"/>
  <c r="H41"/>
  <c r="H53"/>
  <c r="H42"/>
  <c r="H54"/>
  <c r="H43"/>
  <c r="H55"/>
  <c r="H44"/>
  <c r="H56"/>
  <c r="H45"/>
  <c r="H57"/>
  <c r="H46"/>
  <c r="H58"/>
  <c r="H47"/>
  <c r="G52"/>
  <c r="G53"/>
  <c r="G42"/>
  <c r="G54"/>
  <c r="G43"/>
  <c r="G55"/>
  <c r="G44"/>
  <c r="G56"/>
  <c r="G45"/>
  <c r="G57"/>
  <c r="G46"/>
  <c r="G58"/>
  <c r="G47"/>
  <c r="F52"/>
  <c r="F53"/>
  <c r="F42"/>
  <c r="F54"/>
  <c r="F43"/>
  <c r="F55"/>
  <c r="F44"/>
  <c r="F56"/>
  <c r="F45"/>
  <c r="F57"/>
  <c r="F46"/>
  <c r="F58"/>
  <c r="F47"/>
  <c r="D59"/>
  <c r="B21"/>
  <c r="B32"/>
  <c r="B44"/>
  <c r="B55"/>
  <c r="B31"/>
  <c r="B43"/>
  <c r="B54"/>
  <c r="Y17"/>
  <c r="Y28"/>
  <c r="X17"/>
  <c r="X40"/>
  <c r="X51"/>
  <c r="W17"/>
  <c r="W40"/>
  <c r="W51"/>
  <c r="V17"/>
  <c r="V40"/>
  <c r="V51"/>
  <c r="U17"/>
  <c r="U28"/>
  <c r="T17"/>
  <c r="T40"/>
  <c r="T51"/>
  <c r="S17"/>
  <c r="S40"/>
  <c r="S51"/>
  <c r="R17"/>
  <c r="R40"/>
  <c r="R51"/>
  <c r="Q17"/>
  <c r="Q40"/>
  <c r="Q51"/>
  <c r="P17"/>
  <c r="P40"/>
  <c r="P51"/>
  <c r="O17"/>
  <c r="O40"/>
  <c r="O51"/>
  <c r="N17"/>
  <c r="N40"/>
  <c r="N51"/>
  <c r="M17"/>
  <c r="M40"/>
  <c r="M51"/>
  <c r="L17"/>
  <c r="L40"/>
  <c r="L51"/>
  <c r="K17"/>
  <c r="K40"/>
  <c r="K51"/>
  <c r="J17"/>
  <c r="J40"/>
  <c r="J51"/>
  <c r="I17"/>
  <c r="I40"/>
  <c r="I51"/>
  <c r="H17"/>
  <c r="G17"/>
  <c r="G28"/>
  <c r="F17"/>
  <c r="F40"/>
  <c r="F51"/>
  <c r="V47"/>
  <c r="F36"/>
  <c r="F27"/>
  <c r="B36"/>
  <c r="B35"/>
  <c r="B33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G13"/>
  <c r="F13"/>
  <c r="E13"/>
  <c r="Z12"/>
  <c r="Z11"/>
  <c r="Z10"/>
  <c r="Z9"/>
  <c r="Z8"/>
  <c r="Z7"/>
  <c r="Z6"/>
  <c r="Y36" i="38"/>
  <c r="C59"/>
  <c r="Y27"/>
  <c r="Z35"/>
  <c r="Z34"/>
  <c r="Z33"/>
  <c r="Z32"/>
  <c r="Z31"/>
  <c r="Z30"/>
  <c r="Z29"/>
  <c r="Y13"/>
  <c r="X36"/>
  <c r="X13"/>
  <c r="W36"/>
  <c r="W13"/>
  <c r="V36"/>
  <c r="V13"/>
  <c r="U36"/>
  <c r="U13"/>
  <c r="T36"/>
  <c r="T13"/>
  <c r="S36"/>
  <c r="S37"/>
  <c r="S13"/>
  <c r="R36"/>
  <c r="R13"/>
  <c r="Q36"/>
  <c r="Q13"/>
  <c r="P36"/>
  <c r="P13"/>
  <c r="O36"/>
  <c r="O13"/>
  <c r="N36"/>
  <c r="N13"/>
  <c r="M36"/>
  <c r="M13"/>
  <c r="L36"/>
  <c r="L13"/>
  <c r="K36"/>
  <c r="K13"/>
  <c r="J36"/>
  <c r="J13"/>
  <c r="I36"/>
  <c r="I13"/>
  <c r="Y52"/>
  <c r="Y53"/>
  <c r="Y42"/>
  <c r="Y54"/>
  <c r="Y43"/>
  <c r="Y55"/>
  <c r="Y44"/>
  <c r="Y56"/>
  <c r="Y45"/>
  <c r="Y57"/>
  <c r="Y46"/>
  <c r="Y58"/>
  <c r="Y47"/>
  <c r="X52"/>
  <c r="X53"/>
  <c r="X42"/>
  <c r="X54"/>
  <c r="X43"/>
  <c r="X55"/>
  <c r="X44"/>
  <c r="X56"/>
  <c r="X45"/>
  <c r="X57"/>
  <c r="X46"/>
  <c r="X58"/>
  <c r="X47"/>
  <c r="H36"/>
  <c r="H13"/>
  <c r="G13"/>
  <c r="G36"/>
  <c r="C6"/>
  <c r="Q18"/>
  <c r="C7"/>
  <c r="C8"/>
  <c r="V20"/>
  <c r="C9"/>
  <c r="V21"/>
  <c r="C10"/>
  <c r="Q22"/>
  <c r="C11"/>
  <c r="C12"/>
  <c r="B29"/>
  <c r="F27"/>
  <c r="B30"/>
  <c r="B31"/>
  <c r="B43"/>
  <c r="B54"/>
  <c r="B21"/>
  <c r="B32"/>
  <c r="B44"/>
  <c r="B55"/>
  <c r="B33"/>
  <c r="B35"/>
  <c r="F36"/>
  <c r="E13"/>
  <c r="F13"/>
  <c r="E62"/>
  <c r="W52"/>
  <c r="W41"/>
  <c r="W53"/>
  <c r="W42"/>
  <c r="W54"/>
  <c r="W43"/>
  <c r="W55"/>
  <c r="W44"/>
  <c r="W56"/>
  <c r="W45"/>
  <c r="W57"/>
  <c r="W46"/>
  <c r="W58"/>
  <c r="W47"/>
  <c r="V52"/>
  <c r="V53"/>
  <c r="V42"/>
  <c r="V54"/>
  <c r="V43"/>
  <c r="V55"/>
  <c r="V44"/>
  <c r="V56"/>
  <c r="V45"/>
  <c r="V57"/>
  <c r="V46"/>
  <c r="V58"/>
  <c r="V47"/>
  <c r="U52"/>
  <c r="U53"/>
  <c r="U42"/>
  <c r="U54"/>
  <c r="U43"/>
  <c r="U55"/>
  <c r="U44"/>
  <c r="U56"/>
  <c r="U45"/>
  <c r="U57"/>
  <c r="U46"/>
  <c r="U58"/>
  <c r="U47"/>
  <c r="T52"/>
  <c r="T53"/>
  <c r="T42"/>
  <c r="T54"/>
  <c r="T43"/>
  <c r="T55"/>
  <c r="T44"/>
  <c r="T56"/>
  <c r="T45"/>
  <c r="T57"/>
  <c r="T46"/>
  <c r="T58"/>
  <c r="T47"/>
  <c r="S52"/>
  <c r="S41"/>
  <c r="S53"/>
  <c r="S42"/>
  <c r="S54"/>
  <c r="S43"/>
  <c r="S55"/>
  <c r="S44"/>
  <c r="S56"/>
  <c r="S45"/>
  <c r="S57"/>
  <c r="S46"/>
  <c r="S58"/>
  <c r="S47"/>
  <c r="R52"/>
  <c r="R41"/>
  <c r="R53"/>
  <c r="R42"/>
  <c r="R54"/>
  <c r="R43"/>
  <c r="R55"/>
  <c r="R44"/>
  <c r="R56"/>
  <c r="R45"/>
  <c r="R57"/>
  <c r="R46"/>
  <c r="R58"/>
  <c r="R47"/>
  <c r="Q52"/>
  <c r="Q53"/>
  <c r="Q42"/>
  <c r="Q54"/>
  <c r="Q43"/>
  <c r="Q55"/>
  <c r="Q44"/>
  <c r="Q56"/>
  <c r="Q45"/>
  <c r="Q57"/>
  <c r="Q46"/>
  <c r="Q58"/>
  <c r="P52"/>
  <c r="P53"/>
  <c r="P42"/>
  <c r="P54"/>
  <c r="P43"/>
  <c r="P55"/>
  <c r="P44"/>
  <c r="P56"/>
  <c r="P45"/>
  <c r="P57"/>
  <c r="P46"/>
  <c r="P58"/>
  <c r="P47"/>
  <c r="O52"/>
  <c r="O41"/>
  <c r="O53"/>
  <c r="O42"/>
  <c r="O54"/>
  <c r="O43"/>
  <c r="O55"/>
  <c r="O44"/>
  <c r="O56"/>
  <c r="O45"/>
  <c r="O57"/>
  <c r="O46"/>
  <c r="O58"/>
  <c r="O47"/>
  <c r="N52"/>
  <c r="N53"/>
  <c r="N42"/>
  <c r="N54"/>
  <c r="N43"/>
  <c r="N55"/>
  <c r="N44"/>
  <c r="N56"/>
  <c r="N45"/>
  <c r="N57"/>
  <c r="N46"/>
  <c r="N58"/>
  <c r="N47"/>
  <c r="M52"/>
  <c r="M53"/>
  <c r="M42"/>
  <c r="M54"/>
  <c r="M43"/>
  <c r="M55"/>
  <c r="M44"/>
  <c r="M56"/>
  <c r="M45"/>
  <c r="M57"/>
  <c r="M46"/>
  <c r="M58"/>
  <c r="M47"/>
  <c r="L52"/>
  <c r="L53"/>
  <c r="L42"/>
  <c r="L54"/>
  <c r="L43"/>
  <c r="L55"/>
  <c r="L44"/>
  <c r="L56"/>
  <c r="L45"/>
  <c r="L57"/>
  <c r="L46"/>
  <c r="L58"/>
  <c r="L47"/>
  <c r="K52"/>
  <c r="K41"/>
  <c r="K53"/>
  <c r="K42"/>
  <c r="K54"/>
  <c r="K43"/>
  <c r="K55"/>
  <c r="K44"/>
  <c r="K56"/>
  <c r="K45"/>
  <c r="K57"/>
  <c r="K46"/>
  <c r="K58"/>
  <c r="K47"/>
  <c r="J52"/>
  <c r="J53"/>
  <c r="J42"/>
  <c r="J54"/>
  <c r="J43"/>
  <c r="J55"/>
  <c r="J44"/>
  <c r="J56"/>
  <c r="J45"/>
  <c r="J57"/>
  <c r="J46"/>
  <c r="J58"/>
  <c r="J47"/>
  <c r="I52"/>
  <c r="I53"/>
  <c r="I42"/>
  <c r="I54"/>
  <c r="I43"/>
  <c r="I55"/>
  <c r="I44"/>
  <c r="I56"/>
  <c r="I45"/>
  <c r="I57"/>
  <c r="I46"/>
  <c r="I58"/>
  <c r="I47"/>
  <c r="H52"/>
  <c r="H53"/>
  <c r="H42"/>
  <c r="H54"/>
  <c r="H43"/>
  <c r="H55"/>
  <c r="H44"/>
  <c r="H56"/>
  <c r="H45"/>
  <c r="H57"/>
  <c r="H46"/>
  <c r="H58"/>
  <c r="H47"/>
  <c r="G52"/>
  <c r="G41"/>
  <c r="G53"/>
  <c r="G42"/>
  <c r="G54"/>
  <c r="G43"/>
  <c r="G55"/>
  <c r="G44"/>
  <c r="G56"/>
  <c r="G45"/>
  <c r="G57"/>
  <c r="G46"/>
  <c r="G58"/>
  <c r="G47"/>
  <c r="F52"/>
  <c r="F53"/>
  <c r="F42"/>
  <c r="F54"/>
  <c r="F43"/>
  <c r="F55"/>
  <c r="F44"/>
  <c r="F56"/>
  <c r="F45"/>
  <c r="F57"/>
  <c r="F46"/>
  <c r="F58"/>
  <c r="F47"/>
  <c r="D59"/>
  <c r="Y17"/>
  <c r="Y28"/>
  <c r="X17"/>
  <c r="W17"/>
  <c r="V17"/>
  <c r="V40"/>
  <c r="V51"/>
  <c r="U17"/>
  <c r="U28"/>
  <c r="T17"/>
  <c r="T40"/>
  <c r="T51"/>
  <c r="S17"/>
  <c r="S28"/>
  <c r="R17"/>
  <c r="Q17"/>
  <c r="Q28"/>
  <c r="P17"/>
  <c r="P40"/>
  <c r="P51"/>
  <c r="O17"/>
  <c r="O40"/>
  <c r="O51"/>
  <c r="N17"/>
  <c r="M17"/>
  <c r="M28"/>
  <c r="L17"/>
  <c r="K17"/>
  <c r="K40"/>
  <c r="K51"/>
  <c r="J17"/>
  <c r="J28"/>
  <c r="I17"/>
  <c r="I28"/>
  <c r="H17"/>
  <c r="G17"/>
  <c r="F17"/>
  <c r="F40"/>
  <c r="F51"/>
  <c r="AA48"/>
  <c r="Q47"/>
  <c r="B36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Z12"/>
  <c r="Z11"/>
  <c r="Z10"/>
  <c r="Z9"/>
  <c r="Z8"/>
  <c r="Z7"/>
  <c r="Z6"/>
  <c r="Y36" i="34"/>
  <c r="C59"/>
  <c r="Y27"/>
  <c r="Z35"/>
  <c r="Z34"/>
  <c r="Z33"/>
  <c r="Z32"/>
  <c r="Z31"/>
  <c r="Z30"/>
  <c r="Z29"/>
  <c r="Y13"/>
  <c r="X36"/>
  <c r="X13"/>
  <c r="W36"/>
  <c r="W13"/>
  <c r="V36"/>
  <c r="V13"/>
  <c r="U36"/>
  <c r="U13"/>
  <c r="T13"/>
  <c r="S13"/>
  <c r="R13"/>
  <c r="Q13"/>
  <c r="P13"/>
  <c r="O13"/>
  <c r="N13"/>
  <c r="M13"/>
  <c r="L13"/>
  <c r="K13"/>
  <c r="J13"/>
  <c r="I13"/>
  <c r="H13"/>
  <c r="AA48"/>
  <c r="G13"/>
  <c r="Z6"/>
  <c r="F13"/>
  <c r="G36"/>
  <c r="H36"/>
  <c r="H37"/>
  <c r="I36"/>
  <c r="J36"/>
  <c r="K36"/>
  <c r="L36"/>
  <c r="L37"/>
  <c r="M36"/>
  <c r="N36"/>
  <c r="O36"/>
  <c r="P36"/>
  <c r="P37"/>
  <c r="Q36"/>
  <c r="R36"/>
  <c r="S36"/>
  <c r="T36"/>
  <c r="T37"/>
  <c r="C6"/>
  <c r="R18"/>
  <c r="C7"/>
  <c r="O19"/>
  <c r="C8"/>
  <c r="X20"/>
  <c r="C9"/>
  <c r="Y21"/>
  <c r="C10"/>
  <c r="G22"/>
  <c r="C11"/>
  <c r="N23"/>
  <c r="C12"/>
  <c r="C24"/>
  <c r="F36"/>
  <c r="Z8"/>
  <c r="Y33" i="33"/>
  <c r="C54"/>
  <c r="Y25"/>
  <c r="Z32"/>
  <c r="Z31"/>
  <c r="Z30"/>
  <c r="Z29"/>
  <c r="AA29"/>
  <c r="Z28"/>
  <c r="Z27"/>
  <c r="Y12"/>
  <c r="X12"/>
  <c r="W12"/>
  <c r="V12"/>
  <c r="U12"/>
  <c r="T12"/>
  <c r="S12"/>
  <c r="R12"/>
  <c r="Q12"/>
  <c r="P12"/>
  <c r="O33"/>
  <c r="O12"/>
  <c r="N12"/>
  <c r="M12"/>
  <c r="L12"/>
  <c r="K33"/>
  <c r="K25"/>
  <c r="K12"/>
  <c r="J12"/>
  <c r="I12"/>
  <c r="H12"/>
  <c r="G12"/>
  <c r="F12"/>
  <c r="Z32" i="32"/>
  <c r="Y25"/>
  <c r="Z31"/>
  <c r="Z30"/>
  <c r="Z29"/>
  <c r="Z28"/>
  <c r="AA28"/>
  <c r="Z27"/>
  <c r="Y12"/>
  <c r="X12"/>
  <c r="W12"/>
  <c r="V12"/>
  <c r="F12"/>
  <c r="G12"/>
  <c r="H12"/>
  <c r="I12"/>
  <c r="J12"/>
  <c r="K12"/>
  <c r="L12"/>
  <c r="M12"/>
  <c r="N12"/>
  <c r="O12"/>
  <c r="P12"/>
  <c r="Q12"/>
  <c r="R12"/>
  <c r="S12"/>
  <c r="T12"/>
  <c r="U12"/>
  <c r="AA44" i="33"/>
  <c r="AA44" i="32"/>
  <c r="E62" i="36"/>
  <c r="D59"/>
  <c r="Y58"/>
  <c r="Y47"/>
  <c r="X58"/>
  <c r="X47"/>
  <c r="W58"/>
  <c r="W47"/>
  <c r="V58"/>
  <c r="V47"/>
  <c r="U58"/>
  <c r="T58"/>
  <c r="S58"/>
  <c r="S47"/>
  <c r="R58"/>
  <c r="R47"/>
  <c r="Q58"/>
  <c r="Q47"/>
  <c r="P58"/>
  <c r="P47"/>
  <c r="O58"/>
  <c r="O47"/>
  <c r="N58"/>
  <c r="N47"/>
  <c r="M58"/>
  <c r="M47"/>
  <c r="L58"/>
  <c r="L47"/>
  <c r="K58"/>
  <c r="K47"/>
  <c r="J58"/>
  <c r="J47"/>
  <c r="I58"/>
  <c r="I47"/>
  <c r="H58"/>
  <c r="H47"/>
  <c r="G58"/>
  <c r="G47"/>
  <c r="F58"/>
  <c r="F47"/>
  <c r="Y57"/>
  <c r="Y46"/>
  <c r="X57"/>
  <c r="X46"/>
  <c r="W57"/>
  <c r="W46"/>
  <c r="V57"/>
  <c r="V46"/>
  <c r="U57"/>
  <c r="U46"/>
  <c r="T57"/>
  <c r="T46"/>
  <c r="S57"/>
  <c r="S46"/>
  <c r="R57"/>
  <c r="R46"/>
  <c r="Q57"/>
  <c r="Q46"/>
  <c r="P57"/>
  <c r="P46"/>
  <c r="O57"/>
  <c r="O46"/>
  <c r="N57"/>
  <c r="N46"/>
  <c r="M57"/>
  <c r="M46"/>
  <c r="L57"/>
  <c r="L46"/>
  <c r="K57"/>
  <c r="K46"/>
  <c r="J57"/>
  <c r="J46"/>
  <c r="I57"/>
  <c r="I46"/>
  <c r="H57"/>
  <c r="H46"/>
  <c r="G57"/>
  <c r="G46"/>
  <c r="F57"/>
  <c r="F46"/>
  <c r="Y56"/>
  <c r="Y45"/>
  <c r="X56"/>
  <c r="X45"/>
  <c r="W56"/>
  <c r="W45"/>
  <c r="V56"/>
  <c r="V45"/>
  <c r="U56"/>
  <c r="U45"/>
  <c r="T56"/>
  <c r="T45"/>
  <c r="S56"/>
  <c r="S45"/>
  <c r="R56"/>
  <c r="R45"/>
  <c r="Q56"/>
  <c r="Q45"/>
  <c r="P56"/>
  <c r="P45"/>
  <c r="O56"/>
  <c r="O45"/>
  <c r="N56"/>
  <c r="N45"/>
  <c r="M56"/>
  <c r="M45"/>
  <c r="L56"/>
  <c r="L45"/>
  <c r="K56"/>
  <c r="K45"/>
  <c r="J56"/>
  <c r="J45"/>
  <c r="I56"/>
  <c r="I45"/>
  <c r="H56"/>
  <c r="H45"/>
  <c r="G56"/>
  <c r="G45"/>
  <c r="F56"/>
  <c r="F45"/>
  <c r="Y55"/>
  <c r="Y44"/>
  <c r="X55"/>
  <c r="X44"/>
  <c r="W55"/>
  <c r="W44"/>
  <c r="V55"/>
  <c r="V44"/>
  <c r="U55"/>
  <c r="U44"/>
  <c r="T55"/>
  <c r="T44"/>
  <c r="S55"/>
  <c r="S44"/>
  <c r="R55"/>
  <c r="R44"/>
  <c r="Q55"/>
  <c r="Q44"/>
  <c r="P55"/>
  <c r="P44"/>
  <c r="O55"/>
  <c r="O44"/>
  <c r="N55"/>
  <c r="N44"/>
  <c r="M55"/>
  <c r="M44"/>
  <c r="L55"/>
  <c r="L44"/>
  <c r="K55"/>
  <c r="K44"/>
  <c r="J55"/>
  <c r="J44"/>
  <c r="I55"/>
  <c r="I44"/>
  <c r="H55"/>
  <c r="H44"/>
  <c r="G55"/>
  <c r="G44"/>
  <c r="F55"/>
  <c r="F44"/>
  <c r="Y54"/>
  <c r="Y43"/>
  <c r="X54"/>
  <c r="X43"/>
  <c r="W54"/>
  <c r="W43"/>
  <c r="V54"/>
  <c r="V43"/>
  <c r="U54"/>
  <c r="U43"/>
  <c r="T54"/>
  <c r="T43"/>
  <c r="S54"/>
  <c r="S43"/>
  <c r="R54"/>
  <c r="R43"/>
  <c r="Q54"/>
  <c r="Q43"/>
  <c r="P54"/>
  <c r="P43"/>
  <c r="O54"/>
  <c r="O43"/>
  <c r="N54"/>
  <c r="N43"/>
  <c r="M54"/>
  <c r="M43"/>
  <c r="L54"/>
  <c r="L43"/>
  <c r="K54"/>
  <c r="K43"/>
  <c r="J54"/>
  <c r="J43"/>
  <c r="I54"/>
  <c r="I43"/>
  <c r="H54"/>
  <c r="H43"/>
  <c r="G54"/>
  <c r="G43"/>
  <c r="F54"/>
  <c r="F43"/>
  <c r="Y53"/>
  <c r="Y42"/>
  <c r="X53"/>
  <c r="X42"/>
  <c r="W53"/>
  <c r="W42"/>
  <c r="V53"/>
  <c r="V42"/>
  <c r="U53"/>
  <c r="U42"/>
  <c r="T53"/>
  <c r="T42"/>
  <c r="S53"/>
  <c r="S42"/>
  <c r="R53"/>
  <c r="R42"/>
  <c r="Q53"/>
  <c r="Q42"/>
  <c r="P53"/>
  <c r="P42"/>
  <c r="O53"/>
  <c r="O42"/>
  <c r="N53"/>
  <c r="N42"/>
  <c r="M53"/>
  <c r="M42"/>
  <c r="L53"/>
  <c r="L42"/>
  <c r="K53"/>
  <c r="K42"/>
  <c r="J53"/>
  <c r="J42"/>
  <c r="I53"/>
  <c r="I42"/>
  <c r="H53"/>
  <c r="G53"/>
  <c r="G42"/>
  <c r="F53"/>
  <c r="F42"/>
  <c r="Y52"/>
  <c r="Y59"/>
  <c r="X52"/>
  <c r="X41"/>
  <c r="W52"/>
  <c r="W41"/>
  <c r="V52"/>
  <c r="V41"/>
  <c r="U52"/>
  <c r="U59"/>
  <c r="T52"/>
  <c r="T41"/>
  <c r="S52"/>
  <c r="S41"/>
  <c r="R52"/>
  <c r="R41"/>
  <c r="Q52"/>
  <c r="Q59"/>
  <c r="P52"/>
  <c r="O52"/>
  <c r="O41"/>
  <c r="N52"/>
  <c r="N41"/>
  <c r="M52"/>
  <c r="M41"/>
  <c r="L52"/>
  <c r="L41"/>
  <c r="K52"/>
  <c r="K41"/>
  <c r="J52"/>
  <c r="J41"/>
  <c r="I52"/>
  <c r="I59"/>
  <c r="H52"/>
  <c r="H41"/>
  <c r="G52"/>
  <c r="F52"/>
  <c r="F41"/>
  <c r="U47"/>
  <c r="T47"/>
  <c r="F36"/>
  <c r="B36"/>
  <c r="F27"/>
  <c r="B35"/>
  <c r="B33"/>
  <c r="B31"/>
  <c r="B43"/>
  <c r="B54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B21"/>
  <c r="B32"/>
  <c r="B44"/>
  <c r="B55"/>
  <c r="Y17"/>
  <c r="Y40"/>
  <c r="Y51"/>
  <c r="X17"/>
  <c r="X28"/>
  <c r="W17"/>
  <c r="V17"/>
  <c r="U17"/>
  <c r="U40"/>
  <c r="U51"/>
  <c r="T17"/>
  <c r="S17"/>
  <c r="S40"/>
  <c r="S51"/>
  <c r="R17"/>
  <c r="Q17"/>
  <c r="Q40"/>
  <c r="Q51"/>
  <c r="P17"/>
  <c r="O17"/>
  <c r="N17"/>
  <c r="M17"/>
  <c r="M40"/>
  <c r="M51"/>
  <c r="L17"/>
  <c r="K17"/>
  <c r="K40"/>
  <c r="K51"/>
  <c r="J17"/>
  <c r="I17"/>
  <c r="I40"/>
  <c r="I51"/>
  <c r="H17"/>
  <c r="H28"/>
  <c r="G17"/>
  <c r="F17"/>
  <c r="G13"/>
  <c r="F13"/>
  <c r="E13"/>
  <c r="Z12"/>
  <c r="C12"/>
  <c r="Y24"/>
  <c r="Z11"/>
  <c r="C11"/>
  <c r="M23"/>
  <c r="Z10"/>
  <c r="C10"/>
  <c r="Y22"/>
  <c r="Z9"/>
  <c r="C9"/>
  <c r="M21"/>
  <c r="Z8"/>
  <c r="C8"/>
  <c r="X20"/>
  <c r="Z7"/>
  <c r="C7"/>
  <c r="N19"/>
  <c r="Z6"/>
  <c r="C6"/>
  <c r="X18"/>
  <c r="H58" i="34"/>
  <c r="H47"/>
  <c r="I58"/>
  <c r="I47"/>
  <c r="J58"/>
  <c r="J47"/>
  <c r="K58"/>
  <c r="K47"/>
  <c r="L58"/>
  <c r="L47"/>
  <c r="M58"/>
  <c r="M47"/>
  <c r="N58"/>
  <c r="N47"/>
  <c r="O58"/>
  <c r="O47"/>
  <c r="P58"/>
  <c r="P47"/>
  <c r="Q58"/>
  <c r="Q47"/>
  <c r="R58"/>
  <c r="R47"/>
  <c r="S58"/>
  <c r="S47"/>
  <c r="T58"/>
  <c r="T47"/>
  <c r="U58"/>
  <c r="U47"/>
  <c r="V58"/>
  <c r="V47"/>
  <c r="W58"/>
  <c r="W47"/>
  <c r="X58"/>
  <c r="X47"/>
  <c r="Y58"/>
  <c r="Y47"/>
  <c r="H57"/>
  <c r="H46"/>
  <c r="I57"/>
  <c r="I46"/>
  <c r="J57"/>
  <c r="J46"/>
  <c r="K57"/>
  <c r="K46"/>
  <c r="L57"/>
  <c r="L46"/>
  <c r="M57"/>
  <c r="M46"/>
  <c r="N57"/>
  <c r="N46"/>
  <c r="O57"/>
  <c r="O46"/>
  <c r="P57"/>
  <c r="P46"/>
  <c r="Q57"/>
  <c r="Q46"/>
  <c r="R57"/>
  <c r="R46"/>
  <c r="S57"/>
  <c r="S46"/>
  <c r="T57"/>
  <c r="T46"/>
  <c r="U57"/>
  <c r="U46"/>
  <c r="V57"/>
  <c r="V46"/>
  <c r="W57"/>
  <c r="W46"/>
  <c r="X57"/>
  <c r="X46"/>
  <c r="Y57"/>
  <c r="Y46"/>
  <c r="H56"/>
  <c r="H45"/>
  <c r="I56"/>
  <c r="I45"/>
  <c r="J56"/>
  <c r="J45"/>
  <c r="K56"/>
  <c r="K45"/>
  <c r="L56"/>
  <c r="L45"/>
  <c r="M56"/>
  <c r="M45"/>
  <c r="N56"/>
  <c r="N45"/>
  <c r="O56"/>
  <c r="O45"/>
  <c r="P56"/>
  <c r="P45"/>
  <c r="Q56"/>
  <c r="Q45"/>
  <c r="R56"/>
  <c r="R45"/>
  <c r="S56"/>
  <c r="S45"/>
  <c r="T56"/>
  <c r="T45"/>
  <c r="U56"/>
  <c r="U45"/>
  <c r="V56"/>
  <c r="V45"/>
  <c r="W56"/>
  <c r="W45"/>
  <c r="X56"/>
  <c r="X45"/>
  <c r="Y56"/>
  <c r="Y45"/>
  <c r="H55"/>
  <c r="H44"/>
  <c r="I55"/>
  <c r="I44"/>
  <c r="J55"/>
  <c r="J44"/>
  <c r="K55"/>
  <c r="K44"/>
  <c r="L55"/>
  <c r="L44"/>
  <c r="M55"/>
  <c r="M44"/>
  <c r="N55"/>
  <c r="N44"/>
  <c r="O55"/>
  <c r="O44"/>
  <c r="O52"/>
  <c r="O41"/>
  <c r="O53"/>
  <c r="O42"/>
  <c r="O54"/>
  <c r="O43"/>
  <c r="P55"/>
  <c r="P44"/>
  <c r="Q55"/>
  <c r="Q44"/>
  <c r="R55"/>
  <c r="R44"/>
  <c r="S55"/>
  <c r="S44"/>
  <c r="T55"/>
  <c r="T44"/>
  <c r="U55"/>
  <c r="U44"/>
  <c r="V55"/>
  <c r="V44"/>
  <c r="W55"/>
  <c r="W44"/>
  <c r="X55"/>
  <c r="X44"/>
  <c r="Y55"/>
  <c r="Y44"/>
  <c r="H54"/>
  <c r="H43"/>
  <c r="I54"/>
  <c r="I43"/>
  <c r="J54"/>
  <c r="J43"/>
  <c r="K54"/>
  <c r="L54"/>
  <c r="L43"/>
  <c r="M54"/>
  <c r="N54"/>
  <c r="N43"/>
  <c r="P54"/>
  <c r="Q54"/>
  <c r="Q43"/>
  <c r="R54"/>
  <c r="R43"/>
  <c r="S54"/>
  <c r="S43"/>
  <c r="T54"/>
  <c r="T43"/>
  <c r="U54"/>
  <c r="U43"/>
  <c r="V54"/>
  <c r="W54"/>
  <c r="W43"/>
  <c r="X54"/>
  <c r="X43"/>
  <c r="Y54"/>
  <c r="Y43"/>
  <c r="H53"/>
  <c r="I53"/>
  <c r="I42"/>
  <c r="J53"/>
  <c r="J42"/>
  <c r="K53"/>
  <c r="K42"/>
  <c r="L53"/>
  <c r="L42"/>
  <c r="M53"/>
  <c r="M42"/>
  <c r="N53"/>
  <c r="N42"/>
  <c r="P53"/>
  <c r="P42"/>
  <c r="Q53"/>
  <c r="Q42"/>
  <c r="R53"/>
  <c r="R42"/>
  <c r="S53"/>
  <c r="S42"/>
  <c r="T53"/>
  <c r="T42"/>
  <c r="U53"/>
  <c r="U42"/>
  <c r="V53"/>
  <c r="V42"/>
  <c r="W53"/>
  <c r="W42"/>
  <c r="X53"/>
  <c r="X42"/>
  <c r="Y53"/>
  <c r="Y42"/>
  <c r="I52"/>
  <c r="I41"/>
  <c r="J52"/>
  <c r="J41"/>
  <c r="K52"/>
  <c r="K41"/>
  <c r="L52"/>
  <c r="L41"/>
  <c r="M52"/>
  <c r="M41"/>
  <c r="N52"/>
  <c r="N41"/>
  <c r="P52"/>
  <c r="P41"/>
  <c r="Q52"/>
  <c r="Q41"/>
  <c r="R52"/>
  <c r="R41"/>
  <c r="S52"/>
  <c r="T52"/>
  <c r="T41"/>
  <c r="U52"/>
  <c r="U41"/>
  <c r="V52"/>
  <c r="V41"/>
  <c r="W52"/>
  <c r="W41"/>
  <c r="X52"/>
  <c r="X41"/>
  <c r="Y52"/>
  <c r="Y41"/>
  <c r="H52"/>
  <c r="H41"/>
  <c r="F57"/>
  <c r="F46"/>
  <c r="F55"/>
  <c r="F44"/>
  <c r="G54"/>
  <c r="G43"/>
  <c r="F53"/>
  <c r="F42"/>
  <c r="G52"/>
  <c r="G41"/>
  <c r="E62"/>
  <c r="Z9"/>
  <c r="B21"/>
  <c r="B32"/>
  <c r="B44"/>
  <c r="B55"/>
  <c r="F52"/>
  <c r="D59"/>
  <c r="F58"/>
  <c r="F47"/>
  <c r="F56"/>
  <c r="F45"/>
  <c r="F54"/>
  <c r="F43"/>
  <c r="B36"/>
  <c r="F27"/>
  <c r="B35"/>
  <c r="B33"/>
  <c r="B31"/>
  <c r="B43"/>
  <c r="B54"/>
  <c r="B30"/>
  <c r="B29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Y17"/>
  <c r="X17"/>
  <c r="X40"/>
  <c r="X51"/>
  <c r="W17"/>
  <c r="W40"/>
  <c r="W51"/>
  <c r="V17"/>
  <c r="V40"/>
  <c r="V51"/>
  <c r="U17"/>
  <c r="T17"/>
  <c r="T40"/>
  <c r="T51"/>
  <c r="S17"/>
  <c r="S40"/>
  <c r="S51"/>
  <c r="R17"/>
  <c r="R40"/>
  <c r="R51"/>
  <c r="Q17"/>
  <c r="P17"/>
  <c r="P40"/>
  <c r="P51"/>
  <c r="O17"/>
  <c r="O40"/>
  <c r="O51"/>
  <c r="N17"/>
  <c r="N40"/>
  <c r="N51"/>
  <c r="M17"/>
  <c r="L17"/>
  <c r="L40"/>
  <c r="L51"/>
  <c r="K17"/>
  <c r="J17"/>
  <c r="J40"/>
  <c r="J51"/>
  <c r="I17"/>
  <c r="H17"/>
  <c r="H40"/>
  <c r="H51"/>
  <c r="G17"/>
  <c r="G40"/>
  <c r="G51"/>
  <c r="F17"/>
  <c r="F40"/>
  <c r="F51"/>
  <c r="E13"/>
  <c r="Z12"/>
  <c r="Z11"/>
  <c r="Z10"/>
  <c r="Z7"/>
  <c r="Z32" i="31"/>
  <c r="Z31"/>
  <c r="Z30"/>
  <c r="Z29"/>
  <c r="Z28"/>
  <c r="Z27"/>
  <c r="Y12"/>
  <c r="X12"/>
  <c r="W12"/>
  <c r="V12"/>
  <c r="U12"/>
  <c r="AA44"/>
  <c r="T12"/>
  <c r="S12"/>
  <c r="R12"/>
  <c r="Q12"/>
  <c r="P12"/>
  <c r="O12"/>
  <c r="N12"/>
  <c r="M12"/>
  <c r="L12"/>
  <c r="K12"/>
  <c r="J12"/>
  <c r="I12"/>
  <c r="H12"/>
  <c r="G12"/>
  <c r="F12"/>
  <c r="Z32" i="30"/>
  <c r="Z31"/>
  <c r="Z30"/>
  <c r="Z29"/>
  <c r="Z28"/>
  <c r="Z27"/>
  <c r="Y12"/>
  <c r="X12"/>
  <c r="W12"/>
  <c r="V12"/>
  <c r="U12"/>
  <c r="T12"/>
  <c r="S12"/>
  <c r="R12"/>
  <c r="Q12"/>
  <c r="P12"/>
  <c r="O12"/>
  <c r="N12"/>
  <c r="M12"/>
  <c r="AA44"/>
  <c r="L12"/>
  <c r="K12"/>
  <c r="J12"/>
  <c r="I12"/>
  <c r="H12"/>
  <c r="G12"/>
  <c r="F12"/>
  <c r="Z32" i="29"/>
  <c r="Z31"/>
  <c r="Z30"/>
  <c r="Z29"/>
  <c r="Z28"/>
  <c r="Z27"/>
  <c r="Y12"/>
  <c r="X12"/>
  <c r="W12"/>
  <c r="V12"/>
  <c r="U12"/>
  <c r="T12"/>
  <c r="S12"/>
  <c r="R12"/>
  <c r="Q12"/>
  <c r="P12"/>
  <c r="O12"/>
  <c r="N12"/>
  <c r="AA44"/>
  <c r="M12"/>
  <c r="L12"/>
  <c r="K12"/>
  <c r="J12"/>
  <c r="I12"/>
  <c r="H12"/>
  <c r="G12"/>
  <c r="F12"/>
  <c r="Z32" i="28"/>
  <c r="Z31"/>
  <c r="Z30"/>
  <c r="Z29"/>
  <c r="Z28"/>
  <c r="Z27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AA44"/>
  <c r="Z32" i="27"/>
  <c r="Z31"/>
  <c r="Z30"/>
  <c r="Z29"/>
  <c r="Z28"/>
  <c r="Z27"/>
  <c r="Y12"/>
  <c r="X12"/>
  <c r="W12"/>
  <c r="V12"/>
  <c r="U12"/>
  <c r="T12"/>
  <c r="S12"/>
  <c r="R12"/>
  <c r="AA44"/>
  <c r="Q12"/>
  <c r="P12"/>
  <c r="O12"/>
  <c r="N12"/>
  <c r="M12"/>
  <c r="L12"/>
  <c r="K12"/>
  <c r="J12"/>
  <c r="I12"/>
  <c r="H12"/>
  <c r="G12"/>
  <c r="F12"/>
  <c r="Z32" i="26"/>
  <c r="Z31"/>
  <c r="Z30"/>
  <c r="Z29"/>
  <c r="Z28"/>
  <c r="Z27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Z32" i="25"/>
  <c r="Z31"/>
  <c r="Z30"/>
  <c r="Z29"/>
  <c r="Z28"/>
  <c r="Z27"/>
  <c r="Y12"/>
  <c r="X12"/>
  <c r="W12"/>
  <c r="V12"/>
  <c r="U12"/>
  <c r="T12"/>
  <c r="S12"/>
  <c r="R12"/>
  <c r="Q12"/>
  <c r="Q33"/>
  <c r="R33"/>
  <c r="S33"/>
  <c r="T33"/>
  <c r="U33"/>
  <c r="V33"/>
  <c r="W33"/>
  <c r="X33"/>
  <c r="Y33"/>
  <c r="P33"/>
  <c r="P12"/>
  <c r="G12"/>
  <c r="H12"/>
  <c r="I12"/>
  <c r="J12"/>
  <c r="K12"/>
  <c r="L12"/>
  <c r="M12"/>
  <c r="N12"/>
  <c r="O12"/>
  <c r="P53"/>
  <c r="P43"/>
  <c r="Q53"/>
  <c r="Q43"/>
  <c r="R53"/>
  <c r="R43"/>
  <c r="S53"/>
  <c r="S43"/>
  <c r="T53"/>
  <c r="T43"/>
  <c r="P52"/>
  <c r="P42"/>
  <c r="Q52"/>
  <c r="Q42"/>
  <c r="R52"/>
  <c r="R42"/>
  <c r="S52"/>
  <c r="S42"/>
  <c r="T52"/>
  <c r="T42"/>
  <c r="P51"/>
  <c r="Q51"/>
  <c r="Q41"/>
  <c r="R51"/>
  <c r="R41"/>
  <c r="S51"/>
  <c r="S41"/>
  <c r="T51"/>
  <c r="T41"/>
  <c r="P50"/>
  <c r="P40"/>
  <c r="Q50"/>
  <c r="Q40"/>
  <c r="R50"/>
  <c r="R40"/>
  <c r="S50"/>
  <c r="S40"/>
  <c r="T50"/>
  <c r="T40"/>
  <c r="P49"/>
  <c r="P39"/>
  <c r="Q49"/>
  <c r="Q39"/>
  <c r="R49"/>
  <c r="R39"/>
  <c r="S49"/>
  <c r="S39"/>
  <c r="T49"/>
  <c r="T39"/>
  <c r="P48"/>
  <c r="P38"/>
  <c r="Q48"/>
  <c r="Q38"/>
  <c r="R48"/>
  <c r="R38"/>
  <c r="S48"/>
  <c r="S38"/>
  <c r="T48"/>
  <c r="K48"/>
  <c r="K38"/>
  <c r="O33"/>
  <c r="N33"/>
  <c r="M33"/>
  <c r="L33"/>
  <c r="K33"/>
  <c r="J33"/>
  <c r="G33"/>
  <c r="H33"/>
  <c r="I33"/>
  <c r="F33"/>
  <c r="F12"/>
  <c r="Z32" i="24"/>
  <c r="Z31"/>
  <c r="Z30"/>
  <c r="Z29"/>
  <c r="Z28"/>
  <c r="Z27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Y12" i="23"/>
  <c r="Z32"/>
  <c r="Z31"/>
  <c r="Z30"/>
  <c r="Z29"/>
  <c r="Z28"/>
  <c r="Z27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Z32" i="19"/>
  <c r="Z31"/>
  <c r="Z30"/>
  <c r="Z29"/>
  <c r="Z28"/>
  <c r="Z27"/>
  <c r="Y12"/>
  <c r="X12"/>
  <c r="W12"/>
  <c r="V12"/>
  <c r="U12"/>
  <c r="T12"/>
  <c r="S12"/>
  <c r="R12"/>
  <c r="Q12"/>
  <c r="P12"/>
  <c r="D54" i="33"/>
  <c r="Y5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Y38"/>
  <c r="X48"/>
  <c r="X54"/>
  <c r="W48"/>
  <c r="V48"/>
  <c r="V38"/>
  <c r="U48"/>
  <c r="U38"/>
  <c r="T48"/>
  <c r="T54"/>
  <c r="S48"/>
  <c r="R48"/>
  <c r="Q48"/>
  <c r="Q54"/>
  <c r="P48"/>
  <c r="O48"/>
  <c r="N48"/>
  <c r="N38"/>
  <c r="M48"/>
  <c r="M38"/>
  <c r="L48"/>
  <c r="K48"/>
  <c r="J48"/>
  <c r="J38"/>
  <c r="I48"/>
  <c r="I54"/>
  <c r="H48"/>
  <c r="H38"/>
  <c r="G48"/>
  <c r="F48"/>
  <c r="F38"/>
  <c r="Y43"/>
  <c r="X33"/>
  <c r="W33"/>
  <c r="V33"/>
  <c r="U33"/>
  <c r="T33"/>
  <c r="S33"/>
  <c r="R33"/>
  <c r="Q33"/>
  <c r="P33"/>
  <c r="N33"/>
  <c r="M33"/>
  <c r="L33"/>
  <c r="J33"/>
  <c r="I33"/>
  <c r="H33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J25"/>
  <c r="I25"/>
  <c r="H25"/>
  <c r="G25"/>
  <c r="F25"/>
  <c r="Y16"/>
  <c r="X16"/>
  <c r="W16"/>
  <c r="W37"/>
  <c r="W47"/>
  <c r="V16"/>
  <c r="U16"/>
  <c r="T16"/>
  <c r="S16"/>
  <c r="S37"/>
  <c r="S47"/>
  <c r="R16"/>
  <c r="R37"/>
  <c r="R47"/>
  <c r="Q16"/>
  <c r="P16"/>
  <c r="O16"/>
  <c r="O37"/>
  <c r="O47"/>
  <c r="N16"/>
  <c r="M16"/>
  <c r="L16"/>
  <c r="K16"/>
  <c r="K37"/>
  <c r="K47"/>
  <c r="J16"/>
  <c r="I16"/>
  <c r="H16"/>
  <c r="G16"/>
  <c r="G37"/>
  <c r="G47"/>
  <c r="F16"/>
  <c r="E12"/>
  <c r="Z11"/>
  <c r="C11"/>
  <c r="I22"/>
  <c r="Z10"/>
  <c r="C10"/>
  <c r="R21"/>
  <c r="Z9"/>
  <c r="C9"/>
  <c r="S20"/>
  <c r="Z8"/>
  <c r="C8"/>
  <c r="L19"/>
  <c r="Z7"/>
  <c r="C7"/>
  <c r="R18"/>
  <c r="Z6"/>
  <c r="C6"/>
  <c r="L17"/>
  <c r="D54" i="32"/>
  <c r="C54"/>
  <c r="E44"/>
  <c r="Y53"/>
  <c r="Y43"/>
  <c r="X53"/>
  <c r="X43"/>
  <c r="W53"/>
  <c r="W43"/>
  <c r="V53"/>
  <c r="V43"/>
  <c r="U5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Y48"/>
  <c r="Y38"/>
  <c r="Y49"/>
  <c r="Y39"/>
  <c r="X50"/>
  <c r="X40"/>
  <c r="W50"/>
  <c r="W40"/>
  <c r="V50"/>
  <c r="U50"/>
  <c r="U40"/>
  <c r="T50"/>
  <c r="T40"/>
  <c r="S50"/>
  <c r="S40"/>
  <c r="R50"/>
  <c r="R40"/>
  <c r="Q50"/>
  <c r="Q40"/>
  <c r="P50"/>
  <c r="P40"/>
  <c r="O50"/>
  <c r="O40"/>
  <c r="N50"/>
  <c r="M50"/>
  <c r="M40"/>
  <c r="L50"/>
  <c r="L40"/>
  <c r="K50"/>
  <c r="K40"/>
  <c r="J50"/>
  <c r="J40"/>
  <c r="I50"/>
  <c r="I40"/>
  <c r="H50"/>
  <c r="H40"/>
  <c r="G50"/>
  <c r="G40"/>
  <c r="F50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K49"/>
  <c r="K39"/>
  <c r="J49"/>
  <c r="I49"/>
  <c r="I39"/>
  <c r="H49"/>
  <c r="G49"/>
  <c r="G39"/>
  <c r="F49"/>
  <c r="F39"/>
  <c r="X48"/>
  <c r="X38"/>
  <c r="W48"/>
  <c r="W38"/>
  <c r="V48"/>
  <c r="V38"/>
  <c r="U48"/>
  <c r="U38"/>
  <c r="T48"/>
  <c r="S48"/>
  <c r="S38"/>
  <c r="R48"/>
  <c r="R38"/>
  <c r="Q48"/>
  <c r="Q38"/>
  <c r="P48"/>
  <c r="P38"/>
  <c r="O48"/>
  <c r="O38"/>
  <c r="N48"/>
  <c r="N38"/>
  <c r="M48"/>
  <c r="M38"/>
  <c r="L48"/>
  <c r="L38"/>
  <c r="K48"/>
  <c r="K38"/>
  <c r="J48"/>
  <c r="J38"/>
  <c r="I48"/>
  <c r="I38"/>
  <c r="H48"/>
  <c r="H38"/>
  <c r="G48"/>
  <c r="F48"/>
  <c r="F38"/>
  <c r="U4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X37"/>
  <c r="X47"/>
  <c r="W16"/>
  <c r="V16"/>
  <c r="U16"/>
  <c r="T16"/>
  <c r="T37"/>
  <c r="T47"/>
  <c r="S16"/>
  <c r="R16"/>
  <c r="Q16"/>
  <c r="Q37"/>
  <c r="Q47"/>
  <c r="P16"/>
  <c r="P37"/>
  <c r="P47"/>
  <c r="O16"/>
  <c r="N16"/>
  <c r="M16"/>
  <c r="L16"/>
  <c r="L37"/>
  <c r="L47"/>
  <c r="K16"/>
  <c r="J16"/>
  <c r="I16"/>
  <c r="H16"/>
  <c r="H37"/>
  <c r="H47"/>
  <c r="G16"/>
  <c r="F16"/>
  <c r="E12"/>
  <c r="Z11"/>
  <c r="C11"/>
  <c r="G22"/>
  <c r="Z10"/>
  <c r="C10"/>
  <c r="C21"/>
  <c r="Z9"/>
  <c r="C9"/>
  <c r="H20"/>
  <c r="Z8"/>
  <c r="C8"/>
  <c r="V19"/>
  <c r="Z7"/>
  <c r="C7"/>
  <c r="K18"/>
  <c r="Z6"/>
  <c r="C6"/>
  <c r="P17"/>
  <c r="D54" i="31"/>
  <c r="C54"/>
  <c r="E4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X48"/>
  <c r="W48"/>
  <c r="W38"/>
  <c r="V48"/>
  <c r="U48"/>
  <c r="U38"/>
  <c r="T48"/>
  <c r="S48"/>
  <c r="S38"/>
  <c r="R48"/>
  <c r="Q48"/>
  <c r="P48"/>
  <c r="O48"/>
  <c r="O54"/>
  <c r="N48"/>
  <c r="M48"/>
  <c r="L48"/>
  <c r="L38"/>
  <c r="K48"/>
  <c r="K38"/>
  <c r="J48"/>
  <c r="I48"/>
  <c r="H48"/>
  <c r="G48"/>
  <c r="G38"/>
  <c r="F48"/>
  <c r="Y33"/>
  <c r="X33"/>
  <c r="W33"/>
  <c r="V33"/>
  <c r="V25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Y25"/>
  <c r="X25"/>
  <c r="W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W16"/>
  <c r="W26"/>
  <c r="V16"/>
  <c r="V37"/>
  <c r="V47"/>
  <c r="U16"/>
  <c r="U37"/>
  <c r="U47"/>
  <c r="T16"/>
  <c r="T37"/>
  <c r="T47"/>
  <c r="S16"/>
  <c r="S26"/>
  <c r="R16"/>
  <c r="R37"/>
  <c r="R47"/>
  <c r="Q16"/>
  <c r="P16"/>
  <c r="O16"/>
  <c r="N16"/>
  <c r="N37"/>
  <c r="N47"/>
  <c r="M16"/>
  <c r="M37"/>
  <c r="M47"/>
  <c r="L16"/>
  <c r="L37"/>
  <c r="L47"/>
  <c r="K16"/>
  <c r="K26"/>
  <c r="J16"/>
  <c r="J37"/>
  <c r="J47"/>
  <c r="I16"/>
  <c r="H16"/>
  <c r="G16"/>
  <c r="G26"/>
  <c r="F16"/>
  <c r="F37"/>
  <c r="F47"/>
  <c r="E12"/>
  <c r="Z11"/>
  <c r="C11"/>
  <c r="P22"/>
  <c r="Z10"/>
  <c r="C10"/>
  <c r="G21"/>
  <c r="Z9"/>
  <c r="C9"/>
  <c r="G20"/>
  <c r="Z8"/>
  <c r="C8"/>
  <c r="K19"/>
  <c r="Z7"/>
  <c r="C7"/>
  <c r="C18"/>
  <c r="Z6"/>
  <c r="C6"/>
  <c r="Q17"/>
  <c r="D54" i="30"/>
  <c r="C5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Y38"/>
  <c r="X48"/>
  <c r="X38"/>
  <c r="W48"/>
  <c r="W38"/>
  <c r="V48"/>
  <c r="U48"/>
  <c r="U38"/>
  <c r="T48"/>
  <c r="T38"/>
  <c r="S48"/>
  <c r="S38"/>
  <c r="R48"/>
  <c r="R38"/>
  <c r="Q48"/>
  <c r="P48"/>
  <c r="P38"/>
  <c r="O48"/>
  <c r="O38"/>
  <c r="N48"/>
  <c r="M48"/>
  <c r="M38"/>
  <c r="L48"/>
  <c r="L38"/>
  <c r="K48"/>
  <c r="J48"/>
  <c r="I48"/>
  <c r="I38"/>
  <c r="H48"/>
  <c r="H38"/>
  <c r="G48"/>
  <c r="G38"/>
  <c r="F48"/>
  <c r="Y33"/>
  <c r="Y25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X37"/>
  <c r="X47"/>
  <c r="W16"/>
  <c r="W26"/>
  <c r="V16"/>
  <c r="V37"/>
  <c r="V47"/>
  <c r="U16"/>
  <c r="T16"/>
  <c r="S16"/>
  <c r="R16"/>
  <c r="R37"/>
  <c r="R47"/>
  <c r="Q16"/>
  <c r="P16"/>
  <c r="P37"/>
  <c r="P47"/>
  <c r="O16"/>
  <c r="N16"/>
  <c r="N37"/>
  <c r="N47"/>
  <c r="M16"/>
  <c r="L16"/>
  <c r="K16"/>
  <c r="J16"/>
  <c r="J37"/>
  <c r="J47"/>
  <c r="I16"/>
  <c r="H16"/>
  <c r="H37"/>
  <c r="H47"/>
  <c r="G16"/>
  <c r="G26"/>
  <c r="F16"/>
  <c r="F37"/>
  <c r="F47"/>
  <c r="E12"/>
  <c r="Z11"/>
  <c r="C11"/>
  <c r="X22"/>
  <c r="Z10"/>
  <c r="C10"/>
  <c r="Z9"/>
  <c r="C9"/>
  <c r="I20"/>
  <c r="Z8"/>
  <c r="C8"/>
  <c r="Z7"/>
  <c r="C7"/>
  <c r="K18"/>
  <c r="Z6"/>
  <c r="C6"/>
  <c r="D54" i="29"/>
  <c r="C5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Y38"/>
  <c r="X48"/>
  <c r="W48"/>
  <c r="W38"/>
  <c r="V48"/>
  <c r="V38"/>
  <c r="U48"/>
  <c r="U38"/>
  <c r="T48"/>
  <c r="S48"/>
  <c r="R48"/>
  <c r="R38"/>
  <c r="Q48"/>
  <c r="Q54"/>
  <c r="P48"/>
  <c r="P38"/>
  <c r="O48"/>
  <c r="O38"/>
  <c r="N48"/>
  <c r="N54"/>
  <c r="N44"/>
  <c r="M48"/>
  <c r="M38"/>
  <c r="L48"/>
  <c r="L54"/>
  <c r="K48"/>
  <c r="K38"/>
  <c r="J48"/>
  <c r="J38"/>
  <c r="I48"/>
  <c r="I54"/>
  <c r="H48"/>
  <c r="H38"/>
  <c r="G48"/>
  <c r="G38"/>
  <c r="F48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Y37"/>
  <c r="Y47"/>
  <c r="X16"/>
  <c r="W16"/>
  <c r="W37"/>
  <c r="W47"/>
  <c r="V16"/>
  <c r="U16"/>
  <c r="T16"/>
  <c r="T37"/>
  <c r="T47"/>
  <c r="S16"/>
  <c r="S37"/>
  <c r="S47"/>
  <c r="R16"/>
  <c r="Q16"/>
  <c r="Q37"/>
  <c r="Q47"/>
  <c r="P16"/>
  <c r="O16"/>
  <c r="O37"/>
  <c r="O47"/>
  <c r="N16"/>
  <c r="M16"/>
  <c r="L16"/>
  <c r="L37"/>
  <c r="L47"/>
  <c r="K16"/>
  <c r="K37"/>
  <c r="K47"/>
  <c r="J16"/>
  <c r="I16"/>
  <c r="I37"/>
  <c r="I47"/>
  <c r="H16"/>
  <c r="G16"/>
  <c r="G37"/>
  <c r="G47"/>
  <c r="F16"/>
  <c r="E12"/>
  <c r="Z11"/>
  <c r="C11"/>
  <c r="X22"/>
  <c r="Z10"/>
  <c r="C10"/>
  <c r="N21"/>
  <c r="Z9"/>
  <c r="C9"/>
  <c r="X20"/>
  <c r="Z8"/>
  <c r="C8"/>
  <c r="H19"/>
  <c r="Z7"/>
  <c r="C7"/>
  <c r="X18"/>
  <c r="Z6"/>
  <c r="C6"/>
  <c r="F17"/>
  <c r="D54" i="28"/>
  <c r="C54"/>
  <c r="E4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N50"/>
  <c r="N40"/>
  <c r="M50"/>
  <c r="M40"/>
  <c r="L50"/>
  <c r="L40"/>
  <c r="K50"/>
  <c r="J50"/>
  <c r="J40"/>
  <c r="I50"/>
  <c r="I40"/>
  <c r="H50"/>
  <c r="G50"/>
  <c r="G40"/>
  <c r="F50"/>
  <c r="F40"/>
  <c r="Y49"/>
  <c r="Y39"/>
  <c r="X49"/>
  <c r="X39"/>
  <c r="W49"/>
  <c r="W39"/>
  <c r="V4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X48"/>
  <c r="X38"/>
  <c r="W48"/>
  <c r="W38"/>
  <c r="V48"/>
  <c r="V38"/>
  <c r="U48"/>
  <c r="T48"/>
  <c r="T38"/>
  <c r="S48"/>
  <c r="S38"/>
  <c r="R48"/>
  <c r="Q48"/>
  <c r="Q38"/>
  <c r="P48"/>
  <c r="P38"/>
  <c r="O48"/>
  <c r="O38"/>
  <c r="N48"/>
  <c r="M48"/>
  <c r="M38"/>
  <c r="L48"/>
  <c r="L38"/>
  <c r="K48"/>
  <c r="K38"/>
  <c r="J48"/>
  <c r="J38"/>
  <c r="I48"/>
  <c r="I38"/>
  <c r="H48"/>
  <c r="H38"/>
  <c r="G48"/>
  <c r="G38"/>
  <c r="F48"/>
  <c r="F38"/>
  <c r="Y33"/>
  <c r="Y25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Y37"/>
  <c r="Y47"/>
  <c r="X16"/>
  <c r="W16"/>
  <c r="W37"/>
  <c r="W47"/>
  <c r="V16"/>
  <c r="U16"/>
  <c r="U37"/>
  <c r="U47"/>
  <c r="T16"/>
  <c r="S16"/>
  <c r="R16"/>
  <c r="Q16"/>
  <c r="Q37"/>
  <c r="Q47"/>
  <c r="P16"/>
  <c r="O16"/>
  <c r="O37"/>
  <c r="O47"/>
  <c r="N16"/>
  <c r="M16"/>
  <c r="M37"/>
  <c r="M47"/>
  <c r="L16"/>
  <c r="K16"/>
  <c r="J16"/>
  <c r="J37"/>
  <c r="J47"/>
  <c r="I16"/>
  <c r="I37"/>
  <c r="I47"/>
  <c r="H16"/>
  <c r="G16"/>
  <c r="G37"/>
  <c r="G47"/>
  <c r="F16"/>
  <c r="E12"/>
  <c r="Z11"/>
  <c r="C11"/>
  <c r="O22"/>
  <c r="Z10"/>
  <c r="C10"/>
  <c r="Y21"/>
  <c r="Z9"/>
  <c r="C9"/>
  <c r="M20"/>
  <c r="Z8"/>
  <c r="C8"/>
  <c r="Y19"/>
  <c r="Z7"/>
  <c r="C7"/>
  <c r="M18"/>
  <c r="Z6"/>
  <c r="C6"/>
  <c r="Y17"/>
  <c r="D54" i="27"/>
  <c r="C54"/>
  <c r="E4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Y38"/>
  <c r="X48"/>
  <c r="X38"/>
  <c r="W48"/>
  <c r="W38"/>
  <c r="V48"/>
  <c r="V38"/>
  <c r="U48"/>
  <c r="U38"/>
  <c r="T48"/>
  <c r="T38"/>
  <c r="S48"/>
  <c r="S38"/>
  <c r="R48"/>
  <c r="R38"/>
  <c r="Q48"/>
  <c r="Q38"/>
  <c r="P48"/>
  <c r="P38"/>
  <c r="O48"/>
  <c r="O38"/>
  <c r="N48"/>
  <c r="N38"/>
  <c r="M48"/>
  <c r="M38"/>
  <c r="L48"/>
  <c r="L38"/>
  <c r="K48"/>
  <c r="K38"/>
  <c r="J48"/>
  <c r="I48"/>
  <c r="I38"/>
  <c r="H48"/>
  <c r="H38"/>
  <c r="G48"/>
  <c r="F48"/>
  <c r="F38"/>
  <c r="Y33"/>
  <c r="Y25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W16"/>
  <c r="W37"/>
  <c r="W47"/>
  <c r="V16"/>
  <c r="U16"/>
  <c r="T16"/>
  <c r="S16"/>
  <c r="R16"/>
  <c r="Q16"/>
  <c r="P16"/>
  <c r="O16"/>
  <c r="O37"/>
  <c r="O47"/>
  <c r="N16"/>
  <c r="N37"/>
  <c r="N47"/>
  <c r="M16"/>
  <c r="M37"/>
  <c r="M47"/>
  <c r="L16"/>
  <c r="K16"/>
  <c r="K37"/>
  <c r="K47"/>
  <c r="J16"/>
  <c r="I16"/>
  <c r="H16"/>
  <c r="G16"/>
  <c r="G37"/>
  <c r="G47"/>
  <c r="F16"/>
  <c r="E12"/>
  <c r="Z11"/>
  <c r="C11"/>
  <c r="M22"/>
  <c r="Z10"/>
  <c r="C10"/>
  <c r="P21"/>
  <c r="Z9"/>
  <c r="C9"/>
  <c r="O20"/>
  <c r="Z8"/>
  <c r="C8"/>
  <c r="K19"/>
  <c r="Z7"/>
  <c r="C7"/>
  <c r="C18"/>
  <c r="Z6"/>
  <c r="C6"/>
  <c r="I17"/>
  <c r="D54" i="26"/>
  <c r="C54"/>
  <c r="E4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G49"/>
  <c r="G39"/>
  <c r="F49"/>
  <c r="F39"/>
  <c r="Y48"/>
  <c r="Y38"/>
  <c r="X48"/>
  <c r="X38"/>
  <c r="W48"/>
  <c r="W38"/>
  <c r="V48"/>
  <c r="V38"/>
  <c r="U48"/>
  <c r="U38"/>
  <c r="T48"/>
  <c r="S48"/>
  <c r="S38"/>
  <c r="R48"/>
  <c r="R38"/>
  <c r="Q48"/>
  <c r="Q38"/>
  <c r="P48"/>
  <c r="O48"/>
  <c r="N48"/>
  <c r="N38"/>
  <c r="M48"/>
  <c r="M38"/>
  <c r="L48"/>
  <c r="L38"/>
  <c r="K48"/>
  <c r="K38"/>
  <c r="J48"/>
  <c r="J38"/>
  <c r="I48"/>
  <c r="I38"/>
  <c r="H48"/>
  <c r="H38"/>
  <c r="G48"/>
  <c r="F48"/>
  <c r="F38"/>
  <c r="Y42"/>
  <c r="Y33"/>
  <c r="X33"/>
  <c r="W33"/>
  <c r="V33"/>
  <c r="U33"/>
  <c r="T33"/>
  <c r="S33"/>
  <c r="S34"/>
  <c r="R33"/>
  <c r="Q33"/>
  <c r="P33"/>
  <c r="O33"/>
  <c r="O34"/>
  <c r="N33"/>
  <c r="M33"/>
  <c r="L33"/>
  <c r="K33"/>
  <c r="K34"/>
  <c r="J33"/>
  <c r="I33"/>
  <c r="H33"/>
  <c r="G33"/>
  <c r="G34"/>
  <c r="F33"/>
  <c r="B33"/>
  <c r="B32"/>
  <c r="B30"/>
  <c r="B29"/>
  <c r="B28"/>
  <c r="B27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Y37"/>
  <c r="Y47"/>
  <c r="X16"/>
  <c r="W16"/>
  <c r="V16"/>
  <c r="U16"/>
  <c r="U37"/>
  <c r="U47"/>
  <c r="T16"/>
  <c r="S16"/>
  <c r="S37"/>
  <c r="S47"/>
  <c r="R16"/>
  <c r="Q16"/>
  <c r="Q37"/>
  <c r="Q47"/>
  <c r="P16"/>
  <c r="O16"/>
  <c r="N16"/>
  <c r="M16"/>
  <c r="L16"/>
  <c r="K16"/>
  <c r="K37"/>
  <c r="K47"/>
  <c r="J16"/>
  <c r="J37"/>
  <c r="J47"/>
  <c r="I16"/>
  <c r="I37"/>
  <c r="I47"/>
  <c r="H16"/>
  <c r="G16"/>
  <c r="F16"/>
  <c r="E12"/>
  <c r="Z11"/>
  <c r="C11"/>
  <c r="S22"/>
  <c r="Z10"/>
  <c r="C10"/>
  <c r="N21"/>
  <c r="Z9"/>
  <c r="C9"/>
  <c r="U20"/>
  <c r="Z8"/>
  <c r="C8"/>
  <c r="N19"/>
  <c r="Z7"/>
  <c r="C7"/>
  <c r="H18"/>
  <c r="Z6"/>
  <c r="C6"/>
  <c r="N17"/>
  <c r="D54" i="25"/>
  <c r="C54"/>
  <c r="Y53"/>
  <c r="Y43"/>
  <c r="X53"/>
  <c r="X43"/>
  <c r="W53"/>
  <c r="W43"/>
  <c r="V53"/>
  <c r="V43"/>
  <c r="U53"/>
  <c r="U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Y52"/>
  <c r="Y42"/>
  <c r="X52"/>
  <c r="X42"/>
  <c r="W52"/>
  <c r="W42"/>
  <c r="V52"/>
  <c r="V42"/>
  <c r="U52"/>
  <c r="U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W51"/>
  <c r="W41"/>
  <c r="V51"/>
  <c r="V41"/>
  <c r="U51"/>
  <c r="U41"/>
  <c r="O51"/>
  <c r="O41"/>
  <c r="N51"/>
  <c r="N41"/>
  <c r="M51"/>
  <c r="M41"/>
  <c r="L51"/>
  <c r="L41"/>
  <c r="K51"/>
  <c r="J5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O50"/>
  <c r="O40"/>
  <c r="N5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O49"/>
  <c r="O39"/>
  <c r="N49"/>
  <c r="N39"/>
  <c r="M49"/>
  <c r="L49"/>
  <c r="L39"/>
  <c r="K49"/>
  <c r="K39"/>
  <c r="J49"/>
  <c r="J39"/>
  <c r="I49"/>
  <c r="I39"/>
  <c r="H49"/>
  <c r="G49"/>
  <c r="G39"/>
  <c r="F49"/>
  <c r="F39"/>
  <c r="Y48"/>
  <c r="X48"/>
  <c r="X38"/>
  <c r="W48"/>
  <c r="W38"/>
  <c r="V48"/>
  <c r="U48"/>
  <c r="O48"/>
  <c r="N48"/>
  <c r="N38"/>
  <c r="M48"/>
  <c r="M38"/>
  <c r="L48"/>
  <c r="J48"/>
  <c r="J38"/>
  <c r="I48"/>
  <c r="I38"/>
  <c r="H48"/>
  <c r="H38"/>
  <c r="G48"/>
  <c r="F48"/>
  <c r="F38"/>
  <c r="B33"/>
  <c r="B32"/>
  <c r="B30"/>
  <c r="B29"/>
  <c r="B28"/>
  <c r="B27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X37"/>
  <c r="X47"/>
  <c r="W16"/>
  <c r="V16"/>
  <c r="V37"/>
  <c r="V47"/>
  <c r="U16"/>
  <c r="T16"/>
  <c r="T37"/>
  <c r="T47"/>
  <c r="S16"/>
  <c r="R16"/>
  <c r="R37"/>
  <c r="R47"/>
  <c r="Q16"/>
  <c r="P16"/>
  <c r="P37"/>
  <c r="P47"/>
  <c r="O16"/>
  <c r="O37"/>
  <c r="O47"/>
  <c r="N16"/>
  <c r="N37"/>
  <c r="N47"/>
  <c r="M16"/>
  <c r="L16"/>
  <c r="L37"/>
  <c r="L47"/>
  <c r="K16"/>
  <c r="J16"/>
  <c r="J37"/>
  <c r="J47"/>
  <c r="I16"/>
  <c r="H16"/>
  <c r="H37"/>
  <c r="H47"/>
  <c r="G16"/>
  <c r="F16"/>
  <c r="F37"/>
  <c r="F47"/>
  <c r="E12"/>
  <c r="Z11"/>
  <c r="C11"/>
  <c r="T22"/>
  <c r="Z10"/>
  <c r="C10"/>
  <c r="U21"/>
  <c r="Z9"/>
  <c r="C9"/>
  <c r="T20"/>
  <c r="Z8"/>
  <c r="C8"/>
  <c r="Z7"/>
  <c r="C7"/>
  <c r="T18"/>
  <c r="Z6"/>
  <c r="C6"/>
  <c r="U17"/>
  <c r="D54" i="24"/>
  <c r="C54"/>
  <c r="Y5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O39"/>
  <c r="N49"/>
  <c r="N39"/>
  <c r="M49"/>
  <c r="M39"/>
  <c r="L49"/>
  <c r="L39"/>
  <c r="K49"/>
  <c r="K39"/>
  <c r="J49"/>
  <c r="J39"/>
  <c r="I49"/>
  <c r="I39"/>
  <c r="H49"/>
  <c r="H39"/>
  <c r="G49"/>
  <c r="G39"/>
  <c r="F49"/>
  <c r="F39"/>
  <c r="Y48"/>
  <c r="Y38"/>
  <c r="X48"/>
  <c r="X38"/>
  <c r="W48"/>
  <c r="W38"/>
  <c r="V48"/>
  <c r="V38"/>
  <c r="U48"/>
  <c r="U38"/>
  <c r="T48"/>
  <c r="S48"/>
  <c r="S38"/>
  <c r="R48"/>
  <c r="R38"/>
  <c r="Q48"/>
  <c r="Q38"/>
  <c r="P48"/>
  <c r="P38"/>
  <c r="O48"/>
  <c r="O38"/>
  <c r="N48"/>
  <c r="N38"/>
  <c r="M48"/>
  <c r="M38"/>
  <c r="L48"/>
  <c r="L38"/>
  <c r="K48"/>
  <c r="K38"/>
  <c r="J48"/>
  <c r="J38"/>
  <c r="I48"/>
  <c r="I38"/>
  <c r="H48"/>
  <c r="H38"/>
  <c r="G48"/>
  <c r="G38"/>
  <c r="F48"/>
  <c r="F38"/>
  <c r="Y43"/>
  <c r="Y33"/>
  <c r="Y25"/>
  <c r="X33"/>
  <c r="X34"/>
  <c r="W33"/>
  <c r="V33"/>
  <c r="U33"/>
  <c r="T33"/>
  <c r="T34"/>
  <c r="S33"/>
  <c r="R33"/>
  <c r="Q33"/>
  <c r="P33"/>
  <c r="P34"/>
  <c r="O33"/>
  <c r="N33"/>
  <c r="M33"/>
  <c r="L33"/>
  <c r="K33"/>
  <c r="J33"/>
  <c r="I33"/>
  <c r="H33"/>
  <c r="H34"/>
  <c r="G33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X16"/>
  <c r="X37"/>
  <c r="X47"/>
  <c r="W16"/>
  <c r="V16"/>
  <c r="V37"/>
  <c r="V47"/>
  <c r="U16"/>
  <c r="T16"/>
  <c r="T37"/>
  <c r="T47"/>
  <c r="S16"/>
  <c r="R16"/>
  <c r="R37"/>
  <c r="R47"/>
  <c r="Q16"/>
  <c r="P16"/>
  <c r="P37"/>
  <c r="P47"/>
  <c r="O16"/>
  <c r="N16"/>
  <c r="N37"/>
  <c r="N47"/>
  <c r="M16"/>
  <c r="L16"/>
  <c r="L37"/>
  <c r="L47"/>
  <c r="K16"/>
  <c r="J16"/>
  <c r="J37"/>
  <c r="J47"/>
  <c r="I16"/>
  <c r="H16"/>
  <c r="H37"/>
  <c r="H47"/>
  <c r="G16"/>
  <c r="F16"/>
  <c r="F37"/>
  <c r="F47"/>
  <c r="E12"/>
  <c r="Z11"/>
  <c r="C11"/>
  <c r="R22"/>
  <c r="Z10"/>
  <c r="C10"/>
  <c r="L21"/>
  <c r="Z9"/>
  <c r="C9"/>
  <c r="H20"/>
  <c r="Z8"/>
  <c r="C8"/>
  <c r="K19"/>
  <c r="Z7"/>
  <c r="C7"/>
  <c r="N18"/>
  <c r="Z6"/>
  <c r="C6"/>
  <c r="Q17"/>
  <c r="O12" i="19"/>
  <c r="N12"/>
  <c r="M12"/>
  <c r="L12"/>
  <c r="Z7" i="23"/>
  <c r="Z8"/>
  <c r="Z9"/>
  <c r="Z10"/>
  <c r="Z11"/>
  <c r="Z6"/>
  <c r="D54"/>
  <c r="C5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M4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L4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9"/>
  <c r="Y39"/>
  <c r="X49"/>
  <c r="X39"/>
  <c r="W49"/>
  <c r="W39"/>
  <c r="V49"/>
  <c r="V39"/>
  <c r="U49"/>
  <c r="U39"/>
  <c r="T49"/>
  <c r="T39"/>
  <c r="S49"/>
  <c r="S39"/>
  <c r="R49"/>
  <c r="R39"/>
  <c r="Q49"/>
  <c r="Q39"/>
  <c r="P49"/>
  <c r="P39"/>
  <c r="O49"/>
  <c r="N49"/>
  <c r="N39"/>
  <c r="M49"/>
  <c r="M39"/>
  <c r="L49"/>
  <c r="L39"/>
  <c r="K49"/>
  <c r="K39"/>
  <c r="J49"/>
  <c r="J39"/>
  <c r="I49"/>
  <c r="I39"/>
  <c r="H49"/>
  <c r="H39"/>
  <c r="G49"/>
  <c r="F49"/>
  <c r="F39"/>
  <c r="Y48"/>
  <c r="X48"/>
  <c r="X38"/>
  <c r="W48"/>
  <c r="V48"/>
  <c r="V38"/>
  <c r="U48"/>
  <c r="U38"/>
  <c r="T48"/>
  <c r="T38"/>
  <c r="S48"/>
  <c r="S38"/>
  <c r="R48"/>
  <c r="R38"/>
  <c r="Q48"/>
  <c r="Q38"/>
  <c r="P48"/>
  <c r="P38"/>
  <c r="O48"/>
  <c r="O38"/>
  <c r="N48"/>
  <c r="N38"/>
  <c r="M48"/>
  <c r="M38"/>
  <c r="L48"/>
  <c r="L38"/>
  <c r="K48"/>
  <c r="K38"/>
  <c r="J48"/>
  <c r="J38"/>
  <c r="I48"/>
  <c r="I38"/>
  <c r="H48"/>
  <c r="H38"/>
  <c r="G48"/>
  <c r="G38"/>
  <c r="F48"/>
  <c r="F38"/>
  <c r="Y33"/>
  <c r="Y25"/>
  <c r="X33"/>
  <c r="W33"/>
  <c r="V33"/>
  <c r="U33"/>
  <c r="T33"/>
  <c r="S33"/>
  <c r="S34"/>
  <c r="R33"/>
  <c r="Q33"/>
  <c r="P33"/>
  <c r="O33"/>
  <c r="N33"/>
  <c r="M33"/>
  <c r="L33"/>
  <c r="K33"/>
  <c r="J33"/>
  <c r="I33"/>
  <c r="H33"/>
  <c r="G33"/>
  <c r="G34"/>
  <c r="F33"/>
  <c r="B33"/>
  <c r="B32"/>
  <c r="B30"/>
  <c r="B29"/>
  <c r="B28"/>
  <c r="B27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Y37"/>
  <c r="Y47"/>
  <c r="X16"/>
  <c r="W16"/>
  <c r="W37"/>
  <c r="W47"/>
  <c r="V16"/>
  <c r="U16"/>
  <c r="U37"/>
  <c r="U47"/>
  <c r="T16"/>
  <c r="S16"/>
  <c r="S37"/>
  <c r="S47"/>
  <c r="R16"/>
  <c r="R37"/>
  <c r="R47"/>
  <c r="Q16"/>
  <c r="Q37"/>
  <c r="Q47"/>
  <c r="P16"/>
  <c r="O16"/>
  <c r="O37"/>
  <c r="O47"/>
  <c r="N16"/>
  <c r="M16"/>
  <c r="M37"/>
  <c r="M47"/>
  <c r="L16"/>
  <c r="K16"/>
  <c r="K37"/>
  <c r="K47"/>
  <c r="J16"/>
  <c r="I16"/>
  <c r="H16"/>
  <c r="G16"/>
  <c r="G37"/>
  <c r="G47"/>
  <c r="F16"/>
  <c r="E12"/>
  <c r="C11"/>
  <c r="G22"/>
  <c r="C10"/>
  <c r="Y21"/>
  <c r="C9"/>
  <c r="C8"/>
  <c r="J19"/>
  <c r="C7"/>
  <c r="C6"/>
  <c r="Y17"/>
  <c r="Z7" i="19"/>
  <c r="Z8"/>
  <c r="Z9"/>
  <c r="Z10"/>
  <c r="Z11"/>
  <c r="Z6"/>
  <c r="K12"/>
  <c r="C11"/>
  <c r="O22"/>
  <c r="C10"/>
  <c r="O21"/>
  <c r="C9"/>
  <c r="S20"/>
  <c r="C8"/>
  <c r="O19"/>
  <c r="C7"/>
  <c r="K18"/>
  <c r="C6"/>
  <c r="C17"/>
  <c r="Y49"/>
  <c r="Y39"/>
  <c r="X49"/>
  <c r="X39"/>
  <c r="W49"/>
  <c r="W39"/>
  <c r="V49"/>
  <c r="V39"/>
  <c r="U49"/>
  <c r="U39"/>
  <c r="T49"/>
  <c r="T39"/>
  <c r="S49"/>
  <c r="S39"/>
  <c r="R49"/>
  <c r="Q49"/>
  <c r="Q39"/>
  <c r="P49"/>
  <c r="O49"/>
  <c r="O39"/>
  <c r="N49"/>
  <c r="N39"/>
  <c r="M49"/>
  <c r="M39"/>
  <c r="L49"/>
  <c r="L39"/>
  <c r="K49"/>
  <c r="K39"/>
  <c r="J49"/>
  <c r="I49"/>
  <c r="I39"/>
  <c r="H49"/>
  <c r="G49"/>
  <c r="G39"/>
  <c r="F49"/>
  <c r="B28"/>
  <c r="Z28" i="15"/>
  <c r="Z26"/>
  <c r="Z25"/>
  <c r="Y11"/>
  <c r="X11"/>
  <c r="W11"/>
  <c r="V11"/>
  <c r="U11"/>
  <c r="T11"/>
  <c r="S11"/>
  <c r="R11"/>
  <c r="Q11"/>
  <c r="P11"/>
  <c r="O11"/>
  <c r="N11"/>
  <c r="M11"/>
  <c r="L11"/>
  <c r="K11"/>
  <c r="J11"/>
  <c r="I8"/>
  <c r="I10"/>
  <c r="I27"/>
  <c r="I46"/>
  <c r="I29"/>
  <c r="H29"/>
  <c r="H48"/>
  <c r="H10"/>
  <c r="H27"/>
  <c r="H46"/>
  <c r="H8"/>
  <c r="G27"/>
  <c r="G8"/>
  <c r="G29"/>
  <c r="G48"/>
  <c r="G10"/>
  <c r="G6"/>
  <c r="F27"/>
  <c r="F46"/>
  <c r="F8"/>
  <c r="F29"/>
  <c r="F10"/>
  <c r="F6"/>
  <c r="Y6" i="14"/>
  <c r="Y8"/>
  <c r="Y9"/>
  <c r="E8" i="15"/>
  <c r="E10"/>
  <c r="Z24" i="14"/>
  <c r="Z23"/>
  <c r="X25"/>
  <c r="X26"/>
  <c r="X43"/>
  <c r="X9"/>
  <c r="C54" i="19"/>
  <c r="E44"/>
  <c r="G33"/>
  <c r="H33"/>
  <c r="I33"/>
  <c r="D54"/>
  <c r="Y53"/>
  <c r="Y43"/>
  <c r="X53"/>
  <c r="X43"/>
  <c r="W53"/>
  <c r="W43"/>
  <c r="V53"/>
  <c r="V43"/>
  <c r="U53"/>
  <c r="U43"/>
  <c r="T53"/>
  <c r="T43"/>
  <c r="S53"/>
  <c r="S43"/>
  <c r="R53"/>
  <c r="R43"/>
  <c r="Q53"/>
  <c r="Q43"/>
  <c r="P53"/>
  <c r="P43"/>
  <c r="O53"/>
  <c r="O43"/>
  <c r="N53"/>
  <c r="N43"/>
  <c r="M53"/>
  <c r="L53"/>
  <c r="L43"/>
  <c r="K53"/>
  <c r="K43"/>
  <c r="J53"/>
  <c r="J43"/>
  <c r="I53"/>
  <c r="I43"/>
  <c r="H53"/>
  <c r="H43"/>
  <c r="G53"/>
  <c r="G43"/>
  <c r="F53"/>
  <c r="F43"/>
  <c r="Y52"/>
  <c r="Y42"/>
  <c r="X52"/>
  <c r="X42"/>
  <c r="W52"/>
  <c r="W42"/>
  <c r="V52"/>
  <c r="V42"/>
  <c r="U52"/>
  <c r="U42"/>
  <c r="T52"/>
  <c r="T42"/>
  <c r="S52"/>
  <c r="S42"/>
  <c r="R52"/>
  <c r="R42"/>
  <c r="Q52"/>
  <c r="Q42"/>
  <c r="P52"/>
  <c r="P42"/>
  <c r="O52"/>
  <c r="O42"/>
  <c r="N52"/>
  <c r="N42"/>
  <c r="M52"/>
  <c r="M42"/>
  <c r="L52"/>
  <c r="K52"/>
  <c r="K42"/>
  <c r="J52"/>
  <c r="J42"/>
  <c r="I52"/>
  <c r="I42"/>
  <c r="H52"/>
  <c r="H42"/>
  <c r="G52"/>
  <c r="G42"/>
  <c r="F52"/>
  <c r="F42"/>
  <c r="Y51"/>
  <c r="Y41"/>
  <c r="X51"/>
  <c r="X41"/>
  <c r="W51"/>
  <c r="W41"/>
  <c r="V51"/>
  <c r="V41"/>
  <c r="U51"/>
  <c r="U41"/>
  <c r="T51"/>
  <c r="T41"/>
  <c r="S51"/>
  <c r="S41"/>
  <c r="R51"/>
  <c r="R41"/>
  <c r="Q51"/>
  <c r="Q41"/>
  <c r="P51"/>
  <c r="P41"/>
  <c r="O51"/>
  <c r="O41"/>
  <c r="N51"/>
  <c r="N41"/>
  <c r="M51"/>
  <c r="M41"/>
  <c r="L51"/>
  <c r="L41"/>
  <c r="K51"/>
  <c r="K41"/>
  <c r="J51"/>
  <c r="J41"/>
  <c r="I51"/>
  <c r="I41"/>
  <c r="H51"/>
  <c r="H41"/>
  <c r="G51"/>
  <c r="G41"/>
  <c r="F51"/>
  <c r="F41"/>
  <c r="Y50"/>
  <c r="Y40"/>
  <c r="X50"/>
  <c r="X40"/>
  <c r="W50"/>
  <c r="W40"/>
  <c r="V50"/>
  <c r="V40"/>
  <c r="U50"/>
  <c r="U40"/>
  <c r="T50"/>
  <c r="T40"/>
  <c r="S50"/>
  <c r="S40"/>
  <c r="R50"/>
  <c r="R40"/>
  <c r="Q50"/>
  <c r="Q40"/>
  <c r="P50"/>
  <c r="P40"/>
  <c r="O50"/>
  <c r="O40"/>
  <c r="N50"/>
  <c r="N40"/>
  <c r="M50"/>
  <c r="M40"/>
  <c r="L50"/>
  <c r="L40"/>
  <c r="K50"/>
  <c r="K40"/>
  <c r="J50"/>
  <c r="J40"/>
  <c r="I50"/>
  <c r="I40"/>
  <c r="H50"/>
  <c r="H40"/>
  <c r="G50"/>
  <c r="G40"/>
  <c r="F50"/>
  <c r="F40"/>
  <c r="Y48"/>
  <c r="X48"/>
  <c r="X38"/>
  <c r="W48"/>
  <c r="V48"/>
  <c r="V38"/>
  <c r="U48"/>
  <c r="T48"/>
  <c r="T38"/>
  <c r="S48"/>
  <c r="R48"/>
  <c r="R38"/>
  <c r="Q48"/>
  <c r="P48"/>
  <c r="P38"/>
  <c r="O48"/>
  <c r="N48"/>
  <c r="N38"/>
  <c r="M48"/>
  <c r="L48"/>
  <c r="L38"/>
  <c r="K48"/>
  <c r="J48"/>
  <c r="J38"/>
  <c r="I48"/>
  <c r="H48"/>
  <c r="H38"/>
  <c r="G48"/>
  <c r="G38"/>
  <c r="F48"/>
  <c r="F38"/>
  <c r="M43"/>
  <c r="Y33"/>
  <c r="X33"/>
  <c r="W33"/>
  <c r="V33"/>
  <c r="U33"/>
  <c r="T33"/>
  <c r="S33"/>
  <c r="R33"/>
  <c r="Q33"/>
  <c r="P33"/>
  <c r="O33"/>
  <c r="O34"/>
  <c r="N33"/>
  <c r="M33"/>
  <c r="L33"/>
  <c r="K33"/>
  <c r="K34"/>
  <c r="J33"/>
  <c r="F33"/>
  <c r="B33"/>
  <c r="B32"/>
  <c r="B30"/>
  <c r="B29"/>
  <c r="B27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Y16"/>
  <c r="Y37"/>
  <c r="Y47"/>
  <c r="X16"/>
  <c r="X37"/>
  <c r="X47"/>
  <c r="W16"/>
  <c r="W37"/>
  <c r="W47"/>
  <c r="V16"/>
  <c r="U16"/>
  <c r="T16"/>
  <c r="T26"/>
  <c r="S16"/>
  <c r="S37"/>
  <c r="S47"/>
  <c r="R16"/>
  <c r="Q16"/>
  <c r="Q37"/>
  <c r="Q47"/>
  <c r="P16"/>
  <c r="P37"/>
  <c r="P47"/>
  <c r="O16"/>
  <c r="O37"/>
  <c r="O47"/>
  <c r="N16"/>
  <c r="M16"/>
  <c r="L16"/>
  <c r="L26"/>
  <c r="K16"/>
  <c r="K37"/>
  <c r="K47"/>
  <c r="J16"/>
  <c r="I16"/>
  <c r="I37"/>
  <c r="I47"/>
  <c r="H16"/>
  <c r="H26"/>
  <c r="G16"/>
  <c r="G37"/>
  <c r="G47"/>
  <c r="F16"/>
  <c r="E12"/>
  <c r="F47" i="15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9"/>
  <c r="C9"/>
  <c r="C19"/>
  <c r="X6" i="14"/>
  <c r="W25"/>
  <c r="W42"/>
  <c r="W8"/>
  <c r="W26"/>
  <c r="W43"/>
  <c r="W9"/>
  <c r="W6"/>
  <c r="V26"/>
  <c r="V43"/>
  <c r="V9"/>
  <c r="V25"/>
  <c r="V42"/>
  <c r="V8"/>
  <c r="T24"/>
  <c r="U25"/>
  <c r="U42"/>
  <c r="T25"/>
  <c r="T42"/>
  <c r="C42"/>
  <c r="T8"/>
  <c r="T9"/>
  <c r="U26"/>
  <c r="U9"/>
  <c r="U8"/>
  <c r="T26"/>
  <c r="T43"/>
  <c r="C46" i="15"/>
  <c r="Z27"/>
  <c r="C48"/>
  <c r="Z29"/>
  <c r="Y19" i="19"/>
  <c r="D49" i="15"/>
  <c r="Y48"/>
  <c r="X48"/>
  <c r="W48"/>
  <c r="V48"/>
  <c r="U48"/>
  <c r="T48"/>
  <c r="O48"/>
  <c r="N48"/>
  <c r="M48"/>
  <c r="L48"/>
  <c r="K48"/>
  <c r="J48"/>
  <c r="Y46"/>
  <c r="X46"/>
  <c r="W46"/>
  <c r="V46"/>
  <c r="U46"/>
  <c r="T46"/>
  <c r="O46"/>
  <c r="N46"/>
  <c r="M46"/>
  <c r="L46"/>
  <c r="K46"/>
  <c r="J46"/>
  <c r="Y45"/>
  <c r="Y36"/>
  <c r="X45"/>
  <c r="X36"/>
  <c r="W45"/>
  <c r="W36"/>
  <c r="V45"/>
  <c r="V36"/>
  <c r="U45"/>
  <c r="U36"/>
  <c r="T45"/>
  <c r="T36"/>
  <c r="S45"/>
  <c r="S36"/>
  <c r="R45"/>
  <c r="R36"/>
  <c r="Q45"/>
  <c r="Q36"/>
  <c r="P45"/>
  <c r="P36"/>
  <c r="O45"/>
  <c r="O36"/>
  <c r="N45"/>
  <c r="N36"/>
  <c r="M45"/>
  <c r="M36"/>
  <c r="L45"/>
  <c r="L36"/>
  <c r="K45"/>
  <c r="K36"/>
  <c r="J45"/>
  <c r="J36"/>
  <c r="I45"/>
  <c r="I36"/>
  <c r="H45"/>
  <c r="H36"/>
  <c r="G45"/>
  <c r="G36"/>
  <c r="F45"/>
  <c r="F36"/>
  <c r="Y44"/>
  <c r="Y35"/>
  <c r="X44"/>
  <c r="X35"/>
  <c r="W44"/>
  <c r="V44"/>
  <c r="V35"/>
  <c r="U44"/>
  <c r="T44"/>
  <c r="T35"/>
  <c r="S44"/>
  <c r="R44"/>
  <c r="R35"/>
  <c r="Q44"/>
  <c r="P44"/>
  <c r="O44"/>
  <c r="N44"/>
  <c r="N35"/>
  <c r="M44"/>
  <c r="L44"/>
  <c r="L35"/>
  <c r="K44"/>
  <c r="J44"/>
  <c r="J35"/>
  <c r="I44"/>
  <c r="I35"/>
  <c r="H44"/>
  <c r="H35"/>
  <c r="G44"/>
  <c r="G35"/>
  <c r="F44"/>
  <c r="F35"/>
  <c r="Y30"/>
  <c r="X30"/>
  <c r="W30"/>
  <c r="V30"/>
  <c r="U30"/>
  <c r="T30"/>
  <c r="O30"/>
  <c r="N30"/>
  <c r="M30"/>
  <c r="L30"/>
  <c r="K30"/>
  <c r="J30"/>
  <c r="B30"/>
  <c r="S48"/>
  <c r="R48"/>
  <c r="Q48"/>
  <c r="P48"/>
  <c r="B29"/>
  <c r="S46"/>
  <c r="R46"/>
  <c r="Q46"/>
  <c r="P46"/>
  <c r="B27"/>
  <c r="B26"/>
  <c r="B25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Y15"/>
  <c r="X15"/>
  <c r="W15"/>
  <c r="V15"/>
  <c r="U15"/>
  <c r="T15"/>
  <c r="S15"/>
  <c r="S34"/>
  <c r="S43"/>
  <c r="R15"/>
  <c r="Q15"/>
  <c r="P15"/>
  <c r="O15"/>
  <c r="N15"/>
  <c r="M15"/>
  <c r="L15"/>
  <c r="K15"/>
  <c r="K34"/>
  <c r="K43"/>
  <c r="J15"/>
  <c r="I15"/>
  <c r="H15"/>
  <c r="G15"/>
  <c r="F15"/>
  <c r="F24"/>
  <c r="Z7"/>
  <c r="C7"/>
  <c r="S17"/>
  <c r="C6"/>
  <c r="S16"/>
  <c r="S25" i="14"/>
  <c r="S42"/>
  <c r="S8"/>
  <c r="S26"/>
  <c r="S9"/>
  <c r="R25"/>
  <c r="R42"/>
  <c r="R8"/>
  <c r="R26"/>
  <c r="R9"/>
  <c r="Q25"/>
  <c r="Q42"/>
  <c r="Q8"/>
  <c r="Q26"/>
  <c r="Q43"/>
  <c r="Q9"/>
  <c r="P25"/>
  <c r="P42"/>
  <c r="P8"/>
  <c r="P26"/>
  <c r="P9"/>
  <c r="O10"/>
  <c r="N10"/>
  <c r="M10"/>
  <c r="L10"/>
  <c r="K10"/>
  <c r="J10"/>
  <c r="I26"/>
  <c r="I43"/>
  <c r="C43"/>
  <c r="I9"/>
  <c r="I25"/>
  <c r="I8"/>
  <c r="H25"/>
  <c r="H8"/>
  <c r="Y26" i="13"/>
  <c r="Y43"/>
  <c r="H9" i="14"/>
  <c r="H26"/>
  <c r="H43"/>
  <c r="G25"/>
  <c r="G42"/>
  <c r="G8"/>
  <c r="G26"/>
  <c r="G43"/>
  <c r="G9"/>
  <c r="F26"/>
  <c r="F43"/>
  <c r="F9"/>
  <c r="Y25" i="13"/>
  <c r="Y42"/>
  <c r="F25" i="14"/>
  <c r="F8"/>
  <c r="E9"/>
  <c r="E10"/>
  <c r="D44"/>
  <c r="Y41"/>
  <c r="X41"/>
  <c r="X33"/>
  <c r="W41"/>
  <c r="W33"/>
  <c r="V41"/>
  <c r="V33"/>
  <c r="U41"/>
  <c r="U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Y32"/>
  <c r="X40"/>
  <c r="X32"/>
  <c r="W40"/>
  <c r="W32"/>
  <c r="V40"/>
  <c r="V32"/>
  <c r="U40"/>
  <c r="U32"/>
  <c r="T40"/>
  <c r="T32"/>
  <c r="S40"/>
  <c r="S32"/>
  <c r="R40"/>
  <c r="R32"/>
  <c r="Q40"/>
  <c r="Q32"/>
  <c r="P40"/>
  <c r="O40"/>
  <c r="O32"/>
  <c r="N40"/>
  <c r="M40"/>
  <c r="L40"/>
  <c r="K40"/>
  <c r="J40"/>
  <c r="I40"/>
  <c r="I32"/>
  <c r="H40"/>
  <c r="G40"/>
  <c r="G32"/>
  <c r="F40"/>
  <c r="F32"/>
  <c r="B27"/>
  <c r="Y43"/>
  <c r="O43"/>
  <c r="N43"/>
  <c r="M43"/>
  <c r="L43"/>
  <c r="K43"/>
  <c r="J43"/>
  <c r="B26"/>
  <c r="Y42"/>
  <c r="O42"/>
  <c r="N42"/>
  <c r="M42"/>
  <c r="L42"/>
  <c r="K42"/>
  <c r="J42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W14"/>
  <c r="V14"/>
  <c r="V22"/>
  <c r="U14"/>
  <c r="T14"/>
  <c r="S14"/>
  <c r="R14"/>
  <c r="R22"/>
  <c r="Q14"/>
  <c r="P14"/>
  <c r="O14"/>
  <c r="N14"/>
  <c r="N22"/>
  <c r="M14"/>
  <c r="L14"/>
  <c r="K14"/>
  <c r="J14"/>
  <c r="J22"/>
  <c r="I14"/>
  <c r="H14"/>
  <c r="G14"/>
  <c r="G31"/>
  <c r="G39"/>
  <c r="F14"/>
  <c r="F22"/>
  <c r="Z7"/>
  <c r="C7"/>
  <c r="G16"/>
  <c r="C6"/>
  <c r="P15"/>
  <c r="Z24" i="13"/>
  <c r="Z23"/>
  <c r="Y9"/>
  <c r="Y8"/>
  <c r="C6"/>
  <c r="Q15"/>
  <c r="C7"/>
  <c r="C42"/>
  <c r="C43"/>
  <c r="X25"/>
  <c r="X42"/>
  <c r="X8"/>
  <c r="X9"/>
  <c r="X26"/>
  <c r="X43"/>
  <c r="X35"/>
  <c r="W25"/>
  <c r="W42"/>
  <c r="W8"/>
  <c r="W9"/>
  <c r="W26"/>
  <c r="V10"/>
  <c r="U10"/>
  <c r="T26"/>
  <c r="T9"/>
  <c r="T25"/>
  <c r="T42"/>
  <c r="T8"/>
  <c r="S25"/>
  <c r="S42"/>
  <c r="S26"/>
  <c r="S9"/>
  <c r="S10"/>
  <c r="R25"/>
  <c r="R8"/>
  <c r="R26"/>
  <c r="R43"/>
  <c r="R9"/>
  <c r="Q25"/>
  <c r="Q8"/>
  <c r="Q26"/>
  <c r="Q43"/>
  <c r="Q9"/>
  <c r="P25"/>
  <c r="P8"/>
  <c r="P26"/>
  <c r="P43"/>
  <c r="P35"/>
  <c r="P9"/>
  <c r="O25"/>
  <c r="O42"/>
  <c r="O8"/>
  <c r="O26"/>
  <c r="O43"/>
  <c r="O35"/>
  <c r="O9"/>
  <c r="N25"/>
  <c r="N8"/>
  <c r="N26"/>
  <c r="N43"/>
  <c r="N35"/>
  <c r="N9"/>
  <c r="M25"/>
  <c r="M42"/>
  <c r="M8"/>
  <c r="M26"/>
  <c r="M43"/>
  <c r="M35"/>
  <c r="M9"/>
  <c r="L26"/>
  <c r="L43"/>
  <c r="L9"/>
  <c r="L25"/>
  <c r="L8"/>
  <c r="K26"/>
  <c r="K43"/>
  <c r="K9"/>
  <c r="K25"/>
  <c r="K42"/>
  <c r="K8"/>
  <c r="J25"/>
  <c r="J42"/>
  <c r="J26"/>
  <c r="J43"/>
  <c r="J9"/>
  <c r="J10"/>
  <c r="Y25" i="12"/>
  <c r="Y42"/>
  <c r="Y26"/>
  <c r="I25" i="13"/>
  <c r="I42"/>
  <c r="I8"/>
  <c r="I9"/>
  <c r="I26"/>
  <c r="I43"/>
  <c r="H25"/>
  <c r="H42"/>
  <c r="H8"/>
  <c r="H26"/>
  <c r="H43"/>
  <c r="H9"/>
  <c r="G25"/>
  <c r="G42"/>
  <c r="G8"/>
  <c r="G26"/>
  <c r="G43"/>
  <c r="G9"/>
  <c r="Y26" i="11"/>
  <c r="Y43"/>
  <c r="F25" i="13"/>
  <c r="F8"/>
  <c r="F26"/>
  <c r="F43"/>
  <c r="F9"/>
  <c r="E8"/>
  <c r="E9"/>
  <c r="D44"/>
  <c r="Y21"/>
  <c r="Y41"/>
  <c r="Y33"/>
  <c r="X41"/>
  <c r="X33"/>
  <c r="W41"/>
  <c r="W33"/>
  <c r="V41"/>
  <c r="V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X40"/>
  <c r="X32"/>
  <c r="W40"/>
  <c r="W32"/>
  <c r="V40"/>
  <c r="V32"/>
  <c r="U40"/>
  <c r="U32"/>
  <c r="T40"/>
  <c r="T32"/>
  <c r="S40"/>
  <c r="S32"/>
  <c r="R40"/>
  <c r="R32"/>
  <c r="Q40"/>
  <c r="Q32"/>
  <c r="P40"/>
  <c r="P32"/>
  <c r="O40"/>
  <c r="O32"/>
  <c r="N40"/>
  <c r="N32"/>
  <c r="M40"/>
  <c r="M32"/>
  <c r="L40"/>
  <c r="L32"/>
  <c r="K40"/>
  <c r="K32"/>
  <c r="J40"/>
  <c r="J32"/>
  <c r="I40"/>
  <c r="I32"/>
  <c r="H40"/>
  <c r="H32"/>
  <c r="G40"/>
  <c r="G32"/>
  <c r="F40"/>
  <c r="F32"/>
  <c r="B27"/>
  <c r="V43"/>
  <c r="U43"/>
  <c r="B26"/>
  <c r="V42"/>
  <c r="U42"/>
  <c r="B25"/>
  <c r="B24"/>
  <c r="B23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X22"/>
  <c r="W14"/>
  <c r="V14"/>
  <c r="V22"/>
  <c r="U14"/>
  <c r="T14"/>
  <c r="S14"/>
  <c r="R14"/>
  <c r="R31"/>
  <c r="R39"/>
  <c r="Q14"/>
  <c r="P14"/>
  <c r="P22"/>
  <c r="O14"/>
  <c r="N14"/>
  <c r="M14"/>
  <c r="M31"/>
  <c r="M39"/>
  <c r="L14"/>
  <c r="L22"/>
  <c r="K14"/>
  <c r="K31"/>
  <c r="K39"/>
  <c r="J14"/>
  <c r="J22"/>
  <c r="I14"/>
  <c r="I31"/>
  <c r="I39"/>
  <c r="H14"/>
  <c r="H22"/>
  <c r="G14"/>
  <c r="F14"/>
  <c r="F22"/>
  <c r="Z6"/>
  <c r="Y8" i="12"/>
  <c r="Y9"/>
  <c r="Z24"/>
  <c r="Z23"/>
  <c r="X26"/>
  <c r="X43"/>
  <c r="C43"/>
  <c r="X9"/>
  <c r="X25"/>
  <c r="X8"/>
  <c r="W25"/>
  <c r="W8"/>
  <c r="W26"/>
  <c r="W43"/>
  <c r="W9"/>
  <c r="V25"/>
  <c r="V8"/>
  <c r="V26"/>
  <c r="V43"/>
  <c r="V9"/>
  <c r="U25"/>
  <c r="U8"/>
  <c r="U26"/>
  <c r="U43"/>
  <c r="U9"/>
  <c r="T8"/>
  <c r="T25"/>
  <c r="T42"/>
  <c r="T26"/>
  <c r="T43"/>
  <c r="T9"/>
  <c r="S25"/>
  <c r="S8"/>
  <c r="S26"/>
  <c r="S43"/>
  <c r="S9"/>
  <c r="R26"/>
  <c r="R43"/>
  <c r="R9"/>
  <c r="R25"/>
  <c r="R42"/>
  <c r="R8"/>
  <c r="Q25"/>
  <c r="Q8"/>
  <c r="Q26"/>
  <c r="Q43"/>
  <c r="Q9"/>
  <c r="P25"/>
  <c r="P42"/>
  <c r="P26"/>
  <c r="P43"/>
  <c r="P9"/>
  <c r="P10"/>
  <c r="O25"/>
  <c r="O42"/>
  <c r="O8"/>
  <c r="O26"/>
  <c r="O9"/>
  <c r="N26"/>
  <c r="N43"/>
  <c r="N9"/>
  <c r="N25"/>
  <c r="N42"/>
  <c r="N8"/>
  <c r="M25"/>
  <c r="M42"/>
  <c r="M8"/>
  <c r="M26"/>
  <c r="M43"/>
  <c r="M9"/>
  <c r="L25"/>
  <c r="L42"/>
  <c r="L7"/>
  <c r="L26"/>
  <c r="L43"/>
  <c r="L9"/>
  <c r="K25"/>
  <c r="K42"/>
  <c r="K8"/>
  <c r="K26"/>
  <c r="K43"/>
  <c r="K9"/>
  <c r="J25"/>
  <c r="J42"/>
  <c r="C42"/>
  <c r="C8"/>
  <c r="J8"/>
  <c r="J26"/>
  <c r="J9"/>
  <c r="I25"/>
  <c r="I8"/>
  <c r="I26"/>
  <c r="I43"/>
  <c r="I9"/>
  <c r="H25"/>
  <c r="H8"/>
  <c r="H26"/>
  <c r="H43"/>
  <c r="H9"/>
  <c r="G25"/>
  <c r="G8"/>
  <c r="G9"/>
  <c r="G26"/>
  <c r="G43"/>
  <c r="Y25" i="11"/>
  <c r="X41" i="12"/>
  <c r="X33"/>
  <c r="X40"/>
  <c r="X32"/>
  <c r="X21"/>
  <c r="X14"/>
  <c r="X22"/>
  <c r="F26"/>
  <c r="F43"/>
  <c r="F9"/>
  <c r="F25"/>
  <c r="F42"/>
  <c r="F8"/>
  <c r="Y9" i="11"/>
  <c r="Y8"/>
  <c r="Z7" i="13"/>
  <c r="V27"/>
  <c r="U27"/>
  <c r="E9" i="12"/>
  <c r="E8"/>
  <c r="Z24" i="11"/>
  <c r="Z23"/>
  <c r="D44" i="12"/>
  <c r="Y41"/>
  <c r="Y33"/>
  <c r="W41"/>
  <c r="W33"/>
  <c r="V41"/>
  <c r="V33"/>
  <c r="U41"/>
  <c r="U33"/>
  <c r="T41"/>
  <c r="T33"/>
  <c r="S41"/>
  <c r="R41"/>
  <c r="R33"/>
  <c r="Q41"/>
  <c r="Q33"/>
  <c r="P41"/>
  <c r="P33"/>
  <c r="O41"/>
  <c r="N41"/>
  <c r="N33"/>
  <c r="M41"/>
  <c r="M33"/>
  <c r="L41"/>
  <c r="L33"/>
  <c r="K41"/>
  <c r="J41"/>
  <c r="J33"/>
  <c r="I41"/>
  <c r="I33"/>
  <c r="H41"/>
  <c r="H33"/>
  <c r="G41"/>
  <c r="F41"/>
  <c r="F33"/>
  <c r="Y40"/>
  <c r="Y32"/>
  <c r="W40"/>
  <c r="W32"/>
  <c r="V40"/>
  <c r="V32"/>
  <c r="U40"/>
  <c r="U32"/>
  <c r="T40"/>
  <c r="T32"/>
  <c r="S40"/>
  <c r="S32"/>
  <c r="R40"/>
  <c r="R32"/>
  <c r="Q40"/>
  <c r="Q32"/>
  <c r="P40"/>
  <c r="P32"/>
  <c r="O40"/>
  <c r="O32"/>
  <c r="N40"/>
  <c r="N32"/>
  <c r="M40"/>
  <c r="M32"/>
  <c r="L40"/>
  <c r="L32"/>
  <c r="K40"/>
  <c r="K32"/>
  <c r="J40"/>
  <c r="J32"/>
  <c r="I40"/>
  <c r="I32"/>
  <c r="H40"/>
  <c r="H32"/>
  <c r="G40"/>
  <c r="G32"/>
  <c r="F40"/>
  <c r="F32"/>
  <c r="B27"/>
  <c r="B26"/>
  <c r="B25"/>
  <c r="B24"/>
  <c r="B23"/>
  <c r="Y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W14"/>
  <c r="V14"/>
  <c r="V31"/>
  <c r="V39"/>
  <c r="U14"/>
  <c r="T14"/>
  <c r="T31"/>
  <c r="T39"/>
  <c r="S14"/>
  <c r="R14"/>
  <c r="R31"/>
  <c r="R39"/>
  <c r="Q14"/>
  <c r="P14"/>
  <c r="O14"/>
  <c r="N14"/>
  <c r="N31"/>
  <c r="N39"/>
  <c r="M14"/>
  <c r="L14"/>
  <c r="K14"/>
  <c r="J14"/>
  <c r="J31"/>
  <c r="J39"/>
  <c r="I14"/>
  <c r="H14"/>
  <c r="H31"/>
  <c r="H39"/>
  <c r="G14"/>
  <c r="G22"/>
  <c r="F14"/>
  <c r="F31"/>
  <c r="F39"/>
  <c r="C7"/>
  <c r="N16"/>
  <c r="Z6"/>
  <c r="C6"/>
  <c r="W15"/>
  <c r="X25" i="11"/>
  <c r="X42"/>
  <c r="X8"/>
  <c r="X9"/>
  <c r="X26"/>
  <c r="Y25" i="10"/>
  <c r="Y42"/>
  <c r="Y26"/>
  <c r="W25" i="11"/>
  <c r="W8"/>
  <c r="W26"/>
  <c r="W43"/>
  <c r="W9"/>
  <c r="V26"/>
  <c r="V43"/>
  <c r="V9"/>
  <c r="V25"/>
  <c r="V42"/>
  <c r="V8"/>
  <c r="Z6"/>
  <c r="U26"/>
  <c r="C43"/>
  <c r="C9"/>
  <c r="K18"/>
  <c r="U9"/>
  <c r="U25"/>
  <c r="U42"/>
  <c r="U8"/>
  <c r="T10"/>
  <c r="S10"/>
  <c r="R10"/>
  <c r="Q10"/>
  <c r="P10"/>
  <c r="O10"/>
  <c r="N10"/>
  <c r="M10"/>
  <c r="L10"/>
  <c r="K10"/>
  <c r="J10"/>
  <c r="I25"/>
  <c r="I42"/>
  <c r="I8"/>
  <c r="I26"/>
  <c r="I43"/>
  <c r="I9"/>
  <c r="H25"/>
  <c r="H42"/>
  <c r="H8"/>
  <c r="H26"/>
  <c r="H43"/>
  <c r="H9"/>
  <c r="G25"/>
  <c r="G8"/>
  <c r="G26"/>
  <c r="G43"/>
  <c r="G9"/>
  <c r="F8"/>
  <c r="F9"/>
  <c r="F25"/>
  <c r="F26"/>
  <c r="F43"/>
  <c r="E8"/>
  <c r="E9"/>
  <c r="E44"/>
  <c r="D44"/>
  <c r="S42"/>
  <c r="C42"/>
  <c r="C8"/>
  <c r="Y41"/>
  <c r="Y33"/>
  <c r="X41"/>
  <c r="X33"/>
  <c r="W41"/>
  <c r="W33"/>
  <c r="V41"/>
  <c r="V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Y32"/>
  <c r="X40"/>
  <c r="X32"/>
  <c r="W40"/>
  <c r="W32"/>
  <c r="V40"/>
  <c r="V32"/>
  <c r="U40"/>
  <c r="U32"/>
  <c r="T40"/>
  <c r="T32"/>
  <c r="S40"/>
  <c r="S32"/>
  <c r="R40"/>
  <c r="R32"/>
  <c r="Q40"/>
  <c r="P40"/>
  <c r="O40"/>
  <c r="O32"/>
  <c r="N40"/>
  <c r="N32"/>
  <c r="M40"/>
  <c r="L40"/>
  <c r="K40"/>
  <c r="J40"/>
  <c r="J32"/>
  <c r="I40"/>
  <c r="H40"/>
  <c r="H32"/>
  <c r="G40"/>
  <c r="G32"/>
  <c r="F40"/>
  <c r="F32"/>
  <c r="B27"/>
  <c r="T43"/>
  <c r="Q43"/>
  <c r="P43"/>
  <c r="O43"/>
  <c r="N43"/>
  <c r="M43"/>
  <c r="L43"/>
  <c r="K43"/>
  <c r="J43"/>
  <c r="B26"/>
  <c r="T42"/>
  <c r="R42"/>
  <c r="Q42"/>
  <c r="P42"/>
  <c r="O42"/>
  <c r="N42"/>
  <c r="M42"/>
  <c r="L42"/>
  <c r="K42"/>
  <c r="J42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X22"/>
  <c r="W14"/>
  <c r="V14"/>
  <c r="V31"/>
  <c r="V39"/>
  <c r="U14"/>
  <c r="T14"/>
  <c r="S14"/>
  <c r="R14"/>
  <c r="Q14"/>
  <c r="Q22"/>
  <c r="P14"/>
  <c r="P31"/>
  <c r="P39"/>
  <c r="O14"/>
  <c r="N14"/>
  <c r="N22"/>
  <c r="M14"/>
  <c r="M31"/>
  <c r="M39"/>
  <c r="L14"/>
  <c r="L31"/>
  <c r="L39"/>
  <c r="K14"/>
  <c r="J14"/>
  <c r="J31"/>
  <c r="J39"/>
  <c r="I14"/>
  <c r="I31"/>
  <c r="I39"/>
  <c r="H14"/>
  <c r="H22"/>
  <c r="G14"/>
  <c r="F14"/>
  <c r="F22"/>
  <c r="Z7"/>
  <c r="C7"/>
  <c r="P16"/>
  <c r="C6"/>
  <c r="L15"/>
  <c r="Y8" i="10"/>
  <c r="Y9"/>
  <c r="Z24"/>
  <c r="Z23"/>
  <c r="X25"/>
  <c r="X42"/>
  <c r="X8"/>
  <c r="X26"/>
  <c r="X43"/>
  <c r="X9"/>
  <c r="W25"/>
  <c r="W42"/>
  <c r="W8"/>
  <c r="W26"/>
  <c r="W43"/>
  <c r="W9"/>
  <c r="V25"/>
  <c r="V42"/>
  <c r="V8"/>
  <c r="V9"/>
  <c r="V26"/>
  <c r="U25"/>
  <c r="U42"/>
  <c r="U8"/>
  <c r="U26"/>
  <c r="U43"/>
  <c r="U9"/>
  <c r="T25"/>
  <c r="T42"/>
  <c r="T8"/>
  <c r="T26"/>
  <c r="T43"/>
  <c r="T9"/>
  <c r="S8"/>
  <c r="S9"/>
  <c r="R25"/>
  <c r="R42"/>
  <c r="R8"/>
  <c r="R26"/>
  <c r="R43"/>
  <c r="R9"/>
  <c r="Q25"/>
  <c r="Q42"/>
  <c r="Q8"/>
  <c r="Q26"/>
  <c r="Q43"/>
  <c r="Q9"/>
  <c r="Y25" i="9"/>
  <c r="P25" i="10"/>
  <c r="P42"/>
  <c r="P8"/>
  <c r="P26"/>
  <c r="P43"/>
  <c r="P9"/>
  <c r="O25"/>
  <c r="O42"/>
  <c r="C42"/>
  <c r="O8"/>
  <c r="O9"/>
  <c r="O26"/>
  <c r="O43"/>
  <c r="C43"/>
  <c r="C9"/>
  <c r="N25"/>
  <c r="N42"/>
  <c r="N8"/>
  <c r="N26"/>
  <c r="N43"/>
  <c r="N9"/>
  <c r="M25"/>
  <c r="M8"/>
  <c r="M9"/>
  <c r="M26"/>
  <c r="M43"/>
  <c r="L25"/>
  <c r="L8"/>
  <c r="L26"/>
  <c r="L43"/>
  <c r="L9"/>
  <c r="K8"/>
  <c r="K25"/>
  <c r="K42"/>
  <c r="K26"/>
  <c r="K43"/>
  <c r="K9"/>
  <c r="J25"/>
  <c r="J42"/>
  <c r="J8"/>
  <c r="J26"/>
  <c r="J43"/>
  <c r="J9"/>
  <c r="Y26" i="9"/>
  <c r="Y43"/>
  <c r="I26" i="10"/>
  <c r="I43"/>
  <c r="I9"/>
  <c r="I10"/>
  <c r="H25"/>
  <c r="H42"/>
  <c r="H8"/>
  <c r="H26"/>
  <c r="H9"/>
  <c r="S43" i="11"/>
  <c r="S35"/>
  <c r="S27"/>
  <c r="K27"/>
  <c r="M27"/>
  <c r="O27"/>
  <c r="Q27"/>
  <c r="R43"/>
  <c r="J27"/>
  <c r="L27"/>
  <c r="N27"/>
  <c r="P27"/>
  <c r="R27"/>
  <c r="T27"/>
  <c r="G25" i="10"/>
  <c r="G8"/>
  <c r="G26"/>
  <c r="G43"/>
  <c r="G9"/>
  <c r="F25"/>
  <c r="F8"/>
  <c r="F9"/>
  <c r="E8"/>
  <c r="E9"/>
  <c r="E6"/>
  <c r="E44"/>
  <c r="D44"/>
  <c r="F43"/>
  <c r="S42"/>
  <c r="I42"/>
  <c r="Y41"/>
  <c r="Y33"/>
  <c r="X41"/>
  <c r="W41"/>
  <c r="W33"/>
  <c r="V41"/>
  <c r="V33"/>
  <c r="U41"/>
  <c r="U33"/>
  <c r="T41"/>
  <c r="S41"/>
  <c r="S33"/>
  <c r="R41"/>
  <c r="R33"/>
  <c r="Q41"/>
  <c r="Q33"/>
  <c r="P41"/>
  <c r="P33"/>
  <c r="O41"/>
  <c r="O33"/>
  <c r="N41"/>
  <c r="N33"/>
  <c r="M41"/>
  <c r="M33"/>
  <c r="L41"/>
  <c r="L33"/>
  <c r="K41"/>
  <c r="J41"/>
  <c r="I41"/>
  <c r="I33"/>
  <c r="I40"/>
  <c r="I32"/>
  <c r="H41"/>
  <c r="H33"/>
  <c r="G41"/>
  <c r="G33"/>
  <c r="F41"/>
  <c r="F33"/>
  <c r="Y40"/>
  <c r="Y32"/>
  <c r="X40"/>
  <c r="X32"/>
  <c r="W40"/>
  <c r="W32"/>
  <c r="V40"/>
  <c r="V32"/>
  <c r="U40"/>
  <c r="U32"/>
  <c r="T40"/>
  <c r="T32"/>
  <c r="S40"/>
  <c r="S32"/>
  <c r="R40"/>
  <c r="R32"/>
  <c r="Q40"/>
  <c r="P40"/>
  <c r="P32"/>
  <c r="O40"/>
  <c r="O32"/>
  <c r="N40"/>
  <c r="N32"/>
  <c r="M40"/>
  <c r="M32"/>
  <c r="L40"/>
  <c r="L32"/>
  <c r="K40"/>
  <c r="K32"/>
  <c r="J40"/>
  <c r="J32"/>
  <c r="H40"/>
  <c r="H32"/>
  <c r="G40"/>
  <c r="G32"/>
  <c r="F40"/>
  <c r="F32"/>
  <c r="B27"/>
  <c r="B26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X14"/>
  <c r="W14"/>
  <c r="V14"/>
  <c r="V31"/>
  <c r="V39"/>
  <c r="U14"/>
  <c r="U22"/>
  <c r="T14"/>
  <c r="T31"/>
  <c r="T39"/>
  <c r="S14"/>
  <c r="S22"/>
  <c r="R14"/>
  <c r="Q14"/>
  <c r="Q31"/>
  <c r="Q39"/>
  <c r="P14"/>
  <c r="P31"/>
  <c r="P39"/>
  <c r="O14"/>
  <c r="O22"/>
  <c r="N14"/>
  <c r="N22"/>
  <c r="M14"/>
  <c r="M22"/>
  <c r="L14"/>
  <c r="K14"/>
  <c r="K22"/>
  <c r="J14"/>
  <c r="I14"/>
  <c r="I22"/>
  <c r="H14"/>
  <c r="G14"/>
  <c r="G22"/>
  <c r="F14"/>
  <c r="Z7"/>
  <c r="C7"/>
  <c r="G16"/>
  <c r="Z6"/>
  <c r="C6"/>
  <c r="M15"/>
  <c r="Z24" i="9"/>
  <c r="Z23"/>
  <c r="Y9"/>
  <c r="Y10"/>
  <c r="X25"/>
  <c r="X42"/>
  <c r="X8"/>
  <c r="X26"/>
  <c r="X43"/>
  <c r="X9"/>
  <c r="W25"/>
  <c r="W8"/>
  <c r="W26"/>
  <c r="W43"/>
  <c r="W9"/>
  <c r="V25"/>
  <c r="V42"/>
  <c r="C42"/>
  <c r="C8"/>
  <c r="V8"/>
  <c r="V9"/>
  <c r="C6"/>
  <c r="T15"/>
  <c r="C7"/>
  <c r="C43"/>
  <c r="C9"/>
  <c r="C18"/>
  <c r="V26"/>
  <c r="V43"/>
  <c r="U26"/>
  <c r="U43"/>
  <c r="U9"/>
  <c r="U25"/>
  <c r="U8"/>
  <c r="Z7"/>
  <c r="Z6"/>
  <c r="T9"/>
  <c r="S9"/>
  <c r="R9"/>
  <c r="Q9"/>
  <c r="P9"/>
  <c r="O9"/>
  <c r="N9"/>
  <c r="M9"/>
  <c r="L9"/>
  <c r="K9"/>
  <c r="J9"/>
  <c r="I9"/>
  <c r="H9"/>
  <c r="G9"/>
  <c r="F9"/>
  <c r="T8"/>
  <c r="S8"/>
  <c r="R8"/>
  <c r="Q8"/>
  <c r="O8"/>
  <c r="N8"/>
  <c r="M8"/>
  <c r="L8"/>
  <c r="K8"/>
  <c r="J8"/>
  <c r="I8"/>
  <c r="G8"/>
  <c r="F8"/>
  <c r="E44"/>
  <c r="D44"/>
  <c r="F42"/>
  <c r="Y41"/>
  <c r="Y33"/>
  <c r="X41"/>
  <c r="X33"/>
  <c r="W41"/>
  <c r="W33"/>
  <c r="V41"/>
  <c r="V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Y32"/>
  <c r="X40"/>
  <c r="W40"/>
  <c r="W32"/>
  <c r="V40"/>
  <c r="U40"/>
  <c r="U32"/>
  <c r="T40"/>
  <c r="T32"/>
  <c r="S40"/>
  <c r="S32"/>
  <c r="R40"/>
  <c r="Q40"/>
  <c r="Q32"/>
  <c r="P40"/>
  <c r="O40"/>
  <c r="O32"/>
  <c r="N40"/>
  <c r="N32"/>
  <c r="M40"/>
  <c r="L40"/>
  <c r="L32"/>
  <c r="K40"/>
  <c r="K32"/>
  <c r="J40"/>
  <c r="I40"/>
  <c r="I32"/>
  <c r="H40"/>
  <c r="H32"/>
  <c r="G40"/>
  <c r="G32"/>
  <c r="F40"/>
  <c r="F32"/>
  <c r="B27"/>
  <c r="T43"/>
  <c r="T35"/>
  <c r="S43"/>
  <c r="R43"/>
  <c r="Q43"/>
  <c r="P43"/>
  <c r="P35"/>
  <c r="O43"/>
  <c r="N43"/>
  <c r="M43"/>
  <c r="L43"/>
  <c r="L35"/>
  <c r="K43"/>
  <c r="J43"/>
  <c r="I43"/>
  <c r="H43"/>
  <c r="H35"/>
  <c r="G43"/>
  <c r="F27"/>
  <c r="B26"/>
  <c r="T42"/>
  <c r="S42"/>
  <c r="R42"/>
  <c r="Q42"/>
  <c r="Q34"/>
  <c r="P42"/>
  <c r="O42"/>
  <c r="N42"/>
  <c r="M42"/>
  <c r="L42"/>
  <c r="K42"/>
  <c r="J42"/>
  <c r="I42"/>
  <c r="I34"/>
  <c r="H42"/>
  <c r="G42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W14"/>
  <c r="W31"/>
  <c r="W39"/>
  <c r="V14"/>
  <c r="V31"/>
  <c r="V39"/>
  <c r="U14"/>
  <c r="U31"/>
  <c r="U39"/>
  <c r="T14"/>
  <c r="S14"/>
  <c r="R14"/>
  <c r="R22"/>
  <c r="Q14"/>
  <c r="Q31"/>
  <c r="Q39"/>
  <c r="P14"/>
  <c r="P31"/>
  <c r="P39"/>
  <c r="O14"/>
  <c r="O22"/>
  <c r="N14"/>
  <c r="M14"/>
  <c r="M31"/>
  <c r="M39"/>
  <c r="L14"/>
  <c r="L31"/>
  <c r="L39"/>
  <c r="K14"/>
  <c r="K31"/>
  <c r="K39"/>
  <c r="J14"/>
  <c r="I14"/>
  <c r="I31"/>
  <c r="I39"/>
  <c r="H14"/>
  <c r="G14"/>
  <c r="G22"/>
  <c r="F14"/>
  <c r="F22"/>
  <c r="E10"/>
  <c r="G27"/>
  <c r="I27"/>
  <c r="K27"/>
  <c r="M27"/>
  <c r="O27"/>
  <c r="Q27"/>
  <c r="S27"/>
  <c r="F43"/>
  <c r="H27"/>
  <c r="J27"/>
  <c r="L27"/>
  <c r="N27"/>
  <c r="P27"/>
  <c r="R27"/>
  <c r="T27"/>
  <c r="Y26" i="7"/>
  <c r="Y43"/>
  <c r="Y25"/>
  <c r="Y42"/>
  <c r="Z24"/>
  <c r="Z23"/>
  <c r="Z7"/>
  <c r="Z6"/>
  <c r="Y8"/>
  <c r="Y9"/>
  <c r="X25"/>
  <c r="X42"/>
  <c r="X8"/>
  <c r="X26"/>
  <c r="X43"/>
  <c r="C43"/>
  <c r="X9"/>
  <c r="W25"/>
  <c r="W8"/>
  <c r="W26"/>
  <c r="W43"/>
  <c r="W9"/>
  <c r="V25"/>
  <c r="V8"/>
  <c r="V26"/>
  <c r="V43"/>
  <c r="V40"/>
  <c r="V32"/>
  <c r="V41"/>
  <c r="V9"/>
  <c r="U25"/>
  <c r="U42"/>
  <c r="U8"/>
  <c r="U26"/>
  <c r="U43"/>
  <c r="U9"/>
  <c r="T25"/>
  <c r="T42"/>
  <c r="T8"/>
  <c r="T26"/>
  <c r="T43"/>
  <c r="T9"/>
  <c r="S25"/>
  <c r="S8"/>
  <c r="S26"/>
  <c r="S43"/>
  <c r="S9"/>
  <c r="R25"/>
  <c r="R42"/>
  <c r="C42"/>
  <c r="C8"/>
  <c r="C17"/>
  <c r="R8"/>
  <c r="R26"/>
  <c r="R9"/>
  <c r="Q26"/>
  <c r="Q43"/>
  <c r="Q9"/>
  <c r="Q25"/>
  <c r="Q42"/>
  <c r="Q8"/>
  <c r="P25"/>
  <c r="P8"/>
  <c r="P9"/>
  <c r="P26"/>
  <c r="P43"/>
  <c r="O25"/>
  <c r="O42"/>
  <c r="O8"/>
  <c r="O26"/>
  <c r="O9"/>
  <c r="N25"/>
  <c r="N42"/>
  <c r="N8"/>
  <c r="N26"/>
  <c r="N43"/>
  <c r="N9"/>
  <c r="M26"/>
  <c r="M43"/>
  <c r="M9"/>
  <c r="M25"/>
  <c r="M42"/>
  <c r="M8"/>
  <c r="L25"/>
  <c r="L42"/>
  <c r="L8"/>
  <c r="L9"/>
  <c r="L26"/>
  <c r="L43"/>
  <c r="K26"/>
  <c r="K43"/>
  <c r="K25"/>
  <c r="K8"/>
  <c r="J25"/>
  <c r="J42"/>
  <c r="J26"/>
  <c r="J43"/>
  <c r="J9"/>
  <c r="J10"/>
  <c r="I25"/>
  <c r="I42"/>
  <c r="I8"/>
  <c r="I26"/>
  <c r="I43"/>
  <c r="I40"/>
  <c r="I32"/>
  <c r="I41"/>
  <c r="I33"/>
  <c r="I9"/>
  <c r="H25"/>
  <c r="H42"/>
  <c r="H34"/>
  <c r="H8"/>
  <c r="H9"/>
  <c r="H26"/>
  <c r="H43"/>
  <c r="H35"/>
  <c r="Y26" i="6"/>
  <c r="Y43"/>
  <c r="Y35"/>
  <c r="G26" i="7"/>
  <c r="G43"/>
  <c r="G9"/>
  <c r="G25"/>
  <c r="G42"/>
  <c r="G8"/>
  <c r="G17"/>
  <c r="F26"/>
  <c r="F43"/>
  <c r="F9"/>
  <c r="F25"/>
  <c r="F42"/>
  <c r="F8"/>
  <c r="F17"/>
  <c r="E8"/>
  <c r="E9"/>
  <c r="Y25" i="6"/>
  <c r="Y42"/>
  <c r="Y34"/>
  <c r="C6" i="7"/>
  <c r="U15"/>
  <c r="Z7" i="6"/>
  <c r="Z6"/>
  <c r="E44" i="7"/>
  <c r="D44"/>
  <c r="Y41"/>
  <c r="Y33"/>
  <c r="X41"/>
  <c r="X33"/>
  <c r="W41"/>
  <c r="W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H41"/>
  <c r="H33"/>
  <c r="G41"/>
  <c r="G33"/>
  <c r="F41"/>
  <c r="F33"/>
  <c r="Y40"/>
  <c r="Y32"/>
  <c r="X40"/>
  <c r="X32"/>
  <c r="W40"/>
  <c r="W32"/>
  <c r="U40"/>
  <c r="U32"/>
  <c r="T40"/>
  <c r="T32"/>
  <c r="S40"/>
  <c r="S32"/>
  <c r="R40"/>
  <c r="R32"/>
  <c r="Q40"/>
  <c r="Q32"/>
  <c r="P40"/>
  <c r="P32"/>
  <c r="O40"/>
  <c r="O32"/>
  <c r="N40"/>
  <c r="N32"/>
  <c r="M40"/>
  <c r="M32"/>
  <c r="L40"/>
  <c r="L32"/>
  <c r="K40"/>
  <c r="K32"/>
  <c r="J40"/>
  <c r="H40"/>
  <c r="H32"/>
  <c r="G40"/>
  <c r="F40"/>
  <c r="F32"/>
  <c r="B27"/>
  <c r="B26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22"/>
  <c r="X14"/>
  <c r="W14"/>
  <c r="W22"/>
  <c r="V14"/>
  <c r="U14"/>
  <c r="U31"/>
  <c r="U39"/>
  <c r="T14"/>
  <c r="T31"/>
  <c r="T39"/>
  <c r="S14"/>
  <c r="S22"/>
  <c r="R14"/>
  <c r="R22"/>
  <c r="Q14"/>
  <c r="Q22"/>
  <c r="P14"/>
  <c r="P31"/>
  <c r="P39"/>
  <c r="O14"/>
  <c r="O31"/>
  <c r="O39"/>
  <c r="N14"/>
  <c r="M14"/>
  <c r="M31"/>
  <c r="M39"/>
  <c r="L14"/>
  <c r="L31"/>
  <c r="L39"/>
  <c r="K14"/>
  <c r="K31"/>
  <c r="K39"/>
  <c r="J14"/>
  <c r="I14"/>
  <c r="I22"/>
  <c r="H14"/>
  <c r="H22"/>
  <c r="G14"/>
  <c r="G31"/>
  <c r="G39"/>
  <c r="F14"/>
  <c r="C7"/>
  <c r="T16"/>
  <c r="Y9" i="6"/>
  <c r="Y10"/>
  <c r="C6"/>
  <c r="K15"/>
  <c r="C7"/>
  <c r="Y16"/>
  <c r="C8"/>
  <c r="J17"/>
  <c r="C9"/>
  <c r="Z24"/>
  <c r="Z23"/>
  <c r="X25"/>
  <c r="X42"/>
  <c r="X8"/>
  <c r="X26"/>
  <c r="X43"/>
  <c r="X35"/>
  <c r="X9"/>
  <c r="W26"/>
  <c r="W43"/>
  <c r="W9"/>
  <c r="W25"/>
  <c r="W42"/>
  <c r="W34"/>
  <c r="C44"/>
  <c r="W8"/>
  <c r="V25"/>
  <c r="V42"/>
  <c r="V26"/>
  <c r="V43"/>
  <c r="V35"/>
  <c r="V9"/>
  <c r="U25"/>
  <c r="U8"/>
  <c r="U26"/>
  <c r="U43"/>
  <c r="U35"/>
  <c r="U9"/>
  <c r="T25"/>
  <c r="T8"/>
  <c r="T26"/>
  <c r="T43"/>
  <c r="T35"/>
  <c r="T9"/>
  <c r="S25"/>
  <c r="S42"/>
  <c r="S8"/>
  <c r="S26"/>
  <c r="S43"/>
  <c r="S35"/>
  <c r="S9"/>
  <c r="R25"/>
  <c r="R8"/>
  <c r="R26"/>
  <c r="R43"/>
  <c r="R9"/>
  <c r="Q25"/>
  <c r="Q42"/>
  <c r="Q8"/>
  <c r="Q26"/>
  <c r="Q43"/>
  <c r="Q35"/>
  <c r="Q9"/>
  <c r="P25"/>
  <c r="P42"/>
  <c r="P34"/>
  <c r="P8"/>
  <c r="P9"/>
  <c r="P26"/>
  <c r="P43"/>
  <c r="O9"/>
  <c r="O26"/>
  <c r="O25"/>
  <c r="O42"/>
  <c r="O34"/>
  <c r="O8"/>
  <c r="N25"/>
  <c r="N42"/>
  <c r="N8"/>
  <c r="N26"/>
  <c r="N43"/>
  <c r="N35"/>
  <c r="N9"/>
  <c r="M25"/>
  <c r="M8"/>
  <c r="M26"/>
  <c r="M43"/>
  <c r="M9"/>
  <c r="L25"/>
  <c r="L42"/>
  <c r="L34"/>
  <c r="L8"/>
  <c r="L26"/>
  <c r="L43"/>
  <c r="L9"/>
  <c r="K25"/>
  <c r="K42"/>
  <c r="K34"/>
  <c r="K26"/>
  <c r="K43"/>
  <c r="J26"/>
  <c r="I25"/>
  <c r="I42"/>
  <c r="I34"/>
  <c r="I8"/>
  <c r="I26"/>
  <c r="I43"/>
  <c r="I9"/>
  <c r="H8"/>
  <c r="H25"/>
  <c r="H42"/>
  <c r="H26"/>
  <c r="H43"/>
  <c r="H35"/>
  <c r="H9"/>
  <c r="G25"/>
  <c r="G42"/>
  <c r="G34"/>
  <c r="G8"/>
  <c r="G26"/>
  <c r="G43"/>
  <c r="G9"/>
  <c r="E9"/>
  <c r="E8"/>
  <c r="E7"/>
  <c r="F25"/>
  <c r="F42"/>
  <c r="F34"/>
  <c r="F26"/>
  <c r="F9"/>
  <c r="Y26" i="4"/>
  <c r="Y43"/>
  <c r="C43"/>
  <c r="C9"/>
  <c r="Y26" i="5"/>
  <c r="Y43"/>
  <c r="Z24"/>
  <c r="Z23"/>
  <c r="E44" i="6"/>
  <c r="D44"/>
  <c r="Y41"/>
  <c r="Y33"/>
  <c r="X41"/>
  <c r="X33"/>
  <c r="W41"/>
  <c r="W33"/>
  <c r="V41"/>
  <c r="V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Y32"/>
  <c r="X40"/>
  <c r="X32"/>
  <c r="W40"/>
  <c r="W32"/>
  <c r="V40"/>
  <c r="V32"/>
  <c r="U40"/>
  <c r="U32"/>
  <c r="T40"/>
  <c r="S40"/>
  <c r="S32"/>
  <c r="R40"/>
  <c r="R32"/>
  <c r="Q40"/>
  <c r="Q32"/>
  <c r="P40"/>
  <c r="P32"/>
  <c r="O40"/>
  <c r="O32"/>
  <c r="N40"/>
  <c r="N32"/>
  <c r="M40"/>
  <c r="M32"/>
  <c r="L40"/>
  <c r="L32"/>
  <c r="K40"/>
  <c r="K32"/>
  <c r="J40"/>
  <c r="J32"/>
  <c r="I40"/>
  <c r="I32"/>
  <c r="H40"/>
  <c r="H32"/>
  <c r="G40"/>
  <c r="G32"/>
  <c r="F40"/>
  <c r="F32"/>
  <c r="B27"/>
  <c r="B26"/>
  <c r="J42"/>
  <c r="J34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X22"/>
  <c r="W14"/>
  <c r="W22"/>
  <c r="V14"/>
  <c r="V31"/>
  <c r="V39"/>
  <c r="U14"/>
  <c r="U22"/>
  <c r="T14"/>
  <c r="T22"/>
  <c r="S14"/>
  <c r="S31"/>
  <c r="S39"/>
  <c r="R14"/>
  <c r="Q14"/>
  <c r="P14"/>
  <c r="P31"/>
  <c r="P39"/>
  <c r="O14"/>
  <c r="N14"/>
  <c r="N22"/>
  <c r="M14"/>
  <c r="M31"/>
  <c r="M39"/>
  <c r="L14"/>
  <c r="L22"/>
  <c r="K14"/>
  <c r="K22"/>
  <c r="J14"/>
  <c r="I14"/>
  <c r="I31"/>
  <c r="I39"/>
  <c r="H14"/>
  <c r="H31"/>
  <c r="H39"/>
  <c r="G14"/>
  <c r="F14"/>
  <c r="F31"/>
  <c r="F39"/>
  <c r="Y9" i="5"/>
  <c r="Y8"/>
  <c r="Z7"/>
  <c r="Z6"/>
  <c r="X40"/>
  <c r="X32"/>
  <c r="X25"/>
  <c r="X42"/>
  <c r="X8"/>
  <c r="X9"/>
  <c r="X26"/>
  <c r="X43"/>
  <c r="C43"/>
  <c r="C9"/>
  <c r="W26"/>
  <c r="W43"/>
  <c r="W9"/>
  <c r="W25"/>
  <c r="W8"/>
  <c r="V9"/>
  <c r="V25"/>
  <c r="V42"/>
  <c r="V8"/>
  <c r="V26"/>
  <c r="V43"/>
  <c r="U25"/>
  <c r="U42"/>
  <c r="U8"/>
  <c r="U9"/>
  <c r="U26"/>
  <c r="U43"/>
  <c r="T26"/>
  <c r="T43"/>
  <c r="T9"/>
  <c r="T8"/>
  <c r="T25"/>
  <c r="T42"/>
  <c r="S25"/>
  <c r="S8"/>
  <c r="S26"/>
  <c r="S43"/>
  <c r="S9"/>
  <c r="R25"/>
  <c r="R42"/>
  <c r="R8"/>
  <c r="R9"/>
  <c r="R26"/>
  <c r="R43"/>
  <c r="Q26"/>
  <c r="Q43"/>
  <c r="Q9"/>
  <c r="Q25"/>
  <c r="Q42"/>
  <c r="Q8"/>
  <c r="P26"/>
  <c r="P43"/>
  <c r="P9"/>
  <c r="P25"/>
  <c r="P42"/>
  <c r="P8"/>
  <c r="O26"/>
  <c r="O43"/>
  <c r="O25"/>
  <c r="O42"/>
  <c r="O9"/>
  <c r="O8"/>
  <c r="N25"/>
  <c r="C42"/>
  <c r="N8"/>
  <c r="N26"/>
  <c r="N43"/>
  <c r="N9"/>
  <c r="M26"/>
  <c r="M43"/>
  <c r="M9"/>
  <c r="M25"/>
  <c r="M42"/>
  <c r="M8"/>
  <c r="K25"/>
  <c r="K42"/>
  <c r="L26"/>
  <c r="L43"/>
  <c r="L25"/>
  <c r="L42"/>
  <c r="L9"/>
  <c r="L8"/>
  <c r="J10" i="6"/>
  <c r="K10"/>
  <c r="K8" i="5"/>
  <c r="K26"/>
  <c r="K43"/>
  <c r="K9"/>
  <c r="J25"/>
  <c r="J42"/>
  <c r="J8"/>
  <c r="J26"/>
  <c r="J43"/>
  <c r="J9"/>
  <c r="I25"/>
  <c r="I42"/>
  <c r="I26"/>
  <c r="I43"/>
  <c r="I9"/>
  <c r="I8"/>
  <c r="H25"/>
  <c r="H42"/>
  <c r="H8"/>
  <c r="H26"/>
  <c r="H43"/>
  <c r="H9"/>
  <c r="G26"/>
  <c r="G43"/>
  <c r="G9"/>
  <c r="G10"/>
  <c r="F8"/>
  <c r="F9"/>
  <c r="G25"/>
  <c r="G42"/>
  <c r="E9"/>
  <c r="F26"/>
  <c r="F43"/>
  <c r="F25"/>
  <c r="F42"/>
  <c r="E8"/>
  <c r="E44"/>
  <c r="D44"/>
  <c r="Y41"/>
  <c r="Y33"/>
  <c r="X41"/>
  <c r="X33"/>
  <c r="W41"/>
  <c r="W33"/>
  <c r="V41"/>
  <c r="V33"/>
  <c r="U41"/>
  <c r="U33"/>
  <c r="T41"/>
  <c r="T33"/>
  <c r="S41"/>
  <c r="S33"/>
  <c r="R41"/>
  <c r="R33"/>
  <c r="Q41"/>
  <c r="Q33"/>
  <c r="P41"/>
  <c r="P33"/>
  <c r="O41"/>
  <c r="O33"/>
  <c r="N41"/>
  <c r="N33"/>
  <c r="M41"/>
  <c r="M33"/>
  <c r="L41"/>
  <c r="L33"/>
  <c r="K41"/>
  <c r="K33"/>
  <c r="J41"/>
  <c r="J33"/>
  <c r="I41"/>
  <c r="I33"/>
  <c r="H41"/>
  <c r="H33"/>
  <c r="G41"/>
  <c r="G33"/>
  <c r="F41"/>
  <c r="F33"/>
  <c r="Y40"/>
  <c r="Y32"/>
  <c r="W40"/>
  <c r="W32"/>
  <c r="V40"/>
  <c r="V32"/>
  <c r="U40"/>
  <c r="U32"/>
  <c r="T40"/>
  <c r="T32"/>
  <c r="S40"/>
  <c r="S32"/>
  <c r="R40"/>
  <c r="R32"/>
  <c r="Q40"/>
  <c r="Q32"/>
  <c r="P40"/>
  <c r="O40"/>
  <c r="O32"/>
  <c r="N40"/>
  <c r="N32"/>
  <c r="M40"/>
  <c r="M32"/>
  <c r="L40"/>
  <c r="L32"/>
  <c r="K40"/>
  <c r="K32"/>
  <c r="J40"/>
  <c r="J32"/>
  <c r="I40"/>
  <c r="I32"/>
  <c r="H40"/>
  <c r="H32"/>
  <c r="G40"/>
  <c r="G32"/>
  <c r="F40"/>
  <c r="F32"/>
  <c r="B27"/>
  <c r="B26"/>
  <c r="Y42"/>
  <c r="B25"/>
  <c r="B24"/>
  <c r="B23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Y14"/>
  <c r="Y31"/>
  <c r="Y39"/>
  <c r="X14"/>
  <c r="W14"/>
  <c r="W31"/>
  <c r="W39"/>
  <c r="V14"/>
  <c r="U14"/>
  <c r="U31"/>
  <c r="U39"/>
  <c r="T14"/>
  <c r="S14"/>
  <c r="S31"/>
  <c r="S39"/>
  <c r="R14"/>
  <c r="R31"/>
  <c r="R39"/>
  <c r="Q14"/>
  <c r="Q31"/>
  <c r="Q39"/>
  <c r="P14"/>
  <c r="P22"/>
  <c r="O14"/>
  <c r="O22"/>
  <c r="N14"/>
  <c r="M14"/>
  <c r="M22"/>
  <c r="L14"/>
  <c r="L22"/>
  <c r="K14"/>
  <c r="K22"/>
  <c r="J14"/>
  <c r="I14"/>
  <c r="I22"/>
  <c r="H14"/>
  <c r="H22"/>
  <c r="G14"/>
  <c r="F14"/>
  <c r="F31"/>
  <c r="F39"/>
  <c r="C7"/>
  <c r="G16"/>
  <c r="C6"/>
  <c r="T15"/>
  <c r="Z24" i="4"/>
  <c r="Z23"/>
  <c r="Y9"/>
  <c r="Y40"/>
  <c r="Y32"/>
  <c r="Y41"/>
  <c r="Y33"/>
  <c r="Y42"/>
  <c r="C42"/>
  <c r="C8"/>
  <c r="Y8"/>
  <c r="X41"/>
  <c r="X33"/>
  <c r="X40"/>
  <c r="X25"/>
  <c r="X42"/>
  <c r="X8"/>
  <c r="X9"/>
  <c r="X26"/>
  <c r="X43"/>
  <c r="W25"/>
  <c r="W42"/>
  <c r="W8"/>
  <c r="W9"/>
  <c r="W26"/>
  <c r="W43"/>
  <c r="W40"/>
  <c r="W32"/>
  <c r="W41"/>
  <c r="W33"/>
  <c r="V25"/>
  <c r="V42"/>
  <c r="V8"/>
  <c r="V26"/>
  <c r="V43"/>
  <c r="V9"/>
  <c r="V40"/>
  <c r="V32"/>
  <c r="V41"/>
  <c r="V33"/>
  <c r="U25"/>
  <c r="U42"/>
  <c r="U26"/>
  <c r="U43"/>
  <c r="U9"/>
  <c r="U10"/>
  <c r="U40"/>
  <c r="U32"/>
  <c r="U41"/>
  <c r="U33"/>
  <c r="T25"/>
  <c r="T26"/>
  <c r="T43"/>
  <c r="T9"/>
  <c r="T8"/>
  <c r="T40"/>
  <c r="T32"/>
  <c r="T41"/>
  <c r="T33"/>
  <c r="S25"/>
  <c r="S8"/>
  <c r="S40"/>
  <c r="S32"/>
  <c r="S41"/>
  <c r="S33"/>
  <c r="S26"/>
  <c r="S43"/>
  <c r="S35"/>
  <c r="S9"/>
  <c r="R26"/>
  <c r="R43"/>
  <c r="R25"/>
  <c r="R42"/>
  <c r="R8"/>
  <c r="R9"/>
  <c r="R40"/>
  <c r="R32"/>
  <c r="R41"/>
  <c r="R33"/>
  <c r="Q8"/>
  <c r="Q25"/>
  <c r="Q26"/>
  <c r="Q43"/>
  <c r="Q9"/>
  <c r="Q41"/>
  <c r="Q33"/>
  <c r="Q40"/>
  <c r="Q32"/>
  <c r="P9"/>
  <c r="P25"/>
  <c r="P42"/>
  <c r="P8"/>
  <c r="P26"/>
  <c r="P43"/>
  <c r="P41"/>
  <c r="P33"/>
  <c r="P40"/>
  <c r="P32"/>
  <c r="O40"/>
  <c r="O32"/>
  <c r="O41"/>
  <c r="O33"/>
  <c r="O25"/>
  <c r="O8"/>
  <c r="O26"/>
  <c r="O43"/>
  <c r="O9"/>
  <c r="N25"/>
  <c r="N42"/>
  <c r="N8"/>
  <c r="N26"/>
  <c r="N43"/>
  <c r="N9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F21"/>
  <c r="N40"/>
  <c r="N32"/>
  <c r="N41"/>
  <c r="N33"/>
  <c r="M25"/>
  <c r="M42"/>
  <c r="M40"/>
  <c r="M32"/>
  <c r="M41"/>
  <c r="M33"/>
  <c r="M26"/>
  <c r="M43"/>
  <c r="M8"/>
  <c r="M9"/>
  <c r="L40"/>
  <c r="L41"/>
  <c r="L33"/>
  <c r="L42"/>
  <c r="L43"/>
  <c r="K25"/>
  <c r="K42"/>
  <c r="K8"/>
  <c r="K26"/>
  <c r="K43"/>
  <c r="K9"/>
  <c r="K40"/>
  <c r="K32"/>
  <c r="K41"/>
  <c r="K33"/>
  <c r="J40"/>
  <c r="J32"/>
  <c r="J41"/>
  <c r="J33"/>
  <c r="J26"/>
  <c r="J43"/>
  <c r="J9"/>
  <c r="J25"/>
  <c r="J42"/>
  <c r="J8"/>
  <c r="I26"/>
  <c r="I43"/>
  <c r="I9"/>
  <c r="I25"/>
  <c r="I8"/>
  <c r="I40"/>
  <c r="I32"/>
  <c r="I41"/>
  <c r="I33"/>
  <c r="H25"/>
  <c r="H42"/>
  <c r="H8"/>
  <c r="H41"/>
  <c r="H33"/>
  <c r="H40"/>
  <c r="H32"/>
  <c r="H26"/>
  <c r="H43"/>
  <c r="H9"/>
  <c r="G25"/>
  <c r="G42"/>
  <c r="G8"/>
  <c r="G40"/>
  <c r="G32"/>
  <c r="G41"/>
  <c r="G33"/>
  <c r="G26"/>
  <c r="G43"/>
  <c r="G9"/>
  <c r="E6"/>
  <c r="E10"/>
  <c r="V43" i="1"/>
  <c r="V35"/>
  <c r="F26" i="4"/>
  <c r="F43"/>
  <c r="F9"/>
  <c r="F25"/>
  <c r="F8"/>
  <c r="F41"/>
  <c r="F33"/>
  <c r="F40"/>
  <c r="F32"/>
  <c r="C7"/>
  <c r="C16"/>
  <c r="C6"/>
  <c r="G15"/>
  <c r="U14"/>
  <c r="U31"/>
  <c r="U39"/>
  <c r="V14"/>
  <c r="V22"/>
  <c r="W14"/>
  <c r="X14"/>
  <c r="X31"/>
  <c r="X39"/>
  <c r="Y14"/>
  <c r="Y31"/>
  <c r="Y39"/>
  <c r="G14"/>
  <c r="G22"/>
  <c r="H14"/>
  <c r="H31"/>
  <c r="H39"/>
  <c r="I14"/>
  <c r="I22"/>
  <c r="J14"/>
  <c r="J22"/>
  <c r="K14"/>
  <c r="K31"/>
  <c r="K39"/>
  <c r="L14"/>
  <c r="M14"/>
  <c r="N14"/>
  <c r="N31"/>
  <c r="N39"/>
  <c r="O14"/>
  <c r="O31"/>
  <c r="O39"/>
  <c r="P14"/>
  <c r="Q14"/>
  <c r="Q31"/>
  <c r="Q39"/>
  <c r="R14"/>
  <c r="R31"/>
  <c r="R39"/>
  <c r="S14"/>
  <c r="S31"/>
  <c r="S39"/>
  <c r="T14"/>
  <c r="T31"/>
  <c r="T39"/>
  <c r="F14"/>
  <c r="F22"/>
  <c r="V41" i="1"/>
  <c r="V33"/>
  <c r="V42"/>
  <c r="V34"/>
  <c r="V8"/>
  <c r="V9"/>
  <c r="V40"/>
  <c r="U25"/>
  <c r="U42"/>
  <c r="U34"/>
  <c r="U8"/>
  <c r="C8"/>
  <c r="I17"/>
  <c r="U26"/>
  <c r="U43"/>
  <c r="U9"/>
  <c r="U41"/>
  <c r="U33"/>
  <c r="U40"/>
  <c r="U32"/>
  <c r="T42"/>
  <c r="T34"/>
  <c r="T25"/>
  <c r="T8"/>
  <c r="T41"/>
  <c r="T33"/>
  <c r="E44" i="4"/>
  <c r="D44"/>
  <c r="B27"/>
  <c r="B26"/>
  <c r="B25"/>
  <c r="B24"/>
  <c r="B23"/>
  <c r="L10"/>
  <c r="T26" i="1"/>
  <c r="T43"/>
  <c r="T9"/>
  <c r="T40"/>
  <c r="T32"/>
  <c r="S41"/>
  <c r="S33"/>
  <c r="S42"/>
  <c r="S34"/>
  <c r="S26"/>
  <c r="S43"/>
  <c r="S35"/>
  <c r="S9"/>
  <c r="S25"/>
  <c r="C44"/>
  <c r="S8"/>
  <c r="S40"/>
  <c r="S32"/>
  <c r="R41"/>
  <c r="R33"/>
  <c r="Q42"/>
  <c r="Q34"/>
  <c r="R42"/>
  <c r="R34"/>
  <c r="R25"/>
  <c r="R8"/>
  <c r="R17"/>
  <c r="R26"/>
  <c r="R43"/>
  <c r="R35"/>
  <c r="R9"/>
  <c r="R40"/>
  <c r="R32"/>
  <c r="Q40"/>
  <c r="Q32"/>
  <c r="Q41"/>
  <c r="Q33"/>
  <c r="Q8"/>
  <c r="Q9"/>
  <c r="Q25"/>
  <c r="Q43"/>
  <c r="Q35"/>
  <c r="Q26"/>
  <c r="P40"/>
  <c r="P43"/>
  <c r="P35"/>
  <c r="P26"/>
  <c r="P9"/>
  <c r="P41"/>
  <c r="P33"/>
  <c r="P42"/>
  <c r="P34"/>
  <c r="P25"/>
  <c r="P8"/>
  <c r="F24"/>
  <c r="G24"/>
  <c r="O26"/>
  <c r="N26"/>
  <c r="M26"/>
  <c r="L26"/>
  <c r="K26"/>
  <c r="J26"/>
  <c r="I26"/>
  <c r="H26"/>
  <c r="G26"/>
  <c r="F26"/>
  <c r="O25"/>
  <c r="N25"/>
  <c r="M25"/>
  <c r="K25"/>
  <c r="L25"/>
  <c r="J25"/>
  <c r="F25"/>
  <c r="G25"/>
  <c r="H25"/>
  <c r="I25"/>
  <c r="E27"/>
  <c r="D27"/>
  <c r="V27"/>
  <c r="C27"/>
  <c r="B27"/>
  <c r="B24"/>
  <c r="B25"/>
  <c r="B26"/>
  <c r="B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C22"/>
  <c r="O42"/>
  <c r="O34"/>
  <c r="O8"/>
  <c r="O40"/>
  <c r="O32"/>
  <c r="O41"/>
  <c r="O33"/>
  <c r="O43"/>
  <c r="O35"/>
  <c r="O9"/>
  <c r="N40"/>
  <c r="N32"/>
  <c r="N41"/>
  <c r="N33"/>
  <c r="N42"/>
  <c r="N34"/>
  <c r="N43"/>
  <c r="N35"/>
  <c r="N9"/>
  <c r="N10"/>
  <c r="M42"/>
  <c r="M34"/>
  <c r="M8"/>
  <c r="M41"/>
  <c r="M33"/>
  <c r="L27" i="4"/>
  <c r="J24" i="1"/>
  <c r="K24"/>
  <c r="L40"/>
  <c r="L32"/>
  <c r="M40"/>
  <c r="M32"/>
  <c r="M43"/>
  <c r="M35"/>
  <c r="M9"/>
  <c r="L6"/>
  <c r="L10"/>
  <c r="L33"/>
  <c r="L34"/>
  <c r="L35"/>
  <c r="K32"/>
  <c r="K33"/>
  <c r="K34"/>
  <c r="K35"/>
  <c r="K44"/>
  <c r="K10"/>
  <c r="J10"/>
  <c r="J32"/>
  <c r="E10"/>
  <c r="F10"/>
  <c r="G10"/>
  <c r="H10"/>
  <c r="I10"/>
  <c r="C9"/>
  <c r="K18"/>
  <c r="C7"/>
  <c r="V16"/>
  <c r="C6"/>
  <c r="K15"/>
  <c r="J44"/>
  <c r="I44"/>
  <c r="G32"/>
  <c r="H32"/>
  <c r="I32"/>
  <c r="G33"/>
  <c r="H33"/>
  <c r="I33"/>
  <c r="J33"/>
  <c r="G34"/>
  <c r="H34"/>
  <c r="I34"/>
  <c r="J34"/>
  <c r="G35"/>
  <c r="H35"/>
  <c r="I35"/>
  <c r="J35"/>
  <c r="F35"/>
  <c r="F34"/>
  <c r="F33"/>
  <c r="F32"/>
  <c r="H44"/>
  <c r="G44"/>
  <c r="D44"/>
  <c r="E44"/>
  <c r="F44"/>
  <c r="J27" i="14"/>
  <c r="L27"/>
  <c r="N27"/>
  <c r="K27"/>
  <c r="M27"/>
  <c r="O27"/>
  <c r="Y27"/>
  <c r="P30" i="15"/>
  <c r="R30"/>
  <c r="Q30"/>
  <c r="S30"/>
  <c r="G56" i="34"/>
  <c r="G45"/>
  <c r="G58"/>
  <c r="G47"/>
  <c r="G53"/>
  <c r="G42"/>
  <c r="G57"/>
  <c r="G46"/>
  <c r="G55"/>
  <c r="G44"/>
  <c r="W37"/>
  <c r="U37"/>
  <c r="L17" i="6"/>
  <c r="N17"/>
  <c r="X54" i="29"/>
  <c r="X44"/>
  <c r="L35" i="7"/>
  <c r="W17" i="6"/>
  <c r="S60" i="45"/>
  <c r="S49"/>
  <c r="W60"/>
  <c r="W49"/>
  <c r="P59" i="36"/>
  <c r="P48"/>
  <c r="K34" i="11"/>
  <c r="O34"/>
  <c r="L35"/>
  <c r="P35"/>
  <c r="R35" i="5"/>
  <c r="U37" i="40"/>
  <c r="T38" i="45"/>
  <c r="Z37"/>
  <c r="AA37"/>
  <c r="O34" i="7"/>
  <c r="U35" i="5"/>
  <c r="U21" i="32"/>
  <c r="G34" i="13"/>
  <c r="S54" i="29"/>
  <c r="S44"/>
  <c r="L18" i="9"/>
  <c r="P35" i="7"/>
  <c r="T18" i="9"/>
  <c r="G60" i="45"/>
  <c r="G49"/>
  <c r="AA32" i="41"/>
  <c r="O60" i="45"/>
  <c r="O49"/>
  <c r="S34" i="13"/>
  <c r="I10" i="7"/>
  <c r="P19" i="26"/>
  <c r="W35" i="7"/>
  <c r="V35"/>
  <c r="V35" i="5"/>
  <c r="AA32" i="38"/>
  <c r="H18" i="6"/>
  <c r="I18"/>
  <c r="W37" i="40"/>
  <c r="AF34" i="44"/>
  <c r="AF33"/>
  <c r="AF31"/>
  <c r="AF29"/>
  <c r="AF32"/>
  <c r="AF30"/>
  <c r="AF35"/>
  <c r="AF36"/>
  <c r="AC59"/>
  <c r="AC48"/>
  <c r="AA59"/>
  <c r="AA48"/>
  <c r="AB59"/>
  <c r="AB48"/>
  <c r="AD59"/>
  <c r="AD48"/>
  <c r="Z59"/>
  <c r="Z48"/>
  <c r="AD42"/>
  <c r="AA41"/>
  <c r="X38" i="45"/>
  <c r="P38"/>
  <c r="H38"/>
  <c r="L38"/>
  <c r="N42"/>
  <c r="K49"/>
  <c r="L42"/>
  <c r="X42"/>
  <c r="H42"/>
  <c r="P42"/>
  <c r="T42"/>
  <c r="O29"/>
  <c r="N29"/>
  <c r="F29"/>
  <c r="V29"/>
  <c r="O42"/>
  <c r="G29"/>
  <c r="W29"/>
  <c r="G38"/>
  <c r="K38"/>
  <c r="O38"/>
  <c r="S38"/>
  <c r="W38"/>
  <c r="J42"/>
  <c r="I20"/>
  <c r="Y20"/>
  <c r="R22"/>
  <c r="M24"/>
  <c r="N20"/>
  <c r="G22"/>
  <c r="W22"/>
  <c r="T24"/>
  <c r="J20"/>
  <c r="R20"/>
  <c r="K22"/>
  <c r="S22"/>
  <c r="H24"/>
  <c r="P24"/>
  <c r="X24"/>
  <c r="J29"/>
  <c r="R29"/>
  <c r="I38"/>
  <c r="M38"/>
  <c r="Q38"/>
  <c r="U38"/>
  <c r="Y38"/>
  <c r="F42"/>
  <c r="K42"/>
  <c r="V42"/>
  <c r="H49"/>
  <c r="L49"/>
  <c r="P49"/>
  <c r="T49"/>
  <c r="X49"/>
  <c r="Q20"/>
  <c r="J22"/>
  <c r="C24"/>
  <c r="U24"/>
  <c r="F20"/>
  <c r="V20"/>
  <c r="O22"/>
  <c r="L24"/>
  <c r="S42"/>
  <c r="Z15"/>
  <c r="C20"/>
  <c r="M20"/>
  <c r="U20"/>
  <c r="F22"/>
  <c r="N22"/>
  <c r="V22"/>
  <c r="I24"/>
  <c r="Q24"/>
  <c r="Y24"/>
  <c r="K29"/>
  <c r="S29"/>
  <c r="F38"/>
  <c r="J38"/>
  <c r="N38"/>
  <c r="R38"/>
  <c r="V38"/>
  <c r="G42"/>
  <c r="R42"/>
  <c r="W42"/>
  <c r="I49"/>
  <c r="M49"/>
  <c r="Q49"/>
  <c r="U49"/>
  <c r="Y49"/>
  <c r="K19"/>
  <c r="S19"/>
  <c r="I21"/>
  <c r="Q21"/>
  <c r="Y21"/>
  <c r="F23"/>
  <c r="N23"/>
  <c r="V23"/>
  <c r="L25"/>
  <c r="T25"/>
  <c r="L41"/>
  <c r="L52"/>
  <c r="T41"/>
  <c r="T52"/>
  <c r="F19"/>
  <c r="R19"/>
  <c r="H21"/>
  <c r="P21"/>
  <c r="X21"/>
  <c r="C23"/>
  <c r="M23"/>
  <c r="U23"/>
  <c r="K25"/>
  <c r="S25"/>
  <c r="H19"/>
  <c r="L19"/>
  <c r="P19"/>
  <c r="T19"/>
  <c r="X19"/>
  <c r="G20"/>
  <c r="K20"/>
  <c r="O20"/>
  <c r="S20"/>
  <c r="W20"/>
  <c r="F21"/>
  <c r="J21"/>
  <c r="N21"/>
  <c r="R21"/>
  <c r="V21"/>
  <c r="H22"/>
  <c r="L22"/>
  <c r="P22"/>
  <c r="T22"/>
  <c r="X22"/>
  <c r="G23"/>
  <c r="K23"/>
  <c r="O23"/>
  <c r="S23"/>
  <c r="W23"/>
  <c r="F24"/>
  <c r="J24"/>
  <c r="N24"/>
  <c r="R24"/>
  <c r="V24"/>
  <c r="C25"/>
  <c r="I25"/>
  <c r="M25"/>
  <c r="Q25"/>
  <c r="U25"/>
  <c r="Y25"/>
  <c r="H29"/>
  <c r="P29"/>
  <c r="X29"/>
  <c r="I41"/>
  <c r="I52"/>
  <c r="M41"/>
  <c r="M52"/>
  <c r="Q41"/>
  <c r="Q52"/>
  <c r="U41"/>
  <c r="U52"/>
  <c r="Y41"/>
  <c r="Y52"/>
  <c r="I42"/>
  <c r="M42"/>
  <c r="Q42"/>
  <c r="U42"/>
  <c r="Y42"/>
  <c r="G19"/>
  <c r="O19"/>
  <c r="W19"/>
  <c r="C21"/>
  <c r="M21"/>
  <c r="U21"/>
  <c r="J23"/>
  <c r="R23"/>
  <c r="H25"/>
  <c r="P25"/>
  <c r="X25"/>
  <c r="J19"/>
  <c r="N19"/>
  <c r="V19"/>
  <c r="L21"/>
  <c r="T21"/>
  <c r="I23"/>
  <c r="Q23"/>
  <c r="Y23"/>
  <c r="G25"/>
  <c r="O25"/>
  <c r="W25"/>
  <c r="C14"/>
  <c r="I26"/>
  <c r="C19"/>
  <c r="I19"/>
  <c r="M19"/>
  <c r="Q19"/>
  <c r="U19"/>
  <c r="H20"/>
  <c r="L20"/>
  <c r="P20"/>
  <c r="T20"/>
  <c r="G21"/>
  <c r="K21"/>
  <c r="O21"/>
  <c r="S21"/>
  <c r="C22"/>
  <c r="I22"/>
  <c r="M22"/>
  <c r="Q22"/>
  <c r="U22"/>
  <c r="H23"/>
  <c r="L23"/>
  <c r="P23"/>
  <c r="T23"/>
  <c r="G24"/>
  <c r="K24"/>
  <c r="O24"/>
  <c r="S24"/>
  <c r="F25"/>
  <c r="J25"/>
  <c r="N25"/>
  <c r="R25"/>
  <c r="AE14" i="44"/>
  <c r="AA22"/>
  <c r="AA18"/>
  <c r="AA37"/>
  <c r="AB22"/>
  <c r="AB18"/>
  <c r="Z24"/>
  <c r="Z20"/>
  <c r="AC24"/>
  <c r="AC20"/>
  <c r="AD24"/>
  <c r="Z23"/>
  <c r="AD20"/>
  <c r="Z19"/>
  <c r="AD23"/>
  <c r="AB21"/>
  <c r="AD19"/>
  <c r="AA19"/>
  <c r="AB24"/>
  <c r="AC23"/>
  <c r="AD22"/>
  <c r="Z22"/>
  <c r="AA21"/>
  <c r="AB20"/>
  <c r="AC19"/>
  <c r="AD18"/>
  <c r="Z18"/>
  <c r="AA23"/>
  <c r="AC21"/>
  <c r="AA24"/>
  <c r="AB23"/>
  <c r="AC22"/>
  <c r="AD21"/>
  <c r="Z21"/>
  <c r="AA20"/>
  <c r="AB19"/>
  <c r="AC18"/>
  <c r="AB37"/>
  <c r="AB40"/>
  <c r="AB51"/>
  <c r="AD37"/>
  <c r="Z37"/>
  <c r="AD28"/>
  <c r="AC37"/>
  <c r="AA40"/>
  <c r="AA51"/>
  <c r="Z40"/>
  <c r="Z51"/>
  <c r="AC40"/>
  <c r="AC51"/>
  <c r="AA32" i="34"/>
  <c r="AA32" i="36"/>
  <c r="G37" i="44"/>
  <c r="G23" i="34"/>
  <c r="F23"/>
  <c r="Q19"/>
  <c r="Q23"/>
  <c r="N19"/>
  <c r="G19"/>
  <c r="P23"/>
  <c r="Q26" i="29"/>
  <c r="Q19" i="33"/>
  <c r="I15" i="13"/>
  <c r="S18" i="29"/>
  <c r="T20" i="27"/>
  <c r="F21" i="29"/>
  <c r="W21" i="26"/>
  <c r="Q22" i="27"/>
  <c r="S17" i="7"/>
  <c r="AA28" i="30"/>
  <c r="X54" i="28"/>
  <c r="X44"/>
  <c r="C17" i="26"/>
  <c r="G18" i="27"/>
  <c r="O20" i="29"/>
  <c r="Y49" i="15"/>
  <c r="N15" i="13"/>
  <c r="S15" i="7"/>
  <c r="T26" i="32"/>
  <c r="O31" i="10"/>
  <c r="O39"/>
  <c r="J17" i="7"/>
  <c r="H17" i="31"/>
  <c r="J31" i="14"/>
  <c r="J39"/>
  <c r="R22" i="12"/>
  <c r="AA30" i="26"/>
  <c r="S20" i="25"/>
  <c r="W19" i="36"/>
  <c r="F22" i="34"/>
  <c r="M19" i="29"/>
  <c r="K21" i="26"/>
  <c r="F19"/>
  <c r="C22" i="27"/>
  <c r="L18" i="28"/>
  <c r="X18" i="25"/>
  <c r="H19" i="36"/>
  <c r="O28" i="34"/>
  <c r="F22" i="31"/>
  <c r="W17" i="29"/>
  <c r="T17"/>
  <c r="K21" i="33"/>
  <c r="O17" i="26"/>
  <c r="L22" i="27"/>
  <c r="Q18"/>
  <c r="G21" i="36"/>
  <c r="K18" i="28"/>
  <c r="Y22" i="25"/>
  <c r="S28" i="36"/>
  <c r="K18" i="34"/>
  <c r="W22"/>
  <c r="N18"/>
  <c r="V18" i="31"/>
  <c r="K22" i="28"/>
  <c r="O21" i="29"/>
  <c r="K17"/>
  <c r="T19"/>
  <c r="J17"/>
  <c r="N18" i="32"/>
  <c r="L26" i="25"/>
  <c r="W19" i="26"/>
  <c r="R21"/>
  <c r="P17"/>
  <c r="H20" i="27"/>
  <c r="Q20"/>
  <c r="C21" i="24"/>
  <c r="H23" i="36"/>
  <c r="N20" i="28"/>
  <c r="M19" i="23"/>
  <c r="V22" i="25"/>
  <c r="I23" i="36"/>
  <c r="V22" i="34"/>
  <c r="L28"/>
  <c r="O22"/>
  <c r="F18"/>
  <c r="W26" i="27"/>
  <c r="S38" i="29"/>
  <c r="P22" i="28"/>
  <c r="K20"/>
  <c r="C21" i="29"/>
  <c r="P21"/>
  <c r="J19"/>
  <c r="X26" i="30"/>
  <c r="U26" i="26"/>
  <c r="M19"/>
  <c r="F21"/>
  <c r="F17"/>
  <c r="P18" i="27"/>
  <c r="G20"/>
  <c r="T17" i="24"/>
  <c r="T39" i="15"/>
  <c r="X21" i="34"/>
  <c r="T23" i="36"/>
  <c r="P21"/>
  <c r="O19"/>
  <c r="U23"/>
  <c r="U21"/>
  <c r="V19"/>
  <c r="H28" i="34"/>
  <c r="N22" i="28"/>
  <c r="L20"/>
  <c r="J18"/>
  <c r="I22"/>
  <c r="I20"/>
  <c r="G18"/>
  <c r="L26" i="31"/>
  <c r="V26" i="24"/>
  <c r="Q26" i="23"/>
  <c r="X19"/>
  <c r="G34" i="14"/>
  <c r="P34"/>
  <c r="P39" i="15"/>
  <c r="M39"/>
  <c r="U39"/>
  <c r="AA29" i="25"/>
  <c r="AA31" i="30"/>
  <c r="K21" i="36"/>
  <c r="W54" i="24"/>
  <c r="W44"/>
  <c r="S18" i="28"/>
  <c r="F26" i="24"/>
  <c r="H39" i="15"/>
  <c r="AA30" i="19"/>
  <c r="J23" i="36"/>
  <c r="F21"/>
  <c r="C19"/>
  <c r="K23"/>
  <c r="J19"/>
  <c r="X28" i="34"/>
  <c r="G26" i="28"/>
  <c r="V20"/>
  <c r="T18"/>
  <c r="S22"/>
  <c r="S20"/>
  <c r="P26" i="25"/>
  <c r="O19" i="23"/>
  <c r="H19"/>
  <c r="M21" i="34"/>
  <c r="R23" i="36"/>
  <c r="N21"/>
  <c r="M19"/>
  <c r="S23"/>
  <c r="S21"/>
  <c r="R19"/>
  <c r="K44" i="9"/>
  <c r="P15"/>
  <c r="X38" i="33"/>
  <c r="O26" i="28"/>
  <c r="F22"/>
  <c r="V18"/>
  <c r="W22"/>
  <c r="U20"/>
  <c r="U18"/>
  <c r="Q20" i="32"/>
  <c r="R26" i="33"/>
  <c r="R26" i="24"/>
  <c r="M26" i="23"/>
  <c r="R19"/>
  <c r="N34"/>
  <c r="V34"/>
  <c r="H54" i="33"/>
  <c r="H44"/>
  <c r="K21" i="34"/>
  <c r="N21"/>
  <c r="P23" i="36"/>
  <c r="V21"/>
  <c r="J21"/>
  <c r="U19"/>
  <c r="K19"/>
  <c r="K28"/>
  <c r="Q23"/>
  <c r="C23"/>
  <c r="O21"/>
  <c r="C21"/>
  <c r="P19"/>
  <c r="F19"/>
  <c r="R22" i="34"/>
  <c r="S18"/>
  <c r="T28"/>
  <c r="K22"/>
  <c r="V18"/>
  <c r="L15" i="7"/>
  <c r="T15"/>
  <c r="V22" i="28"/>
  <c r="J22"/>
  <c r="T20"/>
  <c r="H20"/>
  <c r="R18"/>
  <c r="F18"/>
  <c r="Q22"/>
  <c r="G22"/>
  <c r="Q20"/>
  <c r="C20"/>
  <c r="O18"/>
  <c r="C18"/>
  <c r="P20" i="29"/>
  <c r="G22"/>
  <c r="C20"/>
  <c r="Q18"/>
  <c r="V26" i="30"/>
  <c r="P26" i="32"/>
  <c r="S26" i="33"/>
  <c r="X26" i="25"/>
  <c r="H26"/>
  <c r="J26" i="26"/>
  <c r="N26" i="24"/>
  <c r="Y26" i="23"/>
  <c r="W19"/>
  <c r="G19"/>
  <c r="P19"/>
  <c r="R15" i="13"/>
  <c r="K34" i="10"/>
  <c r="M34" i="19"/>
  <c r="Z33"/>
  <c r="AA33"/>
  <c r="H34"/>
  <c r="AA32" i="27"/>
  <c r="I34" i="29"/>
  <c r="AA28" i="24"/>
  <c r="AA32"/>
  <c r="G37" i="34"/>
  <c r="P22" i="10"/>
  <c r="I35" i="11"/>
  <c r="L23" i="36"/>
  <c r="R21"/>
  <c r="H21"/>
  <c r="S19"/>
  <c r="G19"/>
  <c r="Y23"/>
  <c r="W21"/>
  <c r="X19"/>
  <c r="N22" i="34"/>
  <c r="O18"/>
  <c r="P28"/>
  <c r="T15" i="1"/>
  <c r="R22" i="5"/>
  <c r="G54" i="31"/>
  <c r="G44"/>
  <c r="T38" i="33"/>
  <c r="W26" i="28"/>
  <c r="R22"/>
  <c r="H22"/>
  <c r="P20"/>
  <c r="F20"/>
  <c r="N18"/>
  <c r="Y22"/>
  <c r="Y20"/>
  <c r="W18"/>
  <c r="T26" i="31"/>
  <c r="T26" i="25"/>
  <c r="J26" i="24"/>
  <c r="U26" i="23"/>
  <c r="U19"/>
  <c r="C19"/>
  <c r="T15" i="13"/>
  <c r="U54" i="29"/>
  <c r="U44"/>
  <c r="F20" i="33"/>
  <c r="R20" i="26"/>
  <c r="K17" i="27"/>
  <c r="Q35" i="10"/>
  <c r="O18" i="33"/>
  <c r="G26" i="29"/>
  <c r="K20" i="33"/>
  <c r="M15" i="14"/>
  <c r="F15" i="13"/>
  <c r="Y21" i="31"/>
  <c r="F22" i="29"/>
  <c r="Q22" i="33"/>
  <c r="T22" i="26"/>
  <c r="J54" i="29"/>
  <c r="J44"/>
  <c r="N37" i="34"/>
  <c r="H20" i="36"/>
  <c r="W24"/>
  <c r="O38" i="31"/>
  <c r="F19" i="28"/>
  <c r="H22" i="29"/>
  <c r="R20"/>
  <c r="H18"/>
  <c r="Q22"/>
  <c r="U20"/>
  <c r="U22" i="33"/>
  <c r="T16" i="15"/>
  <c r="L17"/>
  <c r="K18" i="10"/>
  <c r="I20" i="36"/>
  <c r="P18" i="33"/>
  <c r="H21" i="34"/>
  <c r="AA27" i="30"/>
  <c r="J37" i="34"/>
  <c r="U24"/>
  <c r="M19" i="27"/>
  <c r="N15" i="14"/>
  <c r="U21" i="31"/>
  <c r="V22" i="29"/>
  <c r="R18"/>
  <c r="W22"/>
  <c r="P22" i="33"/>
  <c r="Y18"/>
  <c r="N17" i="23"/>
  <c r="K24" i="15"/>
  <c r="P20" i="36"/>
  <c r="L22"/>
  <c r="N19" i="28"/>
  <c r="S21" i="34"/>
  <c r="P21"/>
  <c r="X37"/>
  <c r="O17" i="27"/>
  <c r="O26" i="19"/>
  <c r="C15" i="14"/>
  <c r="X21" i="31"/>
  <c r="G21" i="28"/>
  <c r="Q19"/>
  <c r="N22" i="29"/>
  <c r="Y22"/>
  <c r="Y18"/>
  <c r="J26" i="30"/>
  <c r="J20" i="33"/>
  <c r="G22" i="14"/>
  <c r="G22" i="36"/>
  <c r="Q26" i="28"/>
  <c r="N20" i="30"/>
  <c r="X17" i="23"/>
  <c r="L18" i="33"/>
  <c r="H40" i="36"/>
  <c r="H51"/>
  <c r="T22"/>
  <c r="L19" i="31"/>
  <c r="W54"/>
  <c r="W44"/>
  <c r="R22" i="30"/>
  <c r="R21" i="28"/>
  <c r="O26" i="29"/>
  <c r="H20"/>
  <c r="J18"/>
  <c r="I22"/>
  <c r="W20"/>
  <c r="G20"/>
  <c r="I18"/>
  <c r="T21" i="31"/>
  <c r="T22" i="33"/>
  <c r="O20"/>
  <c r="P18" i="26"/>
  <c r="M22" i="13"/>
  <c r="S18" i="33"/>
  <c r="U21" i="34"/>
  <c r="C21"/>
  <c r="V21"/>
  <c r="Q38" i="29"/>
  <c r="X40" i="36"/>
  <c r="X51"/>
  <c r="X24"/>
  <c r="W18"/>
  <c r="X17" i="27"/>
  <c r="C17"/>
  <c r="O15" i="7"/>
  <c r="V15" i="14"/>
  <c r="K34" i="4"/>
  <c r="Y22" i="13"/>
  <c r="I38" i="33"/>
  <c r="C17" i="31"/>
  <c r="Q18" i="19"/>
  <c r="C21" i="31"/>
  <c r="O21" i="28"/>
  <c r="P22" i="29"/>
  <c r="J20"/>
  <c r="P18"/>
  <c r="O22"/>
  <c r="M20"/>
  <c r="K18"/>
  <c r="R26" i="30"/>
  <c r="O26" i="33"/>
  <c r="V20"/>
  <c r="J18"/>
  <c r="C22"/>
  <c r="Q18"/>
  <c r="V21" i="23"/>
  <c r="P31" i="13"/>
  <c r="P39"/>
  <c r="L31"/>
  <c r="L39"/>
  <c r="R31" i="14"/>
  <c r="R39"/>
  <c r="L39" i="15"/>
  <c r="X39"/>
  <c r="Q34" i="24"/>
  <c r="AA31" i="26"/>
  <c r="Y34" i="27"/>
  <c r="AA29" i="28"/>
  <c r="AA30" i="29"/>
  <c r="AA27" i="31"/>
  <c r="AA31"/>
  <c r="Q22" i="25"/>
  <c r="W18"/>
  <c r="S28" i="34"/>
  <c r="I23"/>
  <c r="P19"/>
  <c r="T23"/>
  <c r="I19"/>
  <c r="R54" i="26"/>
  <c r="R44"/>
  <c r="I22" i="11"/>
  <c r="G37" i="31"/>
  <c r="G47"/>
  <c r="W54" i="29"/>
  <c r="W44"/>
  <c r="Y26"/>
  <c r="G21"/>
  <c r="Q19"/>
  <c r="C19"/>
  <c r="O17"/>
  <c r="H21"/>
  <c r="X19"/>
  <c r="L17"/>
  <c r="P26" i="30"/>
  <c r="Q22" i="31"/>
  <c r="I22" i="25"/>
  <c r="Y26" i="26"/>
  <c r="C19"/>
  <c r="T21"/>
  <c r="R19"/>
  <c r="T17"/>
  <c r="P22" i="27"/>
  <c r="V20"/>
  <c r="R18"/>
  <c r="S22"/>
  <c r="S20"/>
  <c r="I20"/>
  <c r="I18"/>
  <c r="U21" i="24"/>
  <c r="J19"/>
  <c r="W22" i="23"/>
  <c r="S22" i="25"/>
  <c r="R22"/>
  <c r="P20"/>
  <c r="P18"/>
  <c r="G24" i="36"/>
  <c r="O22"/>
  <c r="J18"/>
  <c r="Q28"/>
  <c r="H24"/>
  <c r="Q20"/>
  <c r="G18"/>
  <c r="W59" i="34"/>
  <c r="W48"/>
  <c r="N59"/>
  <c r="N48"/>
  <c r="W28"/>
  <c r="W23"/>
  <c r="K23"/>
  <c r="R19"/>
  <c r="H19"/>
  <c r="V23"/>
  <c r="L23"/>
  <c r="W19"/>
  <c r="K19"/>
  <c r="C12" i="31"/>
  <c r="I23"/>
  <c r="K26" i="27"/>
  <c r="Z33" i="26"/>
  <c r="AA33"/>
  <c r="AA29" i="15"/>
  <c r="W37" i="31"/>
  <c r="W47"/>
  <c r="U54"/>
  <c r="U44"/>
  <c r="N18" i="19"/>
  <c r="N22" i="30"/>
  <c r="L18" i="31"/>
  <c r="W21" i="28"/>
  <c r="K17"/>
  <c r="V19"/>
  <c r="J17"/>
  <c r="I26" i="29"/>
  <c r="U21"/>
  <c r="K21"/>
  <c r="S19"/>
  <c r="I19"/>
  <c r="Q17"/>
  <c r="G17"/>
  <c r="V21"/>
  <c r="J21"/>
  <c r="P19"/>
  <c r="N17"/>
  <c r="Q20" i="30"/>
  <c r="J26" i="31"/>
  <c r="U18"/>
  <c r="T20"/>
  <c r="O17" i="33"/>
  <c r="O26" i="25"/>
  <c r="R26"/>
  <c r="J22"/>
  <c r="I26" i="26"/>
  <c r="Q21"/>
  <c r="G21"/>
  <c r="Q19"/>
  <c r="G19"/>
  <c r="U17"/>
  <c r="K17"/>
  <c r="V21"/>
  <c r="L21"/>
  <c r="V19"/>
  <c r="J19"/>
  <c r="V17"/>
  <c r="L17"/>
  <c r="R22" i="27"/>
  <c r="H22"/>
  <c r="N20"/>
  <c r="T18"/>
  <c r="J18"/>
  <c r="U22"/>
  <c r="K22"/>
  <c r="W20"/>
  <c r="K20"/>
  <c r="W18"/>
  <c r="M18"/>
  <c r="M21" i="23"/>
  <c r="G17"/>
  <c r="H19" i="19"/>
  <c r="U35" i="7"/>
  <c r="G35" i="13"/>
  <c r="R10" i="14"/>
  <c r="J39" i="15"/>
  <c r="L38"/>
  <c r="AA31" i="24"/>
  <c r="AA30" i="28"/>
  <c r="AA27" i="29"/>
  <c r="AA32" i="30"/>
  <c r="I37" i="34"/>
  <c r="X22" i="43"/>
  <c r="W24" i="44"/>
  <c r="W20" i="25"/>
  <c r="K22" i="13"/>
  <c r="S23" i="34"/>
  <c r="F19"/>
  <c r="H23"/>
  <c r="S19"/>
  <c r="O26" i="27"/>
  <c r="I54" i="32"/>
  <c r="I44"/>
  <c r="F18" i="31"/>
  <c r="J26" i="28"/>
  <c r="S21" i="29"/>
  <c r="R21"/>
  <c r="L19"/>
  <c r="V17"/>
  <c r="O21" i="26"/>
  <c r="O19"/>
  <c r="S17"/>
  <c r="G17"/>
  <c r="J21"/>
  <c r="H19"/>
  <c r="H17"/>
  <c r="L20" i="27"/>
  <c r="H18"/>
  <c r="I22"/>
  <c r="U18"/>
  <c r="F34" i="23"/>
  <c r="Y34" i="30"/>
  <c r="U22" i="25"/>
  <c r="O24" i="36"/>
  <c r="W22"/>
  <c r="R18"/>
  <c r="P24"/>
  <c r="Y20"/>
  <c r="O18"/>
  <c r="G28" i="34"/>
  <c r="O23"/>
  <c r="V19"/>
  <c r="J19"/>
  <c r="X23"/>
  <c r="Y19"/>
  <c r="W54" i="28"/>
  <c r="W44"/>
  <c r="G26" i="27"/>
  <c r="Q54" i="25"/>
  <c r="Q44"/>
  <c r="Y16" i="12"/>
  <c r="S26" i="19"/>
  <c r="K34" i="12"/>
  <c r="R54" i="30"/>
  <c r="R44"/>
  <c r="G18" i="19"/>
  <c r="G37" i="30"/>
  <c r="G47"/>
  <c r="I19" i="28"/>
  <c r="S17"/>
  <c r="J21"/>
  <c r="R17"/>
  <c r="W21" i="29"/>
  <c r="M21"/>
  <c r="U19"/>
  <c r="K19"/>
  <c r="S17"/>
  <c r="I17"/>
  <c r="X21"/>
  <c r="R19"/>
  <c r="R17"/>
  <c r="H26" i="30"/>
  <c r="W20" i="31"/>
  <c r="L54"/>
  <c r="L44"/>
  <c r="L21" i="32"/>
  <c r="Q26" i="26"/>
  <c r="S21"/>
  <c r="I21"/>
  <c r="U19"/>
  <c r="I19"/>
  <c r="W17"/>
  <c r="M17"/>
  <c r="X19"/>
  <c r="X17"/>
  <c r="T22" i="27"/>
  <c r="J22"/>
  <c r="P20"/>
  <c r="F20"/>
  <c r="L18"/>
  <c r="Y22"/>
  <c r="Y20"/>
  <c r="Y18"/>
  <c r="O18"/>
  <c r="H26" i="24"/>
  <c r="H22" i="23"/>
  <c r="S17"/>
  <c r="L21"/>
  <c r="H18" i="43"/>
  <c r="U18" i="44"/>
  <c r="Q24" i="36"/>
  <c r="Q22"/>
  <c r="R20"/>
  <c r="I28"/>
  <c r="J24"/>
  <c r="N22"/>
  <c r="S20"/>
  <c r="Q18"/>
  <c r="P24" i="34"/>
  <c r="V28"/>
  <c r="F28"/>
  <c r="M54" i="24"/>
  <c r="M44"/>
  <c r="U54" i="30"/>
  <c r="U44"/>
  <c r="U18" i="19"/>
  <c r="W37" i="30"/>
  <c r="W47"/>
  <c r="U26" i="28"/>
  <c r="Q21"/>
  <c r="S19"/>
  <c r="U17"/>
  <c r="C17"/>
  <c r="L21"/>
  <c r="P19"/>
  <c r="T17"/>
  <c r="C12"/>
  <c r="T23"/>
  <c r="K22" i="30"/>
  <c r="K19" i="32"/>
  <c r="Q21" i="23"/>
  <c r="K17"/>
  <c r="P17"/>
  <c r="R19" i="15"/>
  <c r="K59" i="43"/>
  <c r="K48"/>
  <c r="G18" i="33"/>
  <c r="W18"/>
  <c r="T18"/>
  <c r="Q21" i="34"/>
  <c r="I21"/>
  <c r="T21"/>
  <c r="L21"/>
  <c r="AA32" i="25"/>
  <c r="T21"/>
  <c r="I59" i="34"/>
  <c r="I48"/>
  <c r="U24" i="36"/>
  <c r="M24"/>
  <c r="C24"/>
  <c r="U22"/>
  <c r="M22"/>
  <c r="C22"/>
  <c r="V20"/>
  <c r="N20"/>
  <c r="F20"/>
  <c r="P18"/>
  <c r="H18"/>
  <c r="Y28"/>
  <c r="M28"/>
  <c r="V24"/>
  <c r="N24"/>
  <c r="F24"/>
  <c r="R22"/>
  <c r="J22"/>
  <c r="W20"/>
  <c r="O20"/>
  <c r="G20"/>
  <c r="U18"/>
  <c r="M18"/>
  <c r="C18"/>
  <c r="R28" i="34"/>
  <c r="J28"/>
  <c r="Q19" i="31"/>
  <c r="T19"/>
  <c r="T54" i="27"/>
  <c r="T44"/>
  <c r="R19"/>
  <c r="K21"/>
  <c r="U15" i="14"/>
  <c r="G27" i="13"/>
  <c r="V54" i="33"/>
  <c r="V44"/>
  <c r="Y54"/>
  <c r="Y44"/>
  <c r="Q38"/>
  <c r="Y54" i="30"/>
  <c r="Y44"/>
  <c r="F54" i="33"/>
  <c r="F44"/>
  <c r="J18" i="19"/>
  <c r="F18"/>
  <c r="T18"/>
  <c r="Y20" i="30"/>
  <c r="K21" i="31"/>
  <c r="O18" i="19"/>
  <c r="C18"/>
  <c r="U26" i="31"/>
  <c r="G17"/>
  <c r="Y26" i="28"/>
  <c r="U21"/>
  <c r="M21"/>
  <c r="C21"/>
  <c r="W19"/>
  <c r="O19"/>
  <c r="G19"/>
  <c r="Q17"/>
  <c r="I17"/>
  <c r="X21"/>
  <c r="P21"/>
  <c r="H21"/>
  <c r="T19"/>
  <c r="L19"/>
  <c r="X17"/>
  <c r="P17"/>
  <c r="H17"/>
  <c r="W26" i="29"/>
  <c r="K26"/>
  <c r="T22"/>
  <c r="L22"/>
  <c r="V20"/>
  <c r="N20"/>
  <c r="F20"/>
  <c r="V18"/>
  <c r="N18"/>
  <c r="F18"/>
  <c r="T26"/>
  <c r="U22"/>
  <c r="M22"/>
  <c r="C22"/>
  <c r="S20"/>
  <c r="K20"/>
  <c r="W18"/>
  <c r="O18"/>
  <c r="G18"/>
  <c r="F26" i="30"/>
  <c r="R26" i="31"/>
  <c r="F26"/>
  <c r="M19"/>
  <c r="Q17" i="32"/>
  <c r="L26"/>
  <c r="K26" i="33"/>
  <c r="L22"/>
  <c r="R20"/>
  <c r="M22"/>
  <c r="W20"/>
  <c r="G20"/>
  <c r="I18"/>
  <c r="F26" i="25"/>
  <c r="G18" i="26"/>
  <c r="Q21" i="27"/>
  <c r="N26"/>
  <c r="P26" i="24"/>
  <c r="O26" i="23"/>
  <c r="U21"/>
  <c r="K21"/>
  <c r="O17"/>
  <c r="C17"/>
  <c r="T21"/>
  <c r="H21"/>
  <c r="V17"/>
  <c r="J17"/>
  <c r="O15" i="14"/>
  <c r="Y35" i="9"/>
  <c r="U44" i="13"/>
  <c r="M44"/>
  <c r="F11" i="15"/>
  <c r="J34" i="23"/>
  <c r="AA27" i="28"/>
  <c r="AA31" i="29"/>
  <c r="I34" i="30"/>
  <c r="Y34" i="32"/>
  <c r="AA27" i="27"/>
  <c r="H37" i="41"/>
  <c r="V21" i="44"/>
  <c r="AA31" i="27"/>
  <c r="AA28"/>
  <c r="I24" i="36"/>
  <c r="I22"/>
  <c r="J20"/>
  <c r="T18"/>
  <c r="L18"/>
  <c r="R24"/>
  <c r="V22"/>
  <c r="F22"/>
  <c r="K20"/>
  <c r="Y18"/>
  <c r="I18"/>
  <c r="M20" i="34"/>
  <c r="N28"/>
  <c r="H20"/>
  <c r="W26" i="19"/>
  <c r="R18"/>
  <c r="I18"/>
  <c r="I26" i="28"/>
  <c r="I21"/>
  <c r="K19"/>
  <c r="M17"/>
  <c r="T21"/>
  <c r="X19"/>
  <c r="H19"/>
  <c r="L17"/>
  <c r="N18" i="30"/>
  <c r="V26" i="31"/>
  <c r="Q26" i="32"/>
  <c r="F19"/>
  <c r="G26" i="23"/>
  <c r="C21"/>
  <c r="U17"/>
  <c r="X21"/>
  <c r="N21"/>
  <c r="F17"/>
  <c r="T59" i="42"/>
  <c r="T48"/>
  <c r="K18" i="33"/>
  <c r="H18"/>
  <c r="R54" i="32"/>
  <c r="R44"/>
  <c r="W21" i="34"/>
  <c r="O21"/>
  <c r="G21"/>
  <c r="F21"/>
  <c r="R21"/>
  <c r="J21"/>
  <c r="I38" i="29"/>
  <c r="T35" i="7"/>
  <c r="S24" i="36"/>
  <c r="K24"/>
  <c r="S22"/>
  <c r="K22"/>
  <c r="T20"/>
  <c r="L20"/>
  <c r="V18"/>
  <c r="N18"/>
  <c r="F18"/>
  <c r="U28"/>
  <c r="T24"/>
  <c r="L24"/>
  <c r="X22"/>
  <c r="P22"/>
  <c r="H22"/>
  <c r="U20"/>
  <c r="M20"/>
  <c r="C20"/>
  <c r="S18"/>
  <c r="K18"/>
  <c r="V37" i="34"/>
  <c r="R37"/>
  <c r="M54" i="30"/>
  <c r="M44"/>
  <c r="G54" i="28"/>
  <c r="G44"/>
  <c r="G26" i="19"/>
  <c r="F15" i="14"/>
  <c r="H27" i="13"/>
  <c r="V22" i="9"/>
  <c r="N27" i="6"/>
  <c r="N28"/>
  <c r="N54" i="33"/>
  <c r="N44"/>
  <c r="W54" i="32"/>
  <c r="W44"/>
  <c r="N38" i="29"/>
  <c r="L18" i="19"/>
  <c r="V18"/>
  <c r="W18"/>
  <c r="M18"/>
  <c r="T19" i="15"/>
  <c r="M26" i="31"/>
  <c r="J54" i="33"/>
  <c r="J44"/>
  <c r="M26" i="28"/>
  <c r="S21"/>
  <c r="K21"/>
  <c r="U19"/>
  <c r="M19"/>
  <c r="C19"/>
  <c r="W17"/>
  <c r="O17"/>
  <c r="G17"/>
  <c r="V21"/>
  <c r="N21"/>
  <c r="F21"/>
  <c r="R19"/>
  <c r="J19"/>
  <c r="V17"/>
  <c r="N17"/>
  <c r="F17"/>
  <c r="S26" i="29"/>
  <c r="R22"/>
  <c r="J22"/>
  <c r="T20"/>
  <c r="L20"/>
  <c r="T18"/>
  <c r="L18"/>
  <c r="L26"/>
  <c r="S22"/>
  <c r="K22"/>
  <c r="Y20"/>
  <c r="Q20"/>
  <c r="I20"/>
  <c r="U18"/>
  <c r="M18"/>
  <c r="C18"/>
  <c r="C12"/>
  <c r="M23"/>
  <c r="N26" i="30"/>
  <c r="S22"/>
  <c r="N26" i="31"/>
  <c r="X26" i="32"/>
  <c r="H26"/>
  <c r="W26" i="33"/>
  <c r="G26"/>
  <c r="H22"/>
  <c r="N20"/>
  <c r="Y22"/>
  <c r="V26" i="25"/>
  <c r="N26"/>
  <c r="M26" i="27"/>
  <c r="X26" i="24"/>
  <c r="Q20"/>
  <c r="W26" i="23"/>
  <c r="S21"/>
  <c r="I21"/>
  <c r="W17"/>
  <c r="M17"/>
  <c r="P21"/>
  <c r="F21"/>
  <c r="R17"/>
  <c r="H17"/>
  <c r="P19" i="15"/>
  <c r="O19"/>
  <c r="I35" i="7"/>
  <c r="J35"/>
  <c r="K35"/>
  <c r="V18" i="9"/>
  <c r="W35" i="10"/>
  <c r="R34" i="28"/>
  <c r="AA29" i="31"/>
  <c r="M37" i="34"/>
  <c r="N37" i="36"/>
  <c r="R37"/>
  <c r="X31" i="5"/>
  <c r="X39"/>
  <c r="X22"/>
  <c r="F15" i="9"/>
  <c r="R15"/>
  <c r="G42" i="10"/>
  <c r="G34"/>
  <c r="G27"/>
  <c r="U22" i="12"/>
  <c r="U31"/>
  <c r="U39"/>
  <c r="L18" i="23"/>
  <c r="S18"/>
  <c r="Q37" i="24"/>
  <c r="Q47"/>
  <c r="Q26"/>
  <c r="F18" i="25"/>
  <c r="S18"/>
  <c r="O20"/>
  <c r="X20"/>
  <c r="P22"/>
  <c r="X22"/>
  <c r="W22"/>
  <c r="Y17" i="26"/>
  <c r="J17"/>
  <c r="R17"/>
  <c r="I17"/>
  <c r="Q17"/>
  <c r="Y19"/>
  <c r="L19"/>
  <c r="T19"/>
  <c r="K19"/>
  <c r="S19"/>
  <c r="Y21"/>
  <c r="H21"/>
  <c r="P21"/>
  <c r="X21"/>
  <c r="C21"/>
  <c r="M21"/>
  <c r="U21"/>
  <c r="M37"/>
  <c r="M47"/>
  <c r="M26"/>
  <c r="X18" i="27"/>
  <c r="K18"/>
  <c r="S18"/>
  <c r="F18"/>
  <c r="N18"/>
  <c r="V18"/>
  <c r="X20"/>
  <c r="C20"/>
  <c r="M20"/>
  <c r="U20"/>
  <c r="J20"/>
  <c r="R20"/>
  <c r="X22"/>
  <c r="G22"/>
  <c r="O22"/>
  <c r="W22"/>
  <c r="F22"/>
  <c r="N22"/>
  <c r="V22"/>
  <c r="S37"/>
  <c r="S47"/>
  <c r="S26"/>
  <c r="R37" i="28"/>
  <c r="R47"/>
  <c r="R26"/>
  <c r="Y17" i="29"/>
  <c r="H17"/>
  <c r="P17"/>
  <c r="X17"/>
  <c r="C17"/>
  <c r="M17"/>
  <c r="U17"/>
  <c r="Y19"/>
  <c r="F19"/>
  <c r="N19"/>
  <c r="V19"/>
  <c r="G19"/>
  <c r="O19"/>
  <c r="W19"/>
  <c r="Y21"/>
  <c r="L21"/>
  <c r="T21"/>
  <c r="I21"/>
  <c r="Q21"/>
  <c r="M37"/>
  <c r="M47"/>
  <c r="M26"/>
  <c r="U37"/>
  <c r="U47"/>
  <c r="U26"/>
  <c r="L37" i="30"/>
  <c r="L47"/>
  <c r="L26"/>
  <c r="T37"/>
  <c r="T47"/>
  <c r="T26"/>
  <c r="V38"/>
  <c r="V54"/>
  <c r="V44"/>
  <c r="Y38" i="31"/>
  <c r="Y54"/>
  <c r="Y44"/>
  <c r="K40" i="34"/>
  <c r="K51"/>
  <c r="K28"/>
  <c r="Y23"/>
  <c r="J23"/>
  <c r="R23"/>
  <c r="C23"/>
  <c r="M23"/>
  <c r="U23"/>
  <c r="X19"/>
  <c r="C19"/>
  <c r="M19"/>
  <c r="U19"/>
  <c r="L19"/>
  <c r="T19"/>
  <c r="R43" i="42"/>
  <c r="R59"/>
  <c r="R48"/>
  <c r="Z14"/>
  <c r="M31" i="4"/>
  <c r="M39"/>
  <c r="M22"/>
  <c r="W22" i="10"/>
  <c r="W31"/>
  <c r="W39"/>
  <c r="R31" i="11"/>
  <c r="R39"/>
  <c r="R22"/>
  <c r="T31" i="13"/>
  <c r="T39"/>
  <c r="T22"/>
  <c r="K15"/>
  <c r="X15"/>
  <c r="L15"/>
  <c r="W15"/>
  <c r="S15"/>
  <c r="V15"/>
  <c r="Y15"/>
  <c r="G15"/>
  <c r="K32" i="14"/>
  <c r="K44"/>
  <c r="N24" i="15"/>
  <c r="N34"/>
  <c r="N43"/>
  <c r="N39"/>
  <c r="C10"/>
  <c r="R20"/>
  <c r="C8" i="14"/>
  <c r="F17"/>
  <c r="Z25"/>
  <c r="AA25"/>
  <c r="M37" i="19"/>
  <c r="M47"/>
  <c r="M26"/>
  <c r="U37"/>
  <c r="U47"/>
  <c r="U26"/>
  <c r="G46" i="15"/>
  <c r="G49"/>
  <c r="G30"/>
  <c r="Y19" i="23"/>
  <c r="F19"/>
  <c r="N19"/>
  <c r="V19"/>
  <c r="K19"/>
  <c r="S19"/>
  <c r="L19"/>
  <c r="T19"/>
  <c r="I19"/>
  <c r="Q19"/>
  <c r="I37"/>
  <c r="I47"/>
  <c r="I26"/>
  <c r="W38"/>
  <c r="W54"/>
  <c r="W44"/>
  <c r="O54" i="26"/>
  <c r="O44"/>
  <c r="O38"/>
  <c r="J38" i="27"/>
  <c r="J54"/>
  <c r="J44"/>
  <c r="X18" i="28"/>
  <c r="I18"/>
  <c r="Q18"/>
  <c r="Y18"/>
  <c r="H18"/>
  <c r="P18"/>
  <c r="X20"/>
  <c r="G20"/>
  <c r="O20"/>
  <c r="W20"/>
  <c r="J20"/>
  <c r="R20"/>
  <c r="X22"/>
  <c r="C22"/>
  <c r="M22"/>
  <c r="U22"/>
  <c r="L22"/>
  <c r="T22"/>
  <c r="K37"/>
  <c r="K47"/>
  <c r="K26"/>
  <c r="S37"/>
  <c r="S47"/>
  <c r="S26"/>
  <c r="W22" i="32"/>
  <c r="R22"/>
  <c r="J39"/>
  <c r="J54"/>
  <c r="J44"/>
  <c r="J37" i="33"/>
  <c r="J47"/>
  <c r="J26"/>
  <c r="Y19" i="36"/>
  <c r="L19"/>
  <c r="T19"/>
  <c r="C13"/>
  <c r="J25"/>
  <c r="I19"/>
  <c r="Q19"/>
  <c r="X21"/>
  <c r="I21"/>
  <c r="Q21"/>
  <c r="Y21"/>
  <c r="L21"/>
  <c r="T21"/>
  <c r="X23"/>
  <c r="G23"/>
  <c r="O23"/>
  <c r="W23"/>
  <c r="F23"/>
  <c r="N23"/>
  <c r="V23"/>
  <c r="G40"/>
  <c r="G51"/>
  <c r="G28"/>
  <c r="O40"/>
  <c r="O51"/>
  <c r="O28"/>
  <c r="W40"/>
  <c r="W51"/>
  <c r="W28"/>
  <c r="S22" i="34"/>
  <c r="J22"/>
  <c r="J18"/>
  <c r="G18"/>
  <c r="W18"/>
  <c r="T59" i="43"/>
  <c r="T48"/>
  <c r="AA27" i="15"/>
  <c r="G16" i="12"/>
  <c r="K15" i="9"/>
  <c r="C15"/>
  <c r="T17" i="7"/>
  <c r="U17"/>
  <c r="J34" i="10"/>
  <c r="T34"/>
  <c r="V34"/>
  <c r="V34" i="11"/>
  <c r="X34" i="23"/>
  <c r="AA30" i="24"/>
  <c r="AA27" i="26"/>
  <c r="S34" i="10"/>
  <c r="R35" i="11"/>
  <c r="I35" i="10"/>
  <c r="J10"/>
  <c r="L10"/>
  <c r="N10"/>
  <c r="M34" i="11"/>
  <c r="Q34"/>
  <c r="T35"/>
  <c r="K26" i="19"/>
  <c r="P18"/>
  <c r="L19" i="15"/>
  <c r="H18" i="19"/>
  <c r="I19" i="15"/>
  <c r="S18" i="19"/>
  <c r="Q19" i="15"/>
  <c r="Y19"/>
  <c r="J26" i="25"/>
  <c r="T26" i="24"/>
  <c r="L26"/>
  <c r="S26" i="23"/>
  <c r="K26"/>
  <c r="W21"/>
  <c r="O21"/>
  <c r="G21"/>
  <c r="Q17"/>
  <c r="I17"/>
  <c r="R21"/>
  <c r="J21"/>
  <c r="T17"/>
  <c r="L17"/>
  <c r="X54" i="19"/>
  <c r="X44"/>
  <c r="M19" i="15"/>
  <c r="H30"/>
  <c r="S35" i="12"/>
  <c r="I34" i="23"/>
  <c r="AA29"/>
  <c r="AA28" i="25"/>
  <c r="Z33"/>
  <c r="AA33"/>
  <c r="Q17" i="1"/>
  <c r="H35" i="5"/>
  <c r="K35"/>
  <c r="I34" i="7"/>
  <c r="O44" i="9"/>
  <c r="Y15" i="7"/>
  <c r="J15" i="4"/>
  <c r="V44" i="6"/>
  <c r="V36"/>
  <c r="S44" i="9"/>
  <c r="O15" i="13"/>
  <c r="G19" i="15"/>
  <c r="Z25" i="10"/>
  <c r="AA25"/>
  <c r="H31" i="13"/>
  <c r="H39"/>
  <c r="H15"/>
  <c r="M15"/>
  <c r="V31" i="14"/>
  <c r="V39"/>
  <c r="F31"/>
  <c r="F39"/>
  <c r="Q22" i="5"/>
  <c r="V37" i="36"/>
  <c r="R17" i="7"/>
  <c r="G22"/>
  <c r="F15"/>
  <c r="J15" i="13"/>
  <c r="W19" i="15"/>
  <c r="J19"/>
  <c r="X31" i="13"/>
  <c r="X39"/>
  <c r="P15"/>
  <c r="U15"/>
  <c r="C15"/>
  <c r="F34" i="15"/>
  <c r="F43"/>
  <c r="N31" i="14"/>
  <c r="N39"/>
  <c r="O44"/>
  <c r="O17" i="1"/>
  <c r="O35" i="5"/>
  <c r="J27" i="7"/>
  <c r="H15"/>
  <c r="T15" i="4"/>
  <c r="Q17" i="7"/>
  <c r="N17" i="1"/>
  <c r="V15" i="7"/>
  <c r="C15"/>
  <c r="J22" i="11"/>
  <c r="X31"/>
  <c r="X39"/>
  <c r="S26" i="10"/>
  <c r="S43"/>
  <c r="S44"/>
  <c r="F35" i="13"/>
  <c r="L35"/>
  <c r="N20" i="19"/>
  <c r="F34"/>
  <c r="Z14" i="36"/>
  <c r="F34" i="24"/>
  <c r="J34"/>
  <c r="N34"/>
  <c r="R34"/>
  <c r="V34"/>
  <c r="T37" i="41"/>
  <c r="W31" i="7"/>
  <c r="W39"/>
  <c r="R15"/>
  <c r="U15" i="4"/>
  <c r="M15" i="7"/>
  <c r="X31" i="6"/>
  <c r="X39"/>
  <c r="V22" i="12"/>
  <c r="I31" i="4"/>
  <c r="I39"/>
  <c r="H17" i="7"/>
  <c r="O17"/>
  <c r="Y34" i="12"/>
  <c r="Z26"/>
  <c r="AA26"/>
  <c r="F10" i="7"/>
  <c r="U10"/>
  <c r="Y17"/>
  <c r="R34" i="10"/>
  <c r="T35"/>
  <c r="U35"/>
  <c r="X35"/>
  <c r="U34" i="11"/>
  <c r="V35"/>
  <c r="H10" i="12"/>
  <c r="I10"/>
  <c r="U10"/>
  <c r="V10"/>
  <c r="W10"/>
  <c r="F10" i="13"/>
  <c r="M10"/>
  <c r="N10"/>
  <c r="O10"/>
  <c r="P10"/>
  <c r="Q10"/>
  <c r="R10"/>
  <c r="U34"/>
  <c r="O15" i="1"/>
  <c r="F15"/>
  <c r="X15" i="6"/>
  <c r="W35" i="9"/>
  <c r="X35"/>
  <c r="S37" i="34"/>
  <c r="O37"/>
  <c r="K37"/>
  <c r="Y37"/>
  <c r="O27" i="10"/>
  <c r="Z25" i="7"/>
  <c r="AA25"/>
  <c r="P16" i="12"/>
  <c r="I16"/>
  <c r="H44" i="9"/>
  <c r="V22" i="10"/>
  <c r="S22" i="6"/>
  <c r="M22" i="11"/>
  <c r="U15" i="9"/>
  <c r="S18"/>
  <c r="U19" i="15"/>
  <c r="H19"/>
  <c r="L44" i="9"/>
  <c r="Q26" i="19"/>
  <c r="S19" i="15"/>
  <c r="V19"/>
  <c r="F19"/>
  <c r="K15" i="10"/>
  <c r="H22" i="4"/>
  <c r="Y22" i="14"/>
  <c r="G31" i="12"/>
  <c r="G39"/>
  <c r="G15" i="11"/>
  <c r="L16" i="6"/>
  <c r="H10" i="4"/>
  <c r="W34" i="10"/>
  <c r="X34"/>
  <c r="Q18" i="6"/>
  <c r="R18" i="9"/>
  <c r="Q35" i="4"/>
  <c r="R35"/>
  <c r="I10" i="6"/>
  <c r="R18"/>
  <c r="U18"/>
  <c r="J35" i="9"/>
  <c r="N35"/>
  <c r="R35"/>
  <c r="F18"/>
  <c r="J18"/>
  <c r="N18"/>
  <c r="W15"/>
  <c r="I15"/>
  <c r="W16" i="12"/>
  <c r="N44" i="9"/>
  <c r="Y22" i="11"/>
  <c r="V35" i="4"/>
  <c r="N27" i="10"/>
  <c r="L22" i="9"/>
  <c r="G44" i="10"/>
  <c r="P22" i="9"/>
  <c r="L16" i="1"/>
  <c r="X19" i="15"/>
  <c r="O27" i="13"/>
  <c r="I26" i="19"/>
  <c r="Y26"/>
  <c r="N49" i="15"/>
  <c r="K19"/>
  <c r="N19"/>
  <c r="X31" i="12"/>
  <c r="X39"/>
  <c r="S24" i="15"/>
  <c r="W27" i="14"/>
  <c r="T22" i="10"/>
  <c r="I27" i="1"/>
  <c r="I28"/>
  <c r="AA23" i="7"/>
  <c r="N35"/>
  <c r="AA23" i="11"/>
  <c r="K35" i="12"/>
  <c r="L35"/>
  <c r="AA23" i="13"/>
  <c r="Y35" i="11"/>
  <c r="R39" i="15"/>
  <c r="K39"/>
  <c r="O39"/>
  <c r="V34" i="14"/>
  <c r="L49" i="15"/>
  <c r="P34" i="19"/>
  <c r="U34" i="26"/>
  <c r="H34" i="30"/>
  <c r="P34"/>
  <c r="T34"/>
  <c r="X34"/>
  <c r="V34" i="31"/>
  <c r="AA29" i="19"/>
  <c r="Z13" i="23"/>
  <c r="AA29" i="24"/>
  <c r="AA29" i="26"/>
  <c r="AA30" i="27"/>
  <c r="AA31" i="28"/>
  <c r="AA28" i="29"/>
  <c r="AA32"/>
  <c r="AA29" i="30"/>
  <c r="Z13" i="31"/>
  <c r="G31" i="5"/>
  <c r="G39"/>
  <c r="G22"/>
  <c r="J31" i="6"/>
  <c r="J39"/>
  <c r="J22"/>
  <c r="F17"/>
  <c r="H17"/>
  <c r="W10" i="7"/>
  <c r="W17"/>
  <c r="M32" i="9"/>
  <c r="M44"/>
  <c r="H16"/>
  <c r="J16"/>
  <c r="Y27"/>
  <c r="Z25"/>
  <c r="AA25"/>
  <c r="L32" i="11"/>
  <c r="L44"/>
  <c r="P31" i="12"/>
  <c r="P39"/>
  <c r="P22"/>
  <c r="N22" i="13"/>
  <c r="N31"/>
  <c r="N39"/>
  <c r="P22" i="14"/>
  <c r="P31"/>
  <c r="P39"/>
  <c r="M32"/>
  <c r="M44"/>
  <c r="R43"/>
  <c r="R35"/>
  <c r="R27"/>
  <c r="J26" i="19"/>
  <c r="J37"/>
  <c r="J47"/>
  <c r="F48" i="15"/>
  <c r="F39"/>
  <c r="F30"/>
  <c r="V21" i="19"/>
  <c r="Y21"/>
  <c r="W22" i="24"/>
  <c r="G22"/>
  <c r="G37" i="26"/>
  <c r="G47"/>
  <c r="G26"/>
  <c r="X54" i="24"/>
  <c r="X44"/>
  <c r="K26" i="26"/>
  <c r="K22"/>
  <c r="M20"/>
  <c r="W18"/>
  <c r="R26" i="23"/>
  <c r="P22" i="11"/>
  <c r="T32" i="6"/>
  <c r="K10" i="7"/>
  <c r="K17"/>
  <c r="S31" i="9"/>
  <c r="S39"/>
  <c r="S22"/>
  <c r="W42" i="11"/>
  <c r="W34"/>
  <c r="W27"/>
  <c r="Y22" i="12"/>
  <c r="Y31"/>
  <c r="Y39"/>
  <c r="O43"/>
  <c r="O35"/>
  <c r="O27"/>
  <c r="Y16" i="14"/>
  <c r="R16"/>
  <c r="L16"/>
  <c r="I16"/>
  <c r="U16"/>
  <c r="T16"/>
  <c r="C16"/>
  <c r="O16"/>
  <c r="M16"/>
  <c r="W16"/>
  <c r="X22"/>
  <c r="X31"/>
  <c r="X39"/>
  <c r="Y17" i="15"/>
  <c r="H17"/>
  <c r="F17"/>
  <c r="N17"/>
  <c r="V17"/>
  <c r="C17"/>
  <c r="M17"/>
  <c r="U17"/>
  <c r="J17"/>
  <c r="R17"/>
  <c r="I17"/>
  <c r="Q17"/>
  <c r="P17"/>
  <c r="X17"/>
  <c r="G17"/>
  <c r="O17"/>
  <c r="W17"/>
  <c r="W35"/>
  <c r="W49"/>
  <c r="R39" i="19"/>
  <c r="R54"/>
  <c r="R44"/>
  <c r="O37" i="26"/>
  <c r="O47"/>
  <c r="O26"/>
  <c r="O42" i="42"/>
  <c r="O59"/>
  <c r="O48"/>
  <c r="V43"/>
  <c r="V59"/>
  <c r="V48"/>
  <c r="R41" i="43"/>
  <c r="R59"/>
  <c r="R48"/>
  <c r="U42"/>
  <c r="U59"/>
  <c r="U48"/>
  <c r="J44" i="13"/>
  <c r="J27"/>
  <c r="Y42" i="9"/>
  <c r="Y34"/>
  <c r="L22" i="26"/>
  <c r="J20"/>
  <c r="U17" i="12"/>
  <c r="Q16" i="14"/>
  <c r="T42" i="6"/>
  <c r="T34"/>
  <c r="T27"/>
  <c r="T28"/>
  <c r="L16" i="7"/>
  <c r="C16"/>
  <c r="H16"/>
  <c r="O43"/>
  <c r="O44"/>
  <c r="O27"/>
  <c r="Y31" i="10"/>
  <c r="Y39"/>
  <c r="Y22"/>
  <c r="K33"/>
  <c r="K44"/>
  <c r="T31" i="11"/>
  <c r="T39"/>
  <c r="T22"/>
  <c r="L31" i="12"/>
  <c r="L39"/>
  <c r="L22"/>
  <c r="T22" i="14"/>
  <c r="T31"/>
  <c r="T39"/>
  <c r="X24" i="15"/>
  <c r="X34"/>
  <c r="X43"/>
  <c r="Q38"/>
  <c r="J38"/>
  <c r="P38" i="26"/>
  <c r="P54"/>
  <c r="P44"/>
  <c r="Y17" i="27"/>
  <c r="S17"/>
  <c r="V17"/>
  <c r="M17"/>
  <c r="G17"/>
  <c r="P17"/>
  <c r="T17"/>
  <c r="Q17"/>
  <c r="F17"/>
  <c r="R17"/>
  <c r="W17"/>
  <c r="C12"/>
  <c r="J23"/>
  <c r="L17"/>
  <c r="N17"/>
  <c r="J17"/>
  <c r="U17"/>
  <c r="H17"/>
  <c r="Y19"/>
  <c r="P19"/>
  <c r="O19"/>
  <c r="I19"/>
  <c r="N19"/>
  <c r="H19"/>
  <c r="X19"/>
  <c r="G19"/>
  <c r="W19"/>
  <c r="Q19"/>
  <c r="V19"/>
  <c r="F19"/>
  <c r="T19"/>
  <c r="S19"/>
  <c r="U19"/>
  <c r="C19"/>
  <c r="J19"/>
  <c r="Y21"/>
  <c r="N21"/>
  <c r="C21"/>
  <c r="U21"/>
  <c r="W21"/>
  <c r="G21"/>
  <c r="L21"/>
  <c r="F21"/>
  <c r="V21"/>
  <c r="M21"/>
  <c r="O21"/>
  <c r="T21"/>
  <c r="R21"/>
  <c r="I21"/>
  <c r="S21"/>
  <c r="X21"/>
  <c r="H21"/>
  <c r="I37"/>
  <c r="I47"/>
  <c r="I26"/>
  <c r="Q37"/>
  <c r="Q47"/>
  <c r="Q26"/>
  <c r="U37"/>
  <c r="U47"/>
  <c r="U26"/>
  <c r="Y37"/>
  <c r="Y47"/>
  <c r="Y26"/>
  <c r="T54" i="29"/>
  <c r="T44"/>
  <c r="T38"/>
  <c r="G17" i="30"/>
  <c r="N17"/>
  <c r="Q17"/>
  <c r="H19"/>
  <c r="C19"/>
  <c r="T19"/>
  <c r="F21"/>
  <c r="V21"/>
  <c r="N21"/>
  <c r="M37"/>
  <c r="M47"/>
  <c r="M26"/>
  <c r="H37" i="31"/>
  <c r="H47"/>
  <c r="H26"/>
  <c r="P37"/>
  <c r="P47"/>
  <c r="P26"/>
  <c r="X37"/>
  <c r="X47"/>
  <c r="X26"/>
  <c r="AA32"/>
  <c r="AA28"/>
  <c r="I38"/>
  <c r="I54"/>
  <c r="I44"/>
  <c r="M54"/>
  <c r="M44"/>
  <c r="M38"/>
  <c r="Q38"/>
  <c r="Q54"/>
  <c r="Q44"/>
  <c r="F37" i="32"/>
  <c r="F47"/>
  <c r="F26"/>
  <c r="J37"/>
  <c r="J47"/>
  <c r="J26"/>
  <c r="N37"/>
  <c r="N47"/>
  <c r="N26"/>
  <c r="R37"/>
  <c r="R47"/>
  <c r="R26"/>
  <c r="V37"/>
  <c r="V47"/>
  <c r="V26"/>
  <c r="T38"/>
  <c r="T54"/>
  <c r="T44"/>
  <c r="F40"/>
  <c r="F54"/>
  <c r="F44"/>
  <c r="N40"/>
  <c r="N54"/>
  <c r="N44"/>
  <c r="V40"/>
  <c r="V54"/>
  <c r="V44"/>
  <c r="P17" i="33"/>
  <c r="S17"/>
  <c r="C12"/>
  <c r="M23"/>
  <c r="H17"/>
  <c r="X17"/>
  <c r="K17"/>
  <c r="T17"/>
  <c r="G17"/>
  <c r="W17"/>
  <c r="P19"/>
  <c r="C19"/>
  <c r="U19"/>
  <c r="H19"/>
  <c r="X19"/>
  <c r="M19"/>
  <c r="T19"/>
  <c r="I19"/>
  <c r="F21"/>
  <c r="V21"/>
  <c r="O21"/>
  <c r="N21"/>
  <c r="G21"/>
  <c r="W21"/>
  <c r="J21"/>
  <c r="S21"/>
  <c r="O38"/>
  <c r="O54"/>
  <c r="O44"/>
  <c r="S38"/>
  <c r="S54"/>
  <c r="S44"/>
  <c r="P41" i="25"/>
  <c r="P54"/>
  <c r="P44"/>
  <c r="Y34" i="13"/>
  <c r="AA27" i="25"/>
  <c r="AA31"/>
  <c r="AA30" i="31"/>
  <c r="P10" i="1"/>
  <c r="P17"/>
  <c r="C8" i="5"/>
  <c r="X17"/>
  <c r="P34"/>
  <c r="M34"/>
  <c r="R31" i="6"/>
  <c r="R39"/>
  <c r="R22"/>
  <c r="U42"/>
  <c r="U34"/>
  <c r="U27"/>
  <c r="U28"/>
  <c r="V10" i="7"/>
  <c r="V17"/>
  <c r="H43" i="10"/>
  <c r="H35"/>
  <c r="H27"/>
  <c r="N16" i="11"/>
  <c r="G16"/>
  <c r="Q16"/>
  <c r="O16"/>
  <c r="U16"/>
  <c r="P32"/>
  <c r="P44"/>
  <c r="T43" i="13"/>
  <c r="T44"/>
  <c r="T27"/>
  <c r="H22" i="14"/>
  <c r="H31"/>
  <c r="H39"/>
  <c r="L22"/>
  <c r="L31"/>
  <c r="L39"/>
  <c r="P43"/>
  <c r="P44"/>
  <c r="P27"/>
  <c r="S43"/>
  <c r="S44"/>
  <c r="S27"/>
  <c r="P24" i="15"/>
  <c r="P34"/>
  <c r="P43"/>
  <c r="R26" i="19"/>
  <c r="R37"/>
  <c r="R47"/>
  <c r="M20" i="23"/>
  <c r="J20"/>
  <c r="AA31"/>
  <c r="AA27"/>
  <c r="T54" i="24"/>
  <c r="T44"/>
  <c r="T38"/>
  <c r="Y17" i="25"/>
  <c r="Q17"/>
  <c r="V17"/>
  <c r="N17"/>
  <c r="R17"/>
  <c r="U19"/>
  <c r="M19"/>
  <c r="Q19"/>
  <c r="V19"/>
  <c r="H19"/>
  <c r="Y19"/>
  <c r="Y21"/>
  <c r="V21"/>
  <c r="Q21"/>
  <c r="R21"/>
  <c r="G21"/>
  <c r="P21"/>
  <c r="X21"/>
  <c r="L38"/>
  <c r="L54"/>
  <c r="L44"/>
  <c r="U54"/>
  <c r="U44"/>
  <c r="U38"/>
  <c r="N40"/>
  <c r="N54"/>
  <c r="N44"/>
  <c r="K41"/>
  <c r="K54"/>
  <c r="K44"/>
  <c r="X41"/>
  <c r="X54"/>
  <c r="X44"/>
  <c r="X18" i="26"/>
  <c r="I18"/>
  <c r="Q18"/>
  <c r="Y18"/>
  <c r="J18"/>
  <c r="R18"/>
  <c r="C18"/>
  <c r="M18"/>
  <c r="U18"/>
  <c r="F18"/>
  <c r="N18"/>
  <c r="V18"/>
  <c r="K18"/>
  <c r="S18"/>
  <c r="L18"/>
  <c r="T18"/>
  <c r="X20"/>
  <c r="V20"/>
  <c r="G20"/>
  <c r="O20"/>
  <c r="W20"/>
  <c r="L20"/>
  <c r="T20"/>
  <c r="K20"/>
  <c r="S20"/>
  <c r="H20"/>
  <c r="P20"/>
  <c r="I20"/>
  <c r="Q20"/>
  <c r="Y20"/>
  <c r="F20"/>
  <c r="N20"/>
  <c r="X22"/>
  <c r="H22"/>
  <c r="C22"/>
  <c r="M22"/>
  <c r="U22"/>
  <c r="F22"/>
  <c r="N22"/>
  <c r="V22"/>
  <c r="I22"/>
  <c r="Q22"/>
  <c r="Y22"/>
  <c r="J22"/>
  <c r="R22"/>
  <c r="G22"/>
  <c r="O22"/>
  <c r="W22"/>
  <c r="P22"/>
  <c r="W37"/>
  <c r="W47"/>
  <c r="W26"/>
  <c r="H42" i="34"/>
  <c r="H59"/>
  <c r="H48"/>
  <c r="V43"/>
  <c r="V59"/>
  <c r="V48"/>
  <c r="M43"/>
  <c r="M59"/>
  <c r="M48"/>
  <c r="L28" i="36"/>
  <c r="L40"/>
  <c r="L51"/>
  <c r="P28"/>
  <c r="P40"/>
  <c r="P51"/>
  <c r="T28"/>
  <c r="T40"/>
  <c r="T51"/>
  <c r="X24" i="34"/>
  <c r="I24"/>
  <c r="Y24"/>
  <c r="T24"/>
  <c r="Q24"/>
  <c r="L24"/>
  <c r="M24"/>
  <c r="H24"/>
  <c r="L20"/>
  <c r="Q20"/>
  <c r="T20"/>
  <c r="I20"/>
  <c r="P20"/>
  <c r="C20"/>
  <c r="U20"/>
  <c r="I44" i="9"/>
  <c r="X34" i="25"/>
  <c r="R19"/>
  <c r="T27" i="12"/>
  <c r="J31" i="13"/>
  <c r="J39"/>
  <c r="S26" i="26"/>
  <c r="C20"/>
  <c r="O18"/>
  <c r="C12"/>
  <c r="V23"/>
  <c r="J21" i="27"/>
  <c r="L19"/>
  <c r="V31" i="13"/>
  <c r="V39"/>
  <c r="AA24"/>
  <c r="K17" i="15"/>
  <c r="T17"/>
  <c r="Q27" i="14"/>
  <c r="G27"/>
  <c r="J16"/>
  <c r="Y16" i="11"/>
  <c r="L16" i="9"/>
  <c r="Q22" i="4"/>
  <c r="C15"/>
  <c r="O15"/>
  <c r="N15" i="1"/>
  <c r="F31" i="4"/>
  <c r="F39"/>
  <c r="H17" i="1"/>
  <c r="N27" i="7"/>
  <c r="T44" i="33"/>
  <c r="X44"/>
  <c r="R15" i="1"/>
  <c r="X15" i="4"/>
  <c r="K15"/>
  <c r="V15" i="1"/>
  <c r="K34" i="13"/>
  <c r="H22" i="6"/>
  <c r="X22" i="4"/>
  <c r="K17" i="1"/>
  <c r="K31" i="10"/>
  <c r="K39"/>
  <c r="K16" i="5"/>
  <c r="V16"/>
  <c r="Y15" i="6"/>
  <c r="F31" i="11"/>
  <c r="F39"/>
  <c r="T19" i="39"/>
  <c r="I31" i="7"/>
  <c r="I39"/>
  <c r="Q27" i="5"/>
  <c r="K27" i="1"/>
  <c r="K28"/>
  <c r="K16" i="7"/>
  <c r="L31" i="5"/>
  <c r="L39"/>
  <c r="U22" i="4"/>
  <c r="G31"/>
  <c r="G39"/>
  <c r="K31" i="6"/>
  <c r="K39"/>
  <c r="U16" i="9"/>
  <c r="T27" i="10"/>
  <c r="N27" i="12"/>
  <c r="K27"/>
  <c r="X16" i="14"/>
  <c r="P16"/>
  <c r="H16"/>
  <c r="H22" i="12"/>
  <c r="H31" i="11"/>
  <c r="H39"/>
  <c r="Q22" i="10"/>
  <c r="T16" i="11"/>
  <c r="R16"/>
  <c r="R27" i="10"/>
  <c r="R16" i="9"/>
  <c r="K16"/>
  <c r="C16" i="11"/>
  <c r="M10" i="1"/>
  <c r="X17" i="4"/>
  <c r="Y34" i="5"/>
  <c r="G34"/>
  <c r="J34"/>
  <c r="T18"/>
  <c r="O17" i="6"/>
  <c r="G34" i="9"/>
  <c r="O34"/>
  <c r="I10"/>
  <c r="G10" i="10"/>
  <c r="P10"/>
  <c r="W27"/>
  <c r="X27"/>
  <c r="O44" i="11"/>
  <c r="T44"/>
  <c r="V27"/>
  <c r="X34"/>
  <c r="R18" i="1"/>
  <c r="J44" i="5"/>
  <c r="G27" i="6"/>
  <c r="G28"/>
  <c r="U22" i="7"/>
  <c r="G27"/>
  <c r="R16"/>
  <c r="V17" i="6"/>
  <c r="T34" i="5"/>
  <c r="P15" i="10"/>
  <c r="F31" i="13"/>
  <c r="F39"/>
  <c r="L27" i="12"/>
  <c r="J27" i="10"/>
  <c r="M27" i="12"/>
  <c r="K22" i="9"/>
  <c r="Q31" i="11"/>
  <c r="Q39"/>
  <c r="X34" i="5"/>
  <c r="S16" i="14"/>
  <c r="K16"/>
  <c r="V16"/>
  <c r="N16"/>
  <c r="F16"/>
  <c r="Q27" i="10"/>
  <c r="W16" i="11"/>
  <c r="J16"/>
  <c r="F16" i="9"/>
  <c r="M16" i="11"/>
  <c r="K34" i="9"/>
  <c r="X27" i="7"/>
  <c r="X17" i="11"/>
  <c r="L17"/>
  <c r="G17"/>
  <c r="Q34" i="7"/>
  <c r="Q44"/>
  <c r="W44" i="10"/>
  <c r="R15" i="4"/>
  <c r="J15" i="1"/>
  <c r="L15" i="4"/>
  <c r="J27" i="5"/>
  <c r="Z26" i="4"/>
  <c r="AA26"/>
  <c r="Q15" i="1"/>
  <c r="Z25" i="4"/>
  <c r="AA25"/>
  <c r="W27"/>
  <c r="F17" i="1"/>
  <c r="S16" i="7"/>
  <c r="U16"/>
  <c r="H34" i="4"/>
  <c r="H27" i="6"/>
  <c r="H28"/>
  <c r="U15" i="1"/>
  <c r="N15" i="7"/>
  <c r="Q15"/>
  <c r="R17" i="6"/>
  <c r="J17" i="1"/>
  <c r="K22" i="4"/>
  <c r="S31" i="10"/>
  <c r="S39"/>
  <c r="H16" i="11"/>
  <c r="W22" i="9"/>
  <c r="Q22"/>
  <c r="Q44"/>
  <c r="Z26" i="11"/>
  <c r="AA26"/>
  <c r="Y15" i="4"/>
  <c r="N15" i="6"/>
  <c r="F27" i="12"/>
  <c r="T22"/>
  <c r="J22"/>
  <c r="I31" i="10"/>
  <c r="I39"/>
  <c r="I34" i="11"/>
  <c r="I16"/>
  <c r="S16"/>
  <c r="V16"/>
  <c r="F16"/>
  <c r="U27" i="10"/>
  <c r="G16" i="7"/>
  <c r="Q16" i="9"/>
  <c r="V16"/>
  <c r="Y16"/>
  <c r="X16" i="11"/>
  <c r="I27" i="10"/>
  <c r="W10" i="5"/>
  <c r="R44" i="1"/>
  <c r="R36"/>
  <c r="W15" i="4"/>
  <c r="O44" i="1"/>
  <c r="O36"/>
  <c r="Q15" i="4"/>
  <c r="M31" i="5"/>
  <c r="M39"/>
  <c r="C10" i="1"/>
  <c r="L19"/>
  <c r="F15" i="4"/>
  <c r="L17" i="1"/>
  <c r="I15"/>
  <c r="F27" i="5"/>
  <c r="T44"/>
  <c r="P16" i="7"/>
  <c r="X16"/>
  <c r="Q16"/>
  <c r="U17" i="6"/>
  <c r="V27" i="4"/>
  <c r="G17" i="1"/>
  <c r="G15"/>
  <c r="K15" i="7"/>
  <c r="X15"/>
  <c r="P15"/>
  <c r="M15" i="1"/>
  <c r="F22" i="6"/>
  <c r="Z9" i="10"/>
  <c r="N16" i="5"/>
  <c r="T34" i="11"/>
  <c r="P44" i="12"/>
  <c r="T15" i="6"/>
  <c r="N22" i="12"/>
  <c r="F22"/>
  <c r="U31" i="10"/>
  <c r="U39"/>
  <c r="L16" i="11"/>
  <c r="K16"/>
  <c r="Y31" i="7"/>
  <c r="Y39"/>
  <c r="S16" i="9"/>
  <c r="T16"/>
  <c r="L22" i="11"/>
  <c r="O31" i="9"/>
  <c r="O39"/>
  <c r="T10" i="13"/>
  <c r="Q37" i="34"/>
  <c r="O10" i="6"/>
  <c r="P27"/>
  <c r="P28"/>
  <c r="I15"/>
  <c r="V27" i="5"/>
  <c r="M15" i="6"/>
  <c r="J35" i="5"/>
  <c r="Q16"/>
  <c r="W15" i="7"/>
  <c r="I35" i="12"/>
  <c r="Q35"/>
  <c r="T35"/>
  <c r="K27" i="13"/>
  <c r="V37" i="15"/>
  <c r="F34" i="30"/>
  <c r="J34"/>
  <c r="N34"/>
  <c r="V34"/>
  <c r="Z33"/>
  <c r="AA33"/>
  <c r="V20" i="43"/>
  <c r="H27" i="5"/>
  <c r="S27" i="6"/>
  <c r="S28"/>
  <c r="R31" i="7"/>
  <c r="R39"/>
  <c r="V15" i="6"/>
  <c r="O15"/>
  <c r="R15"/>
  <c r="H15" i="4"/>
  <c r="I27" i="6"/>
  <c r="I28"/>
  <c r="S31" i="7"/>
  <c r="S39"/>
  <c r="Q27"/>
  <c r="P22" i="19"/>
  <c r="V37" i="39"/>
  <c r="C21" i="41"/>
  <c r="Y28" i="44"/>
  <c r="F16" i="5"/>
  <c r="G18" i="1"/>
  <c r="P15" i="4"/>
  <c r="W16" i="5"/>
  <c r="P22" i="6"/>
  <c r="I31" i="5"/>
  <c r="I39"/>
  <c r="M16"/>
  <c r="G27"/>
  <c r="Q27" i="6"/>
  <c r="Q28"/>
  <c r="AA23" i="14"/>
  <c r="Y59" i="34"/>
  <c r="Y48"/>
  <c r="U59"/>
  <c r="U48"/>
  <c r="Q59"/>
  <c r="Q48"/>
  <c r="L59"/>
  <c r="L48"/>
  <c r="J59"/>
  <c r="J48"/>
  <c r="T17" i="1"/>
  <c r="V17"/>
  <c r="L34" i="4"/>
  <c r="F34" i="5"/>
  <c r="AA24"/>
  <c r="Z8" i="6"/>
  <c r="H44"/>
  <c r="H36"/>
  <c r="V27"/>
  <c r="V28"/>
  <c r="G34" i="7"/>
  <c r="H27"/>
  <c r="I17"/>
  <c r="L17"/>
  <c r="M17"/>
  <c r="N17"/>
  <c r="P17"/>
  <c r="X17"/>
  <c r="Z8" i="9"/>
  <c r="Z9"/>
  <c r="AA23"/>
  <c r="F35" i="10"/>
  <c r="F10"/>
  <c r="K10"/>
  <c r="L35"/>
  <c r="N34"/>
  <c r="S10"/>
  <c r="AA23"/>
  <c r="Y10"/>
  <c r="R44" i="11"/>
  <c r="Z26" i="10"/>
  <c r="AA26"/>
  <c r="P27" i="12"/>
  <c r="G44" i="13"/>
  <c r="J34"/>
  <c r="X27"/>
  <c r="H35"/>
  <c r="V39" i="15"/>
  <c r="L34" i="19"/>
  <c r="T34"/>
  <c r="X34"/>
  <c r="Q34" i="27"/>
  <c r="AA28" i="19"/>
  <c r="AA32"/>
  <c r="X59" i="34"/>
  <c r="X48"/>
  <c r="T59"/>
  <c r="T48"/>
  <c r="R59"/>
  <c r="R48"/>
  <c r="C18" i="11"/>
  <c r="H18"/>
  <c r="M18"/>
  <c r="Y18"/>
  <c r="P32" i="1"/>
  <c r="P44"/>
  <c r="P36"/>
  <c r="L31" i="4"/>
  <c r="L39"/>
  <c r="L22"/>
  <c r="P16"/>
  <c r="K16"/>
  <c r="U16"/>
  <c r="I42"/>
  <c r="I44"/>
  <c r="I27"/>
  <c r="L32"/>
  <c r="L44"/>
  <c r="X32"/>
  <c r="X44"/>
  <c r="P32" i="5"/>
  <c r="P44"/>
  <c r="N42"/>
  <c r="N44"/>
  <c r="N27"/>
  <c r="G22" i="6"/>
  <c r="G31"/>
  <c r="G39"/>
  <c r="O31"/>
  <c r="O39"/>
  <c r="O22"/>
  <c r="F10"/>
  <c r="F18"/>
  <c r="Z9"/>
  <c r="J27"/>
  <c r="J28"/>
  <c r="J43"/>
  <c r="J35"/>
  <c r="V10"/>
  <c r="V18"/>
  <c r="O16"/>
  <c r="U16"/>
  <c r="F31" i="7"/>
  <c r="F39"/>
  <c r="F22"/>
  <c r="J31"/>
  <c r="J39"/>
  <c r="J22"/>
  <c r="G32"/>
  <c r="G44"/>
  <c r="J32"/>
  <c r="J44"/>
  <c r="Z25" i="6"/>
  <c r="AA25"/>
  <c r="Y27"/>
  <c r="Z27"/>
  <c r="AA27"/>
  <c r="F34" i="7"/>
  <c r="F44"/>
  <c r="K42"/>
  <c r="K27"/>
  <c r="M35"/>
  <c r="C44"/>
  <c r="Q35"/>
  <c r="H31" i="9"/>
  <c r="H39"/>
  <c r="H22"/>
  <c r="N31"/>
  <c r="N39"/>
  <c r="N22"/>
  <c r="X31"/>
  <c r="X39"/>
  <c r="X22"/>
  <c r="J32"/>
  <c r="J44"/>
  <c r="R32"/>
  <c r="R44"/>
  <c r="V32"/>
  <c r="V44"/>
  <c r="X32"/>
  <c r="X44"/>
  <c r="P10"/>
  <c r="P18"/>
  <c r="Q18"/>
  <c r="W18"/>
  <c r="Y18"/>
  <c r="I18"/>
  <c r="M18"/>
  <c r="O18"/>
  <c r="G15"/>
  <c r="L15"/>
  <c r="V15"/>
  <c r="O15"/>
  <c r="M15"/>
  <c r="H15"/>
  <c r="S15"/>
  <c r="Y15"/>
  <c r="S15" i="10"/>
  <c r="R15"/>
  <c r="I15"/>
  <c r="N16"/>
  <c r="R16"/>
  <c r="U16"/>
  <c r="F31"/>
  <c r="F39"/>
  <c r="F22"/>
  <c r="H31"/>
  <c r="H39"/>
  <c r="H22"/>
  <c r="R31"/>
  <c r="R39"/>
  <c r="R22"/>
  <c r="Q32"/>
  <c r="Q44"/>
  <c r="J33"/>
  <c r="J44"/>
  <c r="T33"/>
  <c r="T44"/>
  <c r="X33"/>
  <c r="X44"/>
  <c r="H10"/>
  <c r="Z8"/>
  <c r="V43"/>
  <c r="V27"/>
  <c r="R15" i="11"/>
  <c r="P15"/>
  <c r="V15"/>
  <c r="Y15"/>
  <c r="I15"/>
  <c r="K15"/>
  <c r="G31"/>
  <c r="G39"/>
  <c r="G22"/>
  <c r="I32"/>
  <c r="I44"/>
  <c r="K32"/>
  <c r="K44"/>
  <c r="M32"/>
  <c r="M44"/>
  <c r="F42"/>
  <c r="F44"/>
  <c r="F27"/>
  <c r="L15" i="12"/>
  <c r="O15"/>
  <c r="T15"/>
  <c r="G15"/>
  <c r="R16"/>
  <c r="M16"/>
  <c r="Q16"/>
  <c r="F16"/>
  <c r="V16"/>
  <c r="H16"/>
  <c r="O16"/>
  <c r="Q22"/>
  <c r="Q31"/>
  <c r="Q39"/>
  <c r="G33"/>
  <c r="K33"/>
  <c r="K44"/>
  <c r="O33"/>
  <c r="S33"/>
  <c r="G42"/>
  <c r="G34"/>
  <c r="G27"/>
  <c r="S42"/>
  <c r="S44"/>
  <c r="S27"/>
  <c r="X42"/>
  <c r="X34"/>
  <c r="X27"/>
  <c r="S31" i="13"/>
  <c r="S39"/>
  <c r="S22"/>
  <c r="W31"/>
  <c r="W39"/>
  <c r="W22"/>
  <c r="Y32"/>
  <c r="Y44"/>
  <c r="Y43" i="12"/>
  <c r="Y35"/>
  <c r="Y27"/>
  <c r="L42" i="13"/>
  <c r="L27"/>
  <c r="R42"/>
  <c r="R34"/>
  <c r="R27"/>
  <c r="S43"/>
  <c r="S35"/>
  <c r="S27"/>
  <c r="R16"/>
  <c r="K16"/>
  <c r="F16"/>
  <c r="P16"/>
  <c r="R15" i="14"/>
  <c r="J15"/>
  <c r="Y15"/>
  <c r="Q15"/>
  <c r="I15"/>
  <c r="K31"/>
  <c r="K39"/>
  <c r="K22"/>
  <c r="O31"/>
  <c r="O39"/>
  <c r="O22"/>
  <c r="S31"/>
  <c r="S39"/>
  <c r="S22"/>
  <c r="H32"/>
  <c r="L32"/>
  <c r="L44"/>
  <c r="N32"/>
  <c r="N44"/>
  <c r="P32"/>
  <c r="Y33"/>
  <c r="Y44"/>
  <c r="Z9"/>
  <c r="H42"/>
  <c r="H34"/>
  <c r="H27"/>
  <c r="C9"/>
  <c r="F18"/>
  <c r="Z26"/>
  <c r="AA26"/>
  <c r="Q35"/>
  <c r="G16" i="15"/>
  <c r="O16"/>
  <c r="W16"/>
  <c r="H16"/>
  <c r="P16"/>
  <c r="K16"/>
  <c r="L16"/>
  <c r="G34"/>
  <c r="G43"/>
  <c r="G24"/>
  <c r="I34"/>
  <c r="I43"/>
  <c r="I24"/>
  <c r="M34"/>
  <c r="M43"/>
  <c r="M24"/>
  <c r="O34"/>
  <c r="O43"/>
  <c r="O24"/>
  <c r="Q34"/>
  <c r="Q43"/>
  <c r="Q24"/>
  <c r="U34"/>
  <c r="U43"/>
  <c r="U24"/>
  <c r="W34"/>
  <c r="W43"/>
  <c r="W24"/>
  <c r="Y34"/>
  <c r="Y43"/>
  <c r="Y24"/>
  <c r="P35"/>
  <c r="P49"/>
  <c r="S38"/>
  <c r="Y38"/>
  <c r="M38"/>
  <c r="O38"/>
  <c r="M37"/>
  <c r="G38"/>
  <c r="W38"/>
  <c r="W37"/>
  <c r="T41" i="14"/>
  <c r="T33"/>
  <c r="T27"/>
  <c r="F26" i="19"/>
  <c r="F37"/>
  <c r="F47"/>
  <c r="N26"/>
  <c r="N37"/>
  <c r="N47"/>
  <c r="V26"/>
  <c r="V37"/>
  <c r="V47"/>
  <c r="M38"/>
  <c r="M54"/>
  <c r="M44"/>
  <c r="S38"/>
  <c r="S54"/>
  <c r="S44"/>
  <c r="U38"/>
  <c r="U54"/>
  <c r="U44"/>
  <c r="J39"/>
  <c r="J54"/>
  <c r="J44"/>
  <c r="P19"/>
  <c r="W19"/>
  <c r="G19"/>
  <c r="N21"/>
  <c r="Q21"/>
  <c r="F21"/>
  <c r="I21"/>
  <c r="G18" i="23"/>
  <c r="O18"/>
  <c r="W18"/>
  <c r="H18"/>
  <c r="P18"/>
  <c r="K18"/>
  <c r="C12"/>
  <c r="U23"/>
  <c r="T18"/>
  <c r="I20"/>
  <c r="Q20"/>
  <c r="Y20"/>
  <c r="F20"/>
  <c r="N20"/>
  <c r="V20"/>
  <c r="C20"/>
  <c r="U20"/>
  <c r="R20"/>
  <c r="K22"/>
  <c r="S22"/>
  <c r="L22"/>
  <c r="T22"/>
  <c r="O22"/>
  <c r="P22"/>
  <c r="F37"/>
  <c r="F47"/>
  <c r="F26"/>
  <c r="J37"/>
  <c r="J47"/>
  <c r="J26"/>
  <c r="N37"/>
  <c r="N47"/>
  <c r="N26"/>
  <c r="V37"/>
  <c r="V47"/>
  <c r="V26"/>
  <c r="AA28"/>
  <c r="AA30"/>
  <c r="E44"/>
  <c r="L34"/>
  <c r="Y34"/>
  <c r="L17" i="24"/>
  <c r="C17"/>
  <c r="M17"/>
  <c r="U17"/>
  <c r="C12"/>
  <c r="Q23"/>
  <c r="I17"/>
  <c r="G18"/>
  <c r="W18"/>
  <c r="J18"/>
  <c r="R18"/>
  <c r="O18"/>
  <c r="F18"/>
  <c r="V18"/>
  <c r="R19"/>
  <c r="G19"/>
  <c r="O19"/>
  <c r="W19"/>
  <c r="S19"/>
  <c r="M20"/>
  <c r="U20"/>
  <c r="L20"/>
  <c r="T20"/>
  <c r="C20"/>
  <c r="Y20"/>
  <c r="P20"/>
  <c r="H21"/>
  <c r="P21"/>
  <c r="X21"/>
  <c r="I21"/>
  <c r="Q21"/>
  <c r="T21"/>
  <c r="M21"/>
  <c r="K22"/>
  <c r="S22"/>
  <c r="F22"/>
  <c r="N22"/>
  <c r="V22"/>
  <c r="O22"/>
  <c r="J22"/>
  <c r="I37"/>
  <c r="I47"/>
  <c r="I26"/>
  <c r="M37"/>
  <c r="M47"/>
  <c r="M26"/>
  <c r="U37"/>
  <c r="U47"/>
  <c r="U26"/>
  <c r="Y37"/>
  <c r="Y47"/>
  <c r="Y26"/>
  <c r="Z33"/>
  <c r="AA33"/>
  <c r="Y34"/>
  <c r="E44"/>
  <c r="M34"/>
  <c r="G17" i="25"/>
  <c r="O17"/>
  <c r="J17"/>
  <c r="K17"/>
  <c r="F17"/>
  <c r="S17"/>
  <c r="W17"/>
  <c r="P17"/>
  <c r="T17"/>
  <c r="X17"/>
  <c r="J18"/>
  <c r="I18"/>
  <c r="N18"/>
  <c r="M18"/>
  <c r="R18"/>
  <c r="V18"/>
  <c r="Q18"/>
  <c r="U18"/>
  <c r="Y18"/>
  <c r="I19"/>
  <c r="C19"/>
  <c r="L19"/>
  <c r="S19"/>
  <c r="W19"/>
  <c r="P19"/>
  <c r="T19"/>
  <c r="X19"/>
  <c r="C20"/>
  <c r="L20"/>
  <c r="K20"/>
  <c r="H20"/>
  <c r="G20"/>
  <c r="R20"/>
  <c r="V20"/>
  <c r="Q20"/>
  <c r="U20"/>
  <c r="Y20"/>
  <c r="K21"/>
  <c r="F21"/>
  <c r="N21"/>
  <c r="O21"/>
  <c r="J21"/>
  <c r="S21"/>
  <c r="W21"/>
  <c r="F22"/>
  <c r="N22"/>
  <c r="M22"/>
  <c r="G37"/>
  <c r="G47"/>
  <c r="G26"/>
  <c r="K37"/>
  <c r="K47"/>
  <c r="K26"/>
  <c r="S37"/>
  <c r="S47"/>
  <c r="S26"/>
  <c r="W37"/>
  <c r="W47"/>
  <c r="W26"/>
  <c r="V38"/>
  <c r="V54"/>
  <c r="V44"/>
  <c r="F37" i="26"/>
  <c r="F47"/>
  <c r="F26"/>
  <c r="N37"/>
  <c r="N47"/>
  <c r="N26"/>
  <c r="R37"/>
  <c r="R47"/>
  <c r="R26"/>
  <c r="V37"/>
  <c r="V47"/>
  <c r="V26"/>
  <c r="G38"/>
  <c r="G54"/>
  <c r="G44"/>
  <c r="F37" i="27"/>
  <c r="F47"/>
  <c r="F26"/>
  <c r="J37"/>
  <c r="J47"/>
  <c r="J26"/>
  <c r="R37"/>
  <c r="R47"/>
  <c r="R26"/>
  <c r="V37"/>
  <c r="V47"/>
  <c r="V26"/>
  <c r="F37" i="28"/>
  <c r="F47"/>
  <c r="F26"/>
  <c r="N37"/>
  <c r="N47"/>
  <c r="N26"/>
  <c r="V37"/>
  <c r="V47"/>
  <c r="V26"/>
  <c r="Y38"/>
  <c r="Y54"/>
  <c r="Y44"/>
  <c r="H37" i="29"/>
  <c r="H47"/>
  <c r="H26"/>
  <c r="P37"/>
  <c r="P47"/>
  <c r="P26"/>
  <c r="X37"/>
  <c r="X47"/>
  <c r="X26"/>
  <c r="E44"/>
  <c r="G34"/>
  <c r="Z33"/>
  <c r="AA33"/>
  <c r="O17" i="30"/>
  <c r="I17"/>
  <c r="Y17"/>
  <c r="J17"/>
  <c r="R17"/>
  <c r="W17"/>
  <c r="F17"/>
  <c r="V17"/>
  <c r="F18"/>
  <c r="V18"/>
  <c r="T18"/>
  <c r="G18"/>
  <c r="O18"/>
  <c r="W18"/>
  <c r="L18"/>
  <c r="S18"/>
  <c r="S19"/>
  <c r="M19"/>
  <c r="L19"/>
  <c r="K19"/>
  <c r="U19"/>
  <c r="P19"/>
  <c r="F20"/>
  <c r="V20"/>
  <c r="C20"/>
  <c r="M20"/>
  <c r="U20"/>
  <c r="P20"/>
  <c r="T20"/>
  <c r="I21"/>
  <c r="Y21"/>
  <c r="K21"/>
  <c r="Q21"/>
  <c r="S21"/>
  <c r="J21"/>
  <c r="R21"/>
  <c r="P22"/>
  <c r="H22"/>
  <c r="G22"/>
  <c r="O22"/>
  <c r="W22"/>
  <c r="Y22"/>
  <c r="F22"/>
  <c r="O26"/>
  <c r="O37"/>
  <c r="O47"/>
  <c r="U37"/>
  <c r="U47"/>
  <c r="U26"/>
  <c r="J38"/>
  <c r="J54"/>
  <c r="J44"/>
  <c r="N38"/>
  <c r="N54"/>
  <c r="N44"/>
  <c r="M34"/>
  <c r="U34"/>
  <c r="Q34"/>
  <c r="L17" i="31"/>
  <c r="T17"/>
  <c r="P17"/>
  <c r="O17"/>
  <c r="X17"/>
  <c r="W17"/>
  <c r="I17"/>
  <c r="Y17"/>
  <c r="M17"/>
  <c r="I18"/>
  <c r="Q18"/>
  <c r="M18"/>
  <c r="N18"/>
  <c r="P18"/>
  <c r="G19"/>
  <c r="F19"/>
  <c r="V19"/>
  <c r="W19"/>
  <c r="N19"/>
  <c r="P19"/>
  <c r="H19"/>
  <c r="S19"/>
  <c r="Y19"/>
  <c r="I19"/>
  <c r="L20"/>
  <c r="F20"/>
  <c r="V20"/>
  <c r="K20"/>
  <c r="S20"/>
  <c r="N20"/>
  <c r="O20"/>
  <c r="H21"/>
  <c r="P21"/>
  <c r="L21"/>
  <c r="M21"/>
  <c r="S21"/>
  <c r="O21"/>
  <c r="C22"/>
  <c r="M22"/>
  <c r="U22"/>
  <c r="I22"/>
  <c r="X22"/>
  <c r="H22"/>
  <c r="V22"/>
  <c r="J22"/>
  <c r="I37"/>
  <c r="I47"/>
  <c r="I26"/>
  <c r="O26"/>
  <c r="O37"/>
  <c r="O47"/>
  <c r="Q37"/>
  <c r="Q47"/>
  <c r="Q26"/>
  <c r="Y37"/>
  <c r="Y47"/>
  <c r="Y26"/>
  <c r="H38"/>
  <c r="H54"/>
  <c r="H44"/>
  <c r="P38"/>
  <c r="P54"/>
  <c r="P44"/>
  <c r="T38"/>
  <c r="T54"/>
  <c r="T44"/>
  <c r="X38"/>
  <c r="X54"/>
  <c r="X44"/>
  <c r="C12" i="32"/>
  <c r="H23"/>
  <c r="L17"/>
  <c r="T17"/>
  <c r="C17"/>
  <c r="M17"/>
  <c r="U17"/>
  <c r="H17"/>
  <c r="X17"/>
  <c r="I17"/>
  <c r="G18"/>
  <c r="O18"/>
  <c r="W18"/>
  <c r="J18"/>
  <c r="R18"/>
  <c r="S18"/>
  <c r="F18"/>
  <c r="V18"/>
  <c r="J19"/>
  <c r="R19"/>
  <c r="G19"/>
  <c r="O19"/>
  <c r="W19"/>
  <c r="N19"/>
  <c r="S19"/>
  <c r="C20"/>
  <c r="M20"/>
  <c r="U20"/>
  <c r="L20"/>
  <c r="T20"/>
  <c r="I20"/>
  <c r="Y20"/>
  <c r="P20"/>
  <c r="H21"/>
  <c r="P21"/>
  <c r="X21"/>
  <c r="I21"/>
  <c r="Q21"/>
  <c r="T21"/>
  <c r="M21"/>
  <c r="K22"/>
  <c r="S22"/>
  <c r="F22"/>
  <c r="N22"/>
  <c r="V22"/>
  <c r="O22"/>
  <c r="J22"/>
  <c r="I37"/>
  <c r="I47"/>
  <c r="I26"/>
  <c r="M37"/>
  <c r="M47"/>
  <c r="M26"/>
  <c r="U37"/>
  <c r="U47"/>
  <c r="U26"/>
  <c r="Y37"/>
  <c r="Y47"/>
  <c r="Y26"/>
  <c r="G38"/>
  <c r="G54"/>
  <c r="G44"/>
  <c r="H39"/>
  <c r="H54"/>
  <c r="H44"/>
  <c r="L39"/>
  <c r="L54"/>
  <c r="L44"/>
  <c r="F37" i="33"/>
  <c r="F47"/>
  <c r="F26"/>
  <c r="H37"/>
  <c r="H47"/>
  <c r="H26"/>
  <c r="L37"/>
  <c r="L47"/>
  <c r="L26"/>
  <c r="N37"/>
  <c r="N47"/>
  <c r="N26"/>
  <c r="P37"/>
  <c r="P47"/>
  <c r="P26"/>
  <c r="T37"/>
  <c r="T47"/>
  <c r="T26"/>
  <c r="V37"/>
  <c r="V47"/>
  <c r="V26"/>
  <c r="X37"/>
  <c r="X47"/>
  <c r="X26"/>
  <c r="L38"/>
  <c r="L54"/>
  <c r="L44"/>
  <c r="P38"/>
  <c r="P54"/>
  <c r="P44"/>
  <c r="R38"/>
  <c r="R54"/>
  <c r="R44"/>
  <c r="I40" i="34"/>
  <c r="I51"/>
  <c r="I28"/>
  <c r="M40"/>
  <c r="M51"/>
  <c r="M28"/>
  <c r="Q40"/>
  <c r="Q51"/>
  <c r="Q28"/>
  <c r="U40"/>
  <c r="U51"/>
  <c r="U28"/>
  <c r="Y40"/>
  <c r="Y51"/>
  <c r="Y28"/>
  <c r="F41"/>
  <c r="F59"/>
  <c r="F48"/>
  <c r="S41"/>
  <c r="S59"/>
  <c r="S48"/>
  <c r="P43"/>
  <c r="P59"/>
  <c r="P48"/>
  <c r="K43"/>
  <c r="K59"/>
  <c r="K48"/>
  <c r="F28" i="36"/>
  <c r="F40"/>
  <c r="F51"/>
  <c r="J28"/>
  <c r="J40"/>
  <c r="J51"/>
  <c r="N28"/>
  <c r="N40"/>
  <c r="N51"/>
  <c r="R28"/>
  <c r="R40"/>
  <c r="R51"/>
  <c r="V28"/>
  <c r="V40"/>
  <c r="V51"/>
  <c r="G24" i="34"/>
  <c r="K24"/>
  <c r="O24"/>
  <c r="S24"/>
  <c r="W24"/>
  <c r="F24"/>
  <c r="J24"/>
  <c r="N24"/>
  <c r="R24"/>
  <c r="V24"/>
  <c r="X22"/>
  <c r="C22"/>
  <c r="I22"/>
  <c r="M22"/>
  <c r="Q22"/>
  <c r="U22"/>
  <c r="Y22"/>
  <c r="H22"/>
  <c r="L22"/>
  <c r="P22"/>
  <c r="T22"/>
  <c r="Y20"/>
  <c r="F20"/>
  <c r="J20"/>
  <c r="N20"/>
  <c r="R20"/>
  <c r="V20"/>
  <c r="G20"/>
  <c r="K20"/>
  <c r="O20"/>
  <c r="S20"/>
  <c r="W20"/>
  <c r="Y18"/>
  <c r="H18"/>
  <c r="L18"/>
  <c r="P18"/>
  <c r="T18"/>
  <c r="X18"/>
  <c r="C18"/>
  <c r="I18"/>
  <c r="M18"/>
  <c r="Q18"/>
  <c r="U18"/>
  <c r="H27" i="4"/>
  <c r="L27" i="6"/>
  <c r="L28"/>
  <c r="Q10"/>
  <c r="R10"/>
  <c r="Z26" i="9"/>
  <c r="AA26"/>
  <c r="U10" i="10"/>
  <c r="AA23" i="12"/>
  <c r="M27" i="13"/>
  <c r="AA25" i="15"/>
  <c r="U24" i="38"/>
  <c r="M24"/>
  <c r="Y21" i="39"/>
  <c r="Q21"/>
  <c r="O23" i="43"/>
  <c r="S23"/>
  <c r="X21"/>
  <c r="R21"/>
  <c r="O37" i="44"/>
  <c r="W37"/>
  <c r="G16" i="1"/>
  <c r="U23" i="40"/>
  <c r="F23"/>
  <c r="X23" i="41"/>
  <c r="F23"/>
  <c r="W19"/>
  <c r="M19"/>
  <c r="O44" i="31"/>
  <c r="W17" i="11"/>
  <c r="K37" i="15"/>
  <c r="AA26"/>
  <c r="K37" i="44"/>
  <c r="I21" i="39"/>
  <c r="F37"/>
  <c r="C19" i="41"/>
  <c r="U19"/>
  <c r="T21"/>
  <c r="N23"/>
  <c r="J19" i="42"/>
  <c r="J23"/>
  <c r="K19" i="43"/>
  <c r="J21"/>
  <c r="S37" i="44"/>
  <c r="M20" i="39"/>
  <c r="R19" i="42"/>
  <c r="M21"/>
  <c r="R23"/>
  <c r="H37" i="36"/>
  <c r="I34" i="33"/>
  <c r="I44"/>
  <c r="Q44"/>
  <c r="Z13" i="24"/>
  <c r="R54" i="25"/>
  <c r="R44"/>
  <c r="Z13" i="28"/>
  <c r="C22" i="39"/>
  <c r="M24"/>
  <c r="I19" i="41"/>
  <c r="Q19"/>
  <c r="Y19"/>
  <c r="M21"/>
  <c r="U21"/>
  <c r="J23"/>
  <c r="R23"/>
  <c r="F19" i="42"/>
  <c r="N19"/>
  <c r="C21"/>
  <c r="F23"/>
  <c r="N23"/>
  <c r="F21" i="43"/>
  <c r="N21"/>
  <c r="V21"/>
  <c r="U34" i="7"/>
  <c r="L34" i="9"/>
  <c r="T34"/>
  <c r="X34"/>
  <c r="I34" i="10"/>
  <c r="G35"/>
  <c r="K35"/>
  <c r="P34"/>
  <c r="L34" i="11"/>
  <c r="N34"/>
  <c r="P34"/>
  <c r="R34"/>
  <c r="K35"/>
  <c r="M35"/>
  <c r="O35"/>
  <c r="Q35"/>
  <c r="S34"/>
  <c r="H34"/>
  <c r="AA24" i="12"/>
  <c r="Z8"/>
  <c r="K34" i="14"/>
  <c r="O34"/>
  <c r="H28" i="42"/>
  <c r="R49" i="15"/>
  <c r="J49"/>
  <c r="J34" i="19"/>
  <c r="N34"/>
  <c r="R34"/>
  <c r="V34"/>
  <c r="AA24" i="14"/>
  <c r="E11" i="15"/>
  <c r="F16"/>
  <c r="Z8"/>
  <c r="AA28"/>
  <c r="P54" i="32"/>
  <c r="P44"/>
  <c r="X54"/>
  <c r="X44"/>
  <c r="Z13" i="27"/>
  <c r="Z8" i="5"/>
  <c r="P18" i="6"/>
  <c r="Z25" i="11"/>
  <c r="AA25"/>
  <c r="J37" i="36"/>
  <c r="V37" i="42"/>
  <c r="W23" i="40"/>
  <c r="V23"/>
  <c r="R23"/>
  <c r="P23"/>
  <c r="L23"/>
  <c r="H23"/>
  <c r="C23"/>
  <c r="X23"/>
  <c r="Q23"/>
  <c r="J23"/>
  <c r="X21"/>
  <c r="V21"/>
  <c r="Q21"/>
  <c r="J21"/>
  <c r="F21"/>
  <c r="Y21"/>
  <c r="N21"/>
  <c r="Y19"/>
  <c r="W19"/>
  <c r="S19"/>
  <c r="P19"/>
  <c r="L19"/>
  <c r="H19"/>
  <c r="F19"/>
  <c r="X19"/>
  <c r="R19"/>
  <c r="K19"/>
  <c r="M24" i="41"/>
  <c r="Y24"/>
  <c r="R20"/>
  <c r="J20"/>
  <c r="C18"/>
  <c r="M18"/>
  <c r="J40" i="43"/>
  <c r="J51"/>
  <c r="J28"/>
  <c r="N40"/>
  <c r="N51"/>
  <c r="N28"/>
  <c r="T24"/>
  <c r="L24"/>
  <c r="P24"/>
  <c r="V22"/>
  <c r="R22"/>
  <c r="N22"/>
  <c r="J22"/>
  <c r="F22"/>
  <c r="T22"/>
  <c r="L22"/>
  <c r="X20"/>
  <c r="T20"/>
  <c r="P20"/>
  <c r="L20"/>
  <c r="H20"/>
  <c r="R20"/>
  <c r="J20"/>
  <c r="V18"/>
  <c r="R18"/>
  <c r="N18"/>
  <c r="J18"/>
  <c r="F18"/>
  <c r="T18"/>
  <c r="L18"/>
  <c r="I40" i="44"/>
  <c r="I51"/>
  <c r="I28"/>
  <c r="Y24"/>
  <c r="U24"/>
  <c r="Q24"/>
  <c r="M24"/>
  <c r="I24"/>
  <c r="C24"/>
  <c r="S24"/>
  <c r="K24"/>
  <c r="V23"/>
  <c r="R23"/>
  <c r="N23"/>
  <c r="J23"/>
  <c r="F23"/>
  <c r="X23"/>
  <c r="P23"/>
  <c r="H23"/>
  <c r="W22"/>
  <c r="S22"/>
  <c r="O22"/>
  <c r="K22"/>
  <c r="G22"/>
  <c r="U22"/>
  <c r="M22"/>
  <c r="C22"/>
  <c r="X21"/>
  <c r="T21"/>
  <c r="P21"/>
  <c r="L21"/>
  <c r="H21"/>
  <c r="R21"/>
  <c r="J21"/>
  <c r="Y20"/>
  <c r="U20"/>
  <c r="Q20"/>
  <c r="M20"/>
  <c r="I20"/>
  <c r="C20"/>
  <c r="W20"/>
  <c r="O20"/>
  <c r="G20"/>
  <c r="V19"/>
  <c r="R19"/>
  <c r="N19"/>
  <c r="J19"/>
  <c r="F19"/>
  <c r="T19"/>
  <c r="L19"/>
  <c r="W18"/>
  <c r="S18"/>
  <c r="O18"/>
  <c r="K18"/>
  <c r="G18"/>
  <c r="Y18"/>
  <c r="Q18"/>
  <c r="I18"/>
  <c r="H24" i="15"/>
  <c r="H34"/>
  <c r="H43"/>
  <c r="J24"/>
  <c r="J34"/>
  <c r="J43"/>
  <c r="L24"/>
  <c r="L34"/>
  <c r="L43"/>
  <c r="R24"/>
  <c r="R34"/>
  <c r="R43"/>
  <c r="T24"/>
  <c r="T34"/>
  <c r="T43"/>
  <c r="V24"/>
  <c r="V34"/>
  <c r="V43"/>
  <c r="K35"/>
  <c r="K49"/>
  <c r="M35"/>
  <c r="M49"/>
  <c r="O35"/>
  <c r="O49"/>
  <c r="Q35"/>
  <c r="Q49"/>
  <c r="S35"/>
  <c r="S49"/>
  <c r="U35"/>
  <c r="U49"/>
  <c r="C8"/>
  <c r="K38"/>
  <c r="T37"/>
  <c r="X37"/>
  <c r="U38"/>
  <c r="I38"/>
  <c r="Z8" i="14"/>
  <c r="T38" i="15"/>
  <c r="T49"/>
  <c r="I38" i="19"/>
  <c r="I54"/>
  <c r="I44"/>
  <c r="K38"/>
  <c r="K54"/>
  <c r="K44"/>
  <c r="O38"/>
  <c r="O54"/>
  <c r="O44"/>
  <c r="Q38"/>
  <c r="Q54"/>
  <c r="Q44"/>
  <c r="W38"/>
  <c r="W54"/>
  <c r="W44"/>
  <c r="Y38"/>
  <c r="Y54"/>
  <c r="Y44"/>
  <c r="X42" i="14"/>
  <c r="X44"/>
  <c r="X27"/>
  <c r="I48" i="15"/>
  <c r="I49"/>
  <c r="I30"/>
  <c r="F39" i="19"/>
  <c r="F54"/>
  <c r="F44"/>
  <c r="H39"/>
  <c r="H54"/>
  <c r="H44"/>
  <c r="P39"/>
  <c r="P54"/>
  <c r="P44"/>
  <c r="C19"/>
  <c r="T19"/>
  <c r="L19"/>
  <c r="S19"/>
  <c r="K19"/>
  <c r="L21"/>
  <c r="R21"/>
  <c r="J21"/>
  <c r="U21"/>
  <c r="M21"/>
  <c r="C21"/>
  <c r="X18" i="23"/>
  <c r="C18"/>
  <c r="I18"/>
  <c r="M18"/>
  <c r="Q18"/>
  <c r="U18"/>
  <c r="Y18"/>
  <c r="F18"/>
  <c r="J18"/>
  <c r="N18"/>
  <c r="R18"/>
  <c r="V18"/>
  <c r="X20"/>
  <c r="G20"/>
  <c r="K20"/>
  <c r="O20"/>
  <c r="S20"/>
  <c r="W20"/>
  <c r="H20"/>
  <c r="L20"/>
  <c r="P20"/>
  <c r="T20"/>
  <c r="X22"/>
  <c r="C22"/>
  <c r="I22"/>
  <c r="M22"/>
  <c r="Q22"/>
  <c r="U22"/>
  <c r="Y22"/>
  <c r="F22"/>
  <c r="J22"/>
  <c r="N22"/>
  <c r="R22"/>
  <c r="V22"/>
  <c r="H37"/>
  <c r="H47"/>
  <c r="H26"/>
  <c r="L37"/>
  <c r="L47"/>
  <c r="L26"/>
  <c r="P37"/>
  <c r="P47"/>
  <c r="P26"/>
  <c r="T37"/>
  <c r="T47"/>
  <c r="T26"/>
  <c r="X37"/>
  <c r="X47"/>
  <c r="X26"/>
  <c r="H17" i="24"/>
  <c r="P17"/>
  <c r="X17"/>
  <c r="G17"/>
  <c r="K17"/>
  <c r="O17"/>
  <c r="S17"/>
  <c r="W17"/>
  <c r="K18"/>
  <c r="S18"/>
  <c r="H18"/>
  <c r="L18"/>
  <c r="P18"/>
  <c r="T18"/>
  <c r="F19"/>
  <c r="N19"/>
  <c r="V19"/>
  <c r="C19"/>
  <c r="I19"/>
  <c r="M19"/>
  <c r="Q19"/>
  <c r="U19"/>
  <c r="I20"/>
  <c r="O20"/>
  <c r="S20"/>
  <c r="W20"/>
  <c r="F20"/>
  <c r="J20"/>
  <c r="N20"/>
  <c r="R20"/>
  <c r="V20"/>
  <c r="Y21"/>
  <c r="F21"/>
  <c r="J21"/>
  <c r="N21"/>
  <c r="R21"/>
  <c r="V21"/>
  <c r="G21"/>
  <c r="K21"/>
  <c r="O21"/>
  <c r="S21"/>
  <c r="W21"/>
  <c r="X22"/>
  <c r="C22"/>
  <c r="I22"/>
  <c r="M22"/>
  <c r="Q22"/>
  <c r="U22"/>
  <c r="Y22"/>
  <c r="H22"/>
  <c r="L22"/>
  <c r="P22"/>
  <c r="T22"/>
  <c r="G37"/>
  <c r="G47"/>
  <c r="G26"/>
  <c r="K37"/>
  <c r="K47"/>
  <c r="K26"/>
  <c r="O37"/>
  <c r="O47"/>
  <c r="O26"/>
  <c r="S37"/>
  <c r="S47"/>
  <c r="S26"/>
  <c r="W37"/>
  <c r="W47"/>
  <c r="W26"/>
  <c r="C12" i="25"/>
  <c r="X23"/>
  <c r="I17"/>
  <c r="M17"/>
  <c r="C17"/>
  <c r="H17"/>
  <c r="L17"/>
  <c r="C18"/>
  <c r="H18"/>
  <c r="L18"/>
  <c r="G18"/>
  <c r="K18"/>
  <c r="O18"/>
  <c r="G19"/>
  <c r="K19"/>
  <c r="O19"/>
  <c r="F19"/>
  <c r="J19"/>
  <c r="N19"/>
  <c r="F20"/>
  <c r="J20"/>
  <c r="N20"/>
  <c r="I20"/>
  <c r="M20"/>
  <c r="I21"/>
  <c r="M21"/>
  <c r="C21"/>
  <c r="H21"/>
  <c r="L21"/>
  <c r="C22"/>
  <c r="H22"/>
  <c r="L22"/>
  <c r="G22"/>
  <c r="K22"/>
  <c r="O22"/>
  <c r="I37"/>
  <c r="I47"/>
  <c r="I26"/>
  <c r="M37"/>
  <c r="M47"/>
  <c r="M26"/>
  <c r="Q37"/>
  <c r="Q47"/>
  <c r="Q26"/>
  <c r="U37"/>
  <c r="U47"/>
  <c r="U26"/>
  <c r="Y37"/>
  <c r="Y47"/>
  <c r="Y26"/>
  <c r="H37" i="26"/>
  <c r="H47"/>
  <c r="H26"/>
  <c r="L37"/>
  <c r="L47"/>
  <c r="L26"/>
  <c r="P37"/>
  <c r="P47"/>
  <c r="P26"/>
  <c r="T37"/>
  <c r="T47"/>
  <c r="T26"/>
  <c r="X37"/>
  <c r="X47"/>
  <c r="X26"/>
  <c r="H37" i="27"/>
  <c r="H47"/>
  <c r="H26"/>
  <c r="L37"/>
  <c r="L47"/>
  <c r="L26"/>
  <c r="P37"/>
  <c r="P47"/>
  <c r="P26"/>
  <c r="T37"/>
  <c r="T47"/>
  <c r="T26"/>
  <c r="X37"/>
  <c r="X47"/>
  <c r="X26"/>
  <c r="H37" i="28"/>
  <c r="H47"/>
  <c r="H26"/>
  <c r="L37"/>
  <c r="L47"/>
  <c r="L26"/>
  <c r="P37"/>
  <c r="P47"/>
  <c r="P26"/>
  <c r="T37"/>
  <c r="T47"/>
  <c r="T26"/>
  <c r="X37"/>
  <c r="X47"/>
  <c r="X26"/>
  <c r="F37" i="29"/>
  <c r="F47"/>
  <c r="F26"/>
  <c r="J37"/>
  <c r="J47"/>
  <c r="J26"/>
  <c r="N37"/>
  <c r="N47"/>
  <c r="N26"/>
  <c r="R37"/>
  <c r="R47"/>
  <c r="R26"/>
  <c r="V37"/>
  <c r="V47"/>
  <c r="V26"/>
  <c r="X17" i="30"/>
  <c r="K17"/>
  <c r="S17"/>
  <c r="C17"/>
  <c r="M17"/>
  <c r="U17"/>
  <c r="C12"/>
  <c r="M23"/>
  <c r="H17"/>
  <c r="L17"/>
  <c r="P17"/>
  <c r="T17"/>
  <c r="Y18"/>
  <c r="J18"/>
  <c r="R18"/>
  <c r="H18"/>
  <c r="P18"/>
  <c r="X18"/>
  <c r="C18"/>
  <c r="I18"/>
  <c r="M18"/>
  <c r="Q18"/>
  <c r="U18"/>
  <c r="X19"/>
  <c r="G19"/>
  <c r="O19"/>
  <c r="W19"/>
  <c r="I19"/>
  <c r="Q19"/>
  <c r="Y19"/>
  <c r="F19"/>
  <c r="J19"/>
  <c r="N19"/>
  <c r="R19"/>
  <c r="V19"/>
  <c r="L20"/>
  <c r="J20"/>
  <c r="R20"/>
  <c r="G20"/>
  <c r="K20"/>
  <c r="O20"/>
  <c r="S20"/>
  <c r="W20"/>
  <c r="H20"/>
  <c r="X21"/>
  <c r="C21"/>
  <c r="M21"/>
  <c r="U21"/>
  <c r="G21"/>
  <c r="O21"/>
  <c r="W21"/>
  <c r="H21"/>
  <c r="L21"/>
  <c r="P21"/>
  <c r="T21"/>
  <c r="V22"/>
  <c r="L22"/>
  <c r="T22"/>
  <c r="C22"/>
  <c r="I22"/>
  <c r="M22"/>
  <c r="Q22"/>
  <c r="U22"/>
  <c r="J22"/>
  <c r="I37"/>
  <c r="I47"/>
  <c r="I26"/>
  <c r="K26"/>
  <c r="K37"/>
  <c r="K47"/>
  <c r="Q37"/>
  <c r="Q47"/>
  <c r="Q26"/>
  <c r="S26"/>
  <c r="S37"/>
  <c r="S47"/>
  <c r="Y37"/>
  <c r="Y47"/>
  <c r="Y26"/>
  <c r="F54"/>
  <c r="F44"/>
  <c r="F38"/>
  <c r="E44"/>
  <c r="G34"/>
  <c r="K34"/>
  <c r="O34"/>
  <c r="S34"/>
  <c r="W34"/>
  <c r="U17" i="31"/>
  <c r="F17"/>
  <c r="J17"/>
  <c r="N17"/>
  <c r="R17"/>
  <c r="V17"/>
  <c r="K17"/>
  <c r="S17"/>
  <c r="G18"/>
  <c r="K18"/>
  <c r="O18"/>
  <c r="S18"/>
  <c r="W18"/>
  <c r="R18"/>
  <c r="J18"/>
  <c r="Y18"/>
  <c r="H18"/>
  <c r="X18"/>
  <c r="T18"/>
  <c r="X19"/>
  <c r="C19"/>
  <c r="U19"/>
  <c r="O19"/>
  <c r="J19"/>
  <c r="R19"/>
  <c r="Y20"/>
  <c r="H20"/>
  <c r="P20"/>
  <c r="X20"/>
  <c r="J20"/>
  <c r="R20"/>
  <c r="C20"/>
  <c r="I20"/>
  <c r="M20"/>
  <c r="Q20"/>
  <c r="U20"/>
  <c r="W21"/>
  <c r="F21"/>
  <c r="J21"/>
  <c r="N21"/>
  <c r="R21"/>
  <c r="V21"/>
  <c r="I21"/>
  <c r="Q21"/>
  <c r="G22"/>
  <c r="K22"/>
  <c r="O22"/>
  <c r="S22"/>
  <c r="W22"/>
  <c r="T22"/>
  <c r="L22"/>
  <c r="Y22"/>
  <c r="N22"/>
  <c r="R22"/>
  <c r="F38"/>
  <c r="F54"/>
  <c r="F44"/>
  <c r="J38"/>
  <c r="J54"/>
  <c r="J44"/>
  <c r="N38"/>
  <c r="N54"/>
  <c r="N44"/>
  <c r="R38"/>
  <c r="R54"/>
  <c r="R44"/>
  <c r="V38"/>
  <c r="V54"/>
  <c r="V44"/>
  <c r="Y17" i="32"/>
  <c r="F17"/>
  <c r="J17"/>
  <c r="N17"/>
  <c r="R17"/>
  <c r="V17"/>
  <c r="G17"/>
  <c r="K17"/>
  <c r="O17"/>
  <c r="S17"/>
  <c r="W17"/>
  <c r="X18"/>
  <c r="C18"/>
  <c r="I18"/>
  <c r="M18"/>
  <c r="Q18"/>
  <c r="U18"/>
  <c r="Y18"/>
  <c r="H18"/>
  <c r="L18"/>
  <c r="P18"/>
  <c r="T18"/>
  <c r="Y19"/>
  <c r="H19"/>
  <c r="L19"/>
  <c r="P19"/>
  <c r="T19"/>
  <c r="X19"/>
  <c r="C19"/>
  <c r="I19"/>
  <c r="M19"/>
  <c r="Q19"/>
  <c r="U19"/>
  <c r="X20"/>
  <c r="G20"/>
  <c r="K20"/>
  <c r="O20"/>
  <c r="S20"/>
  <c r="W20"/>
  <c r="F20"/>
  <c r="J20"/>
  <c r="N20"/>
  <c r="R20"/>
  <c r="V20"/>
  <c r="Y21"/>
  <c r="F21"/>
  <c r="J21"/>
  <c r="N21"/>
  <c r="R21"/>
  <c r="V21"/>
  <c r="G21"/>
  <c r="K21"/>
  <c r="O21"/>
  <c r="S21"/>
  <c r="W21"/>
  <c r="X22"/>
  <c r="C22"/>
  <c r="I22"/>
  <c r="M22"/>
  <c r="Q22"/>
  <c r="U22"/>
  <c r="Y22"/>
  <c r="H22"/>
  <c r="L22"/>
  <c r="P22"/>
  <c r="T22"/>
  <c r="G37"/>
  <c r="G47"/>
  <c r="G26"/>
  <c r="K37"/>
  <c r="K47"/>
  <c r="K26"/>
  <c r="O37"/>
  <c r="O47"/>
  <c r="O26"/>
  <c r="S37"/>
  <c r="S47"/>
  <c r="S26"/>
  <c r="W37"/>
  <c r="W47"/>
  <c r="W26"/>
  <c r="Y17" i="33"/>
  <c r="F17"/>
  <c r="J17"/>
  <c r="N17"/>
  <c r="R17"/>
  <c r="V17"/>
  <c r="C17"/>
  <c r="I17"/>
  <c r="M17"/>
  <c r="Q17"/>
  <c r="U17"/>
  <c r="X18"/>
  <c r="C18"/>
  <c r="M18"/>
  <c r="U18"/>
  <c r="F18"/>
  <c r="N18"/>
  <c r="V18"/>
  <c r="Y19"/>
  <c r="F19"/>
  <c r="J19"/>
  <c r="N19"/>
  <c r="R19"/>
  <c r="V19"/>
  <c r="G19"/>
  <c r="K19"/>
  <c r="O19"/>
  <c r="S19"/>
  <c r="W19"/>
  <c r="X20"/>
  <c r="C20"/>
  <c r="I20"/>
  <c r="M20"/>
  <c r="Q20"/>
  <c r="U20"/>
  <c r="Y20"/>
  <c r="H20"/>
  <c r="L20"/>
  <c r="P20"/>
  <c r="T20"/>
  <c r="Y21"/>
  <c r="H21"/>
  <c r="L21"/>
  <c r="P21"/>
  <c r="T21"/>
  <c r="X21"/>
  <c r="C21"/>
  <c r="I21"/>
  <c r="M21"/>
  <c r="Q21"/>
  <c r="U21"/>
  <c r="X22"/>
  <c r="G22"/>
  <c r="K22"/>
  <c r="O22"/>
  <c r="S22"/>
  <c r="W22"/>
  <c r="F22"/>
  <c r="J22"/>
  <c r="N22"/>
  <c r="R22"/>
  <c r="V22"/>
  <c r="I37"/>
  <c r="I47"/>
  <c r="I26"/>
  <c r="M37"/>
  <c r="M47"/>
  <c r="M26"/>
  <c r="Q37"/>
  <c r="Q47"/>
  <c r="Q26"/>
  <c r="U37"/>
  <c r="U47"/>
  <c r="U26"/>
  <c r="Y37"/>
  <c r="Y47"/>
  <c r="Y26"/>
  <c r="G38"/>
  <c r="G54"/>
  <c r="G44"/>
  <c r="K38"/>
  <c r="K54"/>
  <c r="K44"/>
  <c r="W38"/>
  <c r="W54"/>
  <c r="W44"/>
  <c r="V23" i="38"/>
  <c r="K23"/>
  <c r="G21"/>
  <c r="I21"/>
  <c r="W19"/>
  <c r="L19"/>
  <c r="S59" i="43"/>
  <c r="S48"/>
  <c r="V59"/>
  <c r="V48"/>
  <c r="X59"/>
  <c r="X48"/>
  <c r="L59"/>
  <c r="L48"/>
  <c r="N44" i="10"/>
  <c r="X38" i="15"/>
  <c r="V38"/>
  <c r="R38"/>
  <c r="P38"/>
  <c r="N38"/>
  <c r="H38"/>
  <c r="F38"/>
  <c r="G19" i="40"/>
  <c r="V19"/>
  <c r="R21"/>
  <c r="M23"/>
  <c r="P18" i="43"/>
  <c r="N20"/>
  <c r="P22"/>
  <c r="X24"/>
  <c r="AA35"/>
  <c r="M18" i="44"/>
  <c r="H19"/>
  <c r="X19"/>
  <c r="S20"/>
  <c r="N21"/>
  <c r="I22"/>
  <c r="Y22"/>
  <c r="T23"/>
  <c r="O24"/>
  <c r="T16" i="4"/>
  <c r="M16"/>
  <c r="F42"/>
  <c r="F27"/>
  <c r="T31" i="5"/>
  <c r="T39"/>
  <c r="T22"/>
  <c r="G16" i="6"/>
  <c r="W16"/>
  <c r="T16"/>
  <c r="N16"/>
  <c r="I16"/>
  <c r="R16"/>
  <c r="V22" i="7"/>
  <c r="V31"/>
  <c r="V39"/>
  <c r="C9"/>
  <c r="Z26"/>
  <c r="AA26"/>
  <c r="U18" i="9"/>
  <c r="X18"/>
  <c r="L15" i="10"/>
  <c r="Y15"/>
  <c r="O15"/>
  <c r="X15"/>
  <c r="W16"/>
  <c r="C16"/>
  <c r="P16"/>
  <c r="Q16"/>
  <c r="J22"/>
  <c r="J31"/>
  <c r="J39"/>
  <c r="L31"/>
  <c r="L39"/>
  <c r="L22"/>
  <c r="X31"/>
  <c r="X39"/>
  <c r="X22"/>
  <c r="W15" i="11"/>
  <c r="H15"/>
  <c r="F15"/>
  <c r="O31"/>
  <c r="O39"/>
  <c r="O22"/>
  <c r="W22"/>
  <c r="W31"/>
  <c r="W39"/>
  <c r="G42"/>
  <c r="G34"/>
  <c r="G27"/>
  <c r="U43"/>
  <c r="U44"/>
  <c r="U27"/>
  <c r="Y43" i="10"/>
  <c r="Y44"/>
  <c r="Y27"/>
  <c r="Y15" i="12"/>
  <c r="H15"/>
  <c r="P15"/>
  <c r="K15"/>
  <c r="S15"/>
  <c r="K16"/>
  <c r="T16"/>
  <c r="K22"/>
  <c r="K31"/>
  <c r="K39"/>
  <c r="M22"/>
  <c r="M31"/>
  <c r="M39"/>
  <c r="W22"/>
  <c r="W31"/>
  <c r="W39"/>
  <c r="H42"/>
  <c r="H34"/>
  <c r="H27"/>
  <c r="Q42"/>
  <c r="Q27"/>
  <c r="U42"/>
  <c r="U27"/>
  <c r="G31" i="13"/>
  <c r="G39"/>
  <c r="G22"/>
  <c r="O31"/>
  <c r="O39"/>
  <c r="O22"/>
  <c r="Q31"/>
  <c r="Q39"/>
  <c r="Q22"/>
  <c r="M16"/>
  <c r="H16"/>
  <c r="X16"/>
  <c r="S16"/>
  <c r="G15" i="14"/>
  <c r="W15"/>
  <c r="H15"/>
  <c r="I31"/>
  <c r="I39"/>
  <c r="I22"/>
  <c r="M31"/>
  <c r="M39"/>
  <c r="M22"/>
  <c r="Q31"/>
  <c r="Q39"/>
  <c r="Q22"/>
  <c r="U31"/>
  <c r="U39"/>
  <c r="U22"/>
  <c r="W31"/>
  <c r="W39"/>
  <c r="W22"/>
  <c r="J32"/>
  <c r="J44"/>
  <c r="F42"/>
  <c r="F27"/>
  <c r="I42"/>
  <c r="I44"/>
  <c r="I27"/>
  <c r="X16" i="15"/>
  <c r="C16"/>
  <c r="I16"/>
  <c r="M16"/>
  <c r="Q16"/>
  <c r="U16"/>
  <c r="Y16"/>
  <c r="J16"/>
  <c r="N16"/>
  <c r="R16"/>
  <c r="V16"/>
  <c r="H40" i="39"/>
  <c r="H51"/>
  <c r="H28"/>
  <c r="X20"/>
  <c r="R20"/>
  <c r="G20"/>
  <c r="W24" i="42"/>
  <c r="G24"/>
  <c r="Y20"/>
  <c r="I20"/>
  <c r="Y44" i="7"/>
  <c r="W10" i="10"/>
  <c r="M10" i="12"/>
  <c r="R34"/>
  <c r="F37" i="42"/>
  <c r="H37"/>
  <c r="N37"/>
  <c r="F37" i="36"/>
  <c r="I48"/>
  <c r="Q48"/>
  <c r="U48"/>
  <c r="Y48"/>
  <c r="G37"/>
  <c r="I37"/>
  <c r="K27" i="10"/>
  <c r="Z8" i="11"/>
  <c r="V44" i="13"/>
  <c r="W18" i="11"/>
  <c r="AA27" i="19"/>
  <c r="AA31"/>
  <c r="AA27" i="24"/>
  <c r="O34" i="25"/>
  <c r="AA30"/>
  <c r="AA28" i="26"/>
  <c r="AA32"/>
  <c r="AA29" i="27"/>
  <c r="AA28" i="28"/>
  <c r="AA32"/>
  <c r="AA29" i="29"/>
  <c r="AA30" i="30"/>
  <c r="L37" i="42"/>
  <c r="Y37" i="36"/>
  <c r="W22" i="40"/>
  <c r="C22"/>
  <c r="W18"/>
  <c r="Y18"/>
  <c r="I18"/>
  <c r="M40" i="42"/>
  <c r="M51"/>
  <c r="M28"/>
  <c r="X24"/>
  <c r="V24"/>
  <c r="T24"/>
  <c r="R24"/>
  <c r="P24"/>
  <c r="N24"/>
  <c r="L24"/>
  <c r="J24"/>
  <c r="H24"/>
  <c r="F24"/>
  <c r="Y24"/>
  <c r="U24"/>
  <c r="Q24"/>
  <c r="M24"/>
  <c r="I24"/>
  <c r="C24"/>
  <c r="V22"/>
  <c r="K22"/>
  <c r="U22"/>
  <c r="X20"/>
  <c r="V20"/>
  <c r="T20"/>
  <c r="R20"/>
  <c r="P20"/>
  <c r="N20"/>
  <c r="L20"/>
  <c r="J20"/>
  <c r="H20"/>
  <c r="F20"/>
  <c r="W20"/>
  <c r="S20"/>
  <c r="O20"/>
  <c r="K20"/>
  <c r="G20"/>
  <c r="V18"/>
  <c r="Q18"/>
  <c r="I18"/>
  <c r="J16" i="1"/>
  <c r="M16"/>
  <c r="V32"/>
  <c r="V44"/>
  <c r="V36"/>
  <c r="P31" i="4"/>
  <c r="P39"/>
  <c r="P22"/>
  <c r="W22"/>
  <c r="W31"/>
  <c r="W39"/>
  <c r="O16"/>
  <c r="L16"/>
  <c r="Y16"/>
  <c r="W16"/>
  <c r="J16"/>
  <c r="N16"/>
  <c r="S42"/>
  <c r="S34"/>
  <c r="S27"/>
  <c r="J31" i="5"/>
  <c r="J39"/>
  <c r="J22"/>
  <c r="N31"/>
  <c r="N39"/>
  <c r="N22"/>
  <c r="V31"/>
  <c r="V39"/>
  <c r="V22"/>
  <c r="S42"/>
  <c r="S34"/>
  <c r="S27"/>
  <c r="W42"/>
  <c r="W34"/>
  <c r="W27"/>
  <c r="Q22" i="6"/>
  <c r="Q31"/>
  <c r="Q39"/>
  <c r="K18"/>
  <c r="C18"/>
  <c r="J18"/>
  <c r="X16"/>
  <c r="K16"/>
  <c r="S16"/>
  <c r="H16"/>
  <c r="P16"/>
  <c r="Q16"/>
  <c r="J16"/>
  <c r="M16"/>
  <c r="V16"/>
  <c r="N31" i="7"/>
  <c r="N39"/>
  <c r="N22"/>
  <c r="X31"/>
  <c r="X39"/>
  <c r="X22"/>
  <c r="S27"/>
  <c r="S42"/>
  <c r="V42"/>
  <c r="V34"/>
  <c r="V27"/>
  <c r="W42"/>
  <c r="W27"/>
  <c r="J31" i="9"/>
  <c r="J39"/>
  <c r="J22"/>
  <c r="T31"/>
  <c r="T39"/>
  <c r="T22"/>
  <c r="P32"/>
  <c r="P44"/>
  <c r="H10"/>
  <c r="H18"/>
  <c r="X15"/>
  <c r="Q15"/>
  <c r="J15"/>
  <c r="W42"/>
  <c r="W34"/>
  <c r="W27"/>
  <c r="C15" i="10"/>
  <c r="V15"/>
  <c r="T15"/>
  <c r="Q15"/>
  <c r="J15"/>
  <c r="G15"/>
  <c r="W15"/>
  <c r="N15"/>
  <c r="H15"/>
  <c r="U15"/>
  <c r="I16"/>
  <c r="T16"/>
  <c r="Y16"/>
  <c r="O16"/>
  <c r="F16"/>
  <c r="V16"/>
  <c r="M16"/>
  <c r="H16"/>
  <c r="L16"/>
  <c r="X16"/>
  <c r="J16"/>
  <c r="S16"/>
  <c r="K16"/>
  <c r="F42"/>
  <c r="F27"/>
  <c r="L42"/>
  <c r="L27"/>
  <c r="M42"/>
  <c r="M44"/>
  <c r="M27"/>
  <c r="C15" i="11"/>
  <c r="T15"/>
  <c r="O15"/>
  <c r="J15"/>
  <c r="M15"/>
  <c r="U15"/>
  <c r="Q15"/>
  <c r="N15"/>
  <c r="S15"/>
  <c r="X15"/>
  <c r="K31"/>
  <c r="K39"/>
  <c r="K22"/>
  <c r="S31"/>
  <c r="S39"/>
  <c r="S22"/>
  <c r="U31"/>
  <c r="U39"/>
  <c r="U22"/>
  <c r="J44"/>
  <c r="J34"/>
  <c r="Q32"/>
  <c r="Q44"/>
  <c r="X43"/>
  <c r="X27"/>
  <c r="X15" i="12"/>
  <c r="F15"/>
  <c r="J15"/>
  <c r="N15"/>
  <c r="R15"/>
  <c r="V15"/>
  <c r="C15"/>
  <c r="I15"/>
  <c r="M15"/>
  <c r="Q15"/>
  <c r="U15"/>
  <c r="X16"/>
  <c r="S16"/>
  <c r="J16"/>
  <c r="U16"/>
  <c r="C16"/>
  <c r="I22"/>
  <c r="I31"/>
  <c r="I39"/>
  <c r="O22"/>
  <c r="O31"/>
  <c r="O39"/>
  <c r="S22"/>
  <c r="S31"/>
  <c r="S39"/>
  <c r="Y42" i="11"/>
  <c r="Y27"/>
  <c r="I42" i="12"/>
  <c r="I27"/>
  <c r="J43"/>
  <c r="J35"/>
  <c r="J27"/>
  <c r="C44"/>
  <c r="Z25"/>
  <c r="AA25"/>
  <c r="Z7"/>
  <c r="L16"/>
  <c r="L10"/>
  <c r="V42"/>
  <c r="V27"/>
  <c r="W42"/>
  <c r="W34"/>
  <c r="W27"/>
  <c r="C9"/>
  <c r="Y18"/>
  <c r="N35"/>
  <c r="U31" i="13"/>
  <c r="U39"/>
  <c r="U22"/>
  <c r="F42"/>
  <c r="F44"/>
  <c r="F27"/>
  <c r="G10"/>
  <c r="Z8"/>
  <c r="N42"/>
  <c r="N44"/>
  <c r="N27"/>
  <c r="P42"/>
  <c r="P44"/>
  <c r="P27"/>
  <c r="Q42"/>
  <c r="Q27"/>
  <c r="W43"/>
  <c r="W35"/>
  <c r="W27"/>
  <c r="C9"/>
  <c r="R18"/>
  <c r="Z26"/>
  <c r="AA26"/>
  <c r="J16"/>
  <c r="U16"/>
  <c r="C16"/>
  <c r="Y16"/>
  <c r="L16"/>
  <c r="T16"/>
  <c r="G16"/>
  <c r="O16"/>
  <c r="W16"/>
  <c r="Q16"/>
  <c r="V16"/>
  <c r="N16"/>
  <c r="X15" i="14"/>
  <c r="K15"/>
  <c r="S15"/>
  <c r="L15"/>
  <c r="T15"/>
  <c r="Y17" i="24"/>
  <c r="F17"/>
  <c r="J17"/>
  <c r="N17"/>
  <c r="R17"/>
  <c r="V17"/>
  <c r="X18"/>
  <c r="C18"/>
  <c r="I18"/>
  <c r="M18"/>
  <c r="Q18"/>
  <c r="U18"/>
  <c r="Y18"/>
  <c r="Y19"/>
  <c r="H19"/>
  <c r="L19"/>
  <c r="P19"/>
  <c r="T19"/>
  <c r="X19"/>
  <c r="X20"/>
  <c r="G20"/>
  <c r="K20"/>
  <c r="Q40" i="43"/>
  <c r="Q51"/>
  <c r="Q28"/>
  <c r="P59" i="42"/>
  <c r="P48"/>
  <c r="S59"/>
  <c r="S48"/>
  <c r="U59"/>
  <c r="U48"/>
  <c r="N59"/>
  <c r="N48"/>
  <c r="U44" i="7"/>
  <c r="S54" i="25"/>
  <c r="S44"/>
  <c r="L24" i="1"/>
  <c r="L27"/>
  <c r="L28"/>
  <c r="M54" i="33"/>
  <c r="M44"/>
  <c r="T10" i="6"/>
  <c r="R10" i="7"/>
  <c r="R10" i="10"/>
  <c r="T10"/>
  <c r="H27" i="11"/>
  <c r="I27"/>
  <c r="AA24"/>
  <c r="O10" i="12"/>
  <c r="M20" i="40"/>
  <c r="Y18" i="42"/>
  <c r="C20"/>
  <c r="M20"/>
  <c r="U20"/>
  <c r="K24"/>
  <c r="S24"/>
  <c r="Y28"/>
  <c r="H22" i="19"/>
  <c r="R22"/>
  <c r="Q22"/>
  <c r="V24" i="38"/>
  <c r="N24"/>
  <c r="M20"/>
  <c r="C20"/>
  <c r="W23" i="39"/>
  <c r="R23"/>
  <c r="V21"/>
  <c r="U21"/>
  <c r="M21"/>
  <c r="C21"/>
  <c r="Y19"/>
  <c r="O19"/>
  <c r="V24" i="41"/>
  <c r="R24"/>
  <c r="I24"/>
  <c r="Y20"/>
  <c r="V20"/>
  <c r="N20"/>
  <c r="F20"/>
  <c r="V24" i="43"/>
  <c r="W24"/>
  <c r="S24"/>
  <c r="O24"/>
  <c r="K24"/>
  <c r="G24"/>
  <c r="Y22"/>
  <c r="W22"/>
  <c r="U22"/>
  <c r="S22"/>
  <c r="Q22"/>
  <c r="O22"/>
  <c r="M22"/>
  <c r="K22"/>
  <c r="I22"/>
  <c r="G22"/>
  <c r="C22"/>
  <c r="Y20"/>
  <c r="W20"/>
  <c r="U20"/>
  <c r="S20"/>
  <c r="Q20"/>
  <c r="O20"/>
  <c r="M20"/>
  <c r="K20"/>
  <c r="I20"/>
  <c r="G20"/>
  <c r="C20"/>
  <c r="Y18"/>
  <c r="W18"/>
  <c r="U18"/>
  <c r="S18"/>
  <c r="Q18"/>
  <c r="O18"/>
  <c r="M18"/>
  <c r="K18"/>
  <c r="I18"/>
  <c r="G18"/>
  <c r="C18"/>
  <c r="Q40" i="44"/>
  <c r="Q51"/>
  <c r="Q28"/>
  <c r="X24"/>
  <c r="V24"/>
  <c r="T24"/>
  <c r="R24"/>
  <c r="P24"/>
  <c r="N24"/>
  <c r="L24"/>
  <c r="J24"/>
  <c r="H24"/>
  <c r="F24"/>
  <c r="Y23"/>
  <c r="W23"/>
  <c r="U23"/>
  <c r="S23"/>
  <c r="Q23"/>
  <c r="O23"/>
  <c r="M23"/>
  <c r="K23"/>
  <c r="I23"/>
  <c r="G23"/>
  <c r="C23"/>
  <c r="X22"/>
  <c r="V22"/>
  <c r="T22"/>
  <c r="R22"/>
  <c r="P22"/>
  <c r="N22"/>
  <c r="L22"/>
  <c r="J22"/>
  <c r="H22"/>
  <c r="F22"/>
  <c r="Y21"/>
  <c r="W21"/>
  <c r="U21"/>
  <c r="S21"/>
  <c r="Q21"/>
  <c r="O21"/>
  <c r="M21"/>
  <c r="K21"/>
  <c r="I21"/>
  <c r="G21"/>
  <c r="C21"/>
  <c r="X20"/>
  <c r="V20"/>
  <c r="T20"/>
  <c r="R20"/>
  <c r="P20"/>
  <c r="N20"/>
  <c r="L20"/>
  <c r="J20"/>
  <c r="H20"/>
  <c r="F20"/>
  <c r="Y19"/>
  <c r="W19"/>
  <c r="U19"/>
  <c r="S19"/>
  <c r="Q19"/>
  <c r="O19"/>
  <c r="M19"/>
  <c r="K19"/>
  <c r="I19"/>
  <c r="G19"/>
  <c r="C19"/>
  <c r="X18"/>
  <c r="V18"/>
  <c r="T18"/>
  <c r="R18"/>
  <c r="P18"/>
  <c r="N18"/>
  <c r="L18"/>
  <c r="J18"/>
  <c r="H18"/>
  <c r="F18"/>
  <c r="H44" i="5"/>
  <c r="M34" i="12"/>
  <c r="J35" i="13"/>
  <c r="O34" i="12"/>
  <c r="N44"/>
  <c r="V44" i="5"/>
  <c r="V18" i="11"/>
  <c r="L18" i="6"/>
  <c r="N18"/>
  <c r="Y35" i="7"/>
  <c r="F35" i="9"/>
  <c r="T10"/>
  <c r="G18"/>
  <c r="K18"/>
  <c r="AA32" i="23"/>
  <c r="V34" i="25"/>
  <c r="I34" i="32"/>
  <c r="M34"/>
  <c r="Z33"/>
  <c r="AA33"/>
  <c r="M34" i="33"/>
  <c r="K37" i="42"/>
  <c r="M37"/>
  <c r="O37"/>
  <c r="Q37"/>
  <c r="S37"/>
  <c r="T37"/>
  <c r="X37"/>
  <c r="N28" i="40"/>
  <c r="R19" i="38"/>
  <c r="J21"/>
  <c r="X21"/>
  <c r="G19" i="39"/>
  <c r="L19"/>
  <c r="S19"/>
  <c r="W19"/>
  <c r="H21"/>
  <c r="L21"/>
  <c r="P21"/>
  <c r="T21"/>
  <c r="X21"/>
  <c r="J23"/>
  <c r="Y23"/>
  <c r="Q18" i="40"/>
  <c r="I20"/>
  <c r="Y22"/>
  <c r="C20" i="41"/>
  <c r="I20"/>
  <c r="M20"/>
  <c r="Q20"/>
  <c r="U20"/>
  <c r="C24"/>
  <c r="J24"/>
  <c r="Q24"/>
  <c r="U24"/>
  <c r="N34" i="4"/>
  <c r="L35" i="5"/>
  <c r="Q34"/>
  <c r="S35"/>
  <c r="L10" i="6"/>
  <c r="AA24"/>
  <c r="R34" i="5"/>
  <c r="R44"/>
  <c r="O27" i="6"/>
  <c r="O28"/>
  <c r="O43"/>
  <c r="O35"/>
  <c r="M34" i="7"/>
  <c r="M44"/>
  <c r="G17" i="4"/>
  <c r="K17" i="11"/>
  <c r="O17"/>
  <c r="C10"/>
  <c r="S19"/>
  <c r="P34" i="12"/>
  <c r="G31" i="10"/>
  <c r="G39"/>
  <c r="M27" i="4"/>
  <c r="C16" i="9"/>
  <c r="Y17" i="6"/>
  <c r="U27" i="4"/>
  <c r="I16"/>
  <c r="R16"/>
  <c r="U16" i="1"/>
  <c r="H16" i="4"/>
  <c r="U22" i="9"/>
  <c r="R22" i="4"/>
  <c r="L15" i="1"/>
  <c r="T27" i="5"/>
  <c r="M22" i="9"/>
  <c r="N22" i="4"/>
  <c r="F44" i="9"/>
  <c r="I27" i="7"/>
  <c r="F16" i="4"/>
  <c r="S16"/>
  <c r="V16"/>
  <c r="Q16"/>
  <c r="G16"/>
  <c r="R16" i="1"/>
  <c r="O16"/>
  <c r="N16"/>
  <c r="V27" i="9"/>
  <c r="I16" i="7"/>
  <c r="N34" i="9"/>
  <c r="N16" i="7"/>
  <c r="F22" i="5"/>
  <c r="O22" i="7"/>
  <c r="U15" i="6"/>
  <c r="R27" i="4"/>
  <c r="H15" i="6"/>
  <c r="S15"/>
  <c r="W15"/>
  <c r="G15"/>
  <c r="L15"/>
  <c r="F15"/>
  <c r="Q15"/>
  <c r="C15"/>
  <c r="P31" i="5"/>
  <c r="P39"/>
  <c r="T22" i="4"/>
  <c r="M31" i="10"/>
  <c r="M39"/>
  <c r="M22" i="7"/>
  <c r="O16"/>
  <c r="P15" i="6"/>
  <c r="M16" i="9"/>
  <c r="I16"/>
  <c r="W16"/>
  <c r="O16"/>
  <c r="G16"/>
  <c r="N16"/>
  <c r="X16"/>
  <c r="P16"/>
  <c r="O27" i="5"/>
  <c r="J16" i="7"/>
  <c r="Y16"/>
  <c r="K22"/>
  <c r="G31" i="9"/>
  <c r="G39"/>
  <c r="L27" i="7"/>
  <c r="J15" i="6"/>
  <c r="V17" i="11"/>
  <c r="I27" i="13"/>
  <c r="V19" i="19"/>
  <c r="H34" i="28"/>
  <c r="L34"/>
  <c r="P34"/>
  <c r="T34"/>
  <c r="X34"/>
  <c r="V35" i="14"/>
  <c r="L10" i="5"/>
  <c r="Y10"/>
  <c r="J34" i="7"/>
  <c r="F34" i="9"/>
  <c r="H17" i="11"/>
  <c r="X17" i="12"/>
  <c r="Q10" i="4"/>
  <c r="F10" i="5"/>
  <c r="K27"/>
  <c r="Z26"/>
  <c r="AA26"/>
  <c r="X27"/>
  <c r="X10" i="7"/>
  <c r="G35" i="9"/>
  <c r="K35"/>
  <c r="R10"/>
  <c r="I16" i="13"/>
  <c r="J19" i="19"/>
  <c r="V34" i="26"/>
  <c r="I41" i="36"/>
  <c r="Y41"/>
  <c r="Q10" i="9"/>
  <c r="F10"/>
  <c r="T10" i="14"/>
  <c r="V10" i="10"/>
  <c r="O18" i="1"/>
  <c r="P18"/>
  <c r="U10"/>
  <c r="N10" i="5"/>
  <c r="X27" i="9"/>
  <c r="F37" i="38"/>
  <c r="T37" i="40"/>
  <c r="O27" i="4"/>
  <c r="E10" i="5"/>
  <c r="Q10"/>
  <c r="T10"/>
  <c r="X10"/>
  <c r="R27" i="6"/>
  <c r="R28"/>
  <c r="U27" i="7"/>
  <c r="S10" i="9"/>
  <c r="E10" i="11"/>
  <c r="N35"/>
  <c r="Y40" i="39"/>
  <c r="Y51"/>
  <c r="W35" i="14"/>
  <c r="W44"/>
  <c r="O34" i="5"/>
  <c r="O44"/>
  <c r="M18"/>
  <c r="V34" i="6"/>
  <c r="N17" i="4"/>
  <c r="I18" i="1"/>
  <c r="S18"/>
  <c r="K36"/>
  <c r="T27" i="4"/>
  <c r="W28" i="40"/>
  <c r="Z14"/>
  <c r="K28" i="42"/>
  <c r="O18" i="6"/>
  <c r="P27" i="7"/>
  <c r="Y10" i="11"/>
  <c r="F34" i="26"/>
  <c r="J34"/>
  <c r="N34"/>
  <c r="R34"/>
  <c r="Y34"/>
  <c r="W28" i="39"/>
  <c r="S28" i="40"/>
  <c r="AA29"/>
  <c r="Q18" i="10"/>
  <c r="G18" i="5"/>
  <c r="W22"/>
  <c r="J18" i="1"/>
  <c r="K17" i="6"/>
  <c r="F27"/>
  <c r="F28"/>
  <c r="M18"/>
  <c r="H37" i="15"/>
  <c r="P21" i="19"/>
  <c r="Z6" i="14"/>
  <c r="Y20" i="19"/>
  <c r="I34" i="26"/>
  <c r="M34"/>
  <c r="Q34"/>
  <c r="X34"/>
  <c r="V44" i="11"/>
  <c r="L18" i="10"/>
  <c r="R18" i="11"/>
  <c r="K27" i="4"/>
  <c r="Y27"/>
  <c r="W35"/>
  <c r="U15" i="5"/>
  <c r="M16" i="7"/>
  <c r="Y18" i="6"/>
  <c r="F27" i="1"/>
  <c r="F28"/>
  <c r="Q27"/>
  <c r="Q28"/>
  <c r="Q44"/>
  <c r="Q36"/>
  <c r="M17"/>
  <c r="V10"/>
  <c r="L35" i="4"/>
  <c r="O10"/>
  <c r="P35"/>
  <c r="Q27"/>
  <c r="S10"/>
  <c r="G17" i="6"/>
  <c r="I17"/>
  <c r="K27"/>
  <c r="K28"/>
  <c r="M27"/>
  <c r="M28"/>
  <c r="S10"/>
  <c r="T18"/>
  <c r="X18"/>
  <c r="R37" i="15"/>
  <c r="H34" i="26"/>
  <c r="L34"/>
  <c r="P34"/>
  <c r="T34"/>
  <c r="W34"/>
  <c r="M34" i="29"/>
  <c r="C19" i="38"/>
  <c r="Y24" i="39"/>
  <c r="R37"/>
  <c r="J19" i="40"/>
  <c r="O19"/>
  <c r="T19"/>
  <c r="I23"/>
  <c r="N23"/>
  <c r="T23"/>
  <c r="Y23"/>
  <c r="F24" i="41"/>
  <c r="N24"/>
  <c r="U21" i="42"/>
  <c r="S28" i="43"/>
  <c r="G28" i="44"/>
  <c r="T34" i="7"/>
  <c r="T44"/>
  <c r="R35" i="10"/>
  <c r="R44"/>
  <c r="U44"/>
  <c r="U34"/>
  <c r="L34" i="7"/>
  <c r="L44"/>
  <c r="N44"/>
  <c r="N34"/>
  <c r="X34"/>
  <c r="X44"/>
  <c r="Q34" i="14"/>
  <c r="Q44"/>
  <c r="H34" i="10"/>
  <c r="R17" i="11"/>
  <c r="I17"/>
  <c r="J17"/>
  <c r="F17" i="12"/>
  <c r="X27" i="6"/>
  <c r="X28"/>
  <c r="I16" i="1"/>
  <c r="P27" i="5"/>
  <c r="O18" i="11"/>
  <c r="F18"/>
  <c r="Z9" i="5"/>
  <c r="H36" i="1"/>
  <c r="M42" i="6"/>
  <c r="M34"/>
  <c r="Q42" i="4"/>
  <c r="Q34"/>
  <c r="U27" i="1"/>
  <c r="U28"/>
  <c r="N31" i="6"/>
  <c r="N39"/>
  <c r="T42" i="4"/>
  <c r="T34"/>
  <c r="P16" i="1"/>
  <c r="H16"/>
  <c r="Q16"/>
  <c r="F16" i="7"/>
  <c r="H31"/>
  <c r="H39"/>
  <c r="S15" i="4"/>
  <c r="S15" i="1"/>
  <c r="I36"/>
  <c r="H31" i="5"/>
  <c r="H39"/>
  <c r="O42" i="4"/>
  <c r="O34"/>
  <c r="W18" i="6"/>
  <c r="V15" i="4"/>
  <c r="J31"/>
  <c r="J39"/>
  <c r="X10" i="6"/>
  <c r="W16" i="7"/>
  <c r="Y34"/>
  <c r="V34" i="5"/>
  <c r="Z25"/>
  <c r="AA25"/>
  <c r="N44" i="11"/>
  <c r="J35"/>
  <c r="F31" i="9"/>
  <c r="F39"/>
  <c r="M27" i="7"/>
  <c r="J15"/>
  <c r="N15" i="9"/>
  <c r="N31" i="10"/>
  <c r="N39"/>
  <c r="K15" i="5"/>
  <c r="I22" i="9"/>
  <c r="X15" i="5"/>
  <c r="R31" i="9"/>
  <c r="R39"/>
  <c r="N31" i="11"/>
  <c r="N39"/>
  <c r="P42" i="7"/>
  <c r="I15"/>
  <c r="M15" i="4"/>
  <c r="J36" i="1"/>
  <c r="S17"/>
  <c r="I10" i="4"/>
  <c r="Y27" i="5"/>
  <c r="P10"/>
  <c r="M17" i="6"/>
  <c r="T17"/>
  <c r="O35" i="14"/>
  <c r="Q37" i="15"/>
  <c r="T37" i="19"/>
  <c r="T47"/>
  <c r="I19"/>
  <c r="N34" i="25"/>
  <c r="K34" i="31"/>
  <c r="AA30" i="32"/>
  <c r="P21" i="38"/>
  <c r="G21" i="39"/>
  <c r="K21"/>
  <c r="O21"/>
  <c r="S21"/>
  <c r="W21"/>
  <c r="H37"/>
  <c r="AA30" i="36"/>
  <c r="AA34"/>
  <c r="N37" i="39"/>
  <c r="P37"/>
  <c r="T37"/>
  <c r="X37"/>
  <c r="C19" i="40"/>
  <c r="I19"/>
  <c r="M19"/>
  <c r="Q19"/>
  <c r="U19"/>
  <c r="C21"/>
  <c r="M21"/>
  <c r="U21"/>
  <c r="M22"/>
  <c r="G23"/>
  <c r="K23"/>
  <c r="O23"/>
  <c r="S23"/>
  <c r="L21" i="41"/>
  <c r="C22"/>
  <c r="U28" i="42"/>
  <c r="P37" i="43"/>
  <c r="V37"/>
  <c r="R17" i="4"/>
  <c r="Q17" i="11"/>
  <c r="C17"/>
  <c r="G27" i="4"/>
  <c r="S16" i="1"/>
  <c r="C17" i="12"/>
  <c r="P22" i="7"/>
  <c r="V22" i="6"/>
  <c r="Q18" i="11"/>
  <c r="G18"/>
  <c r="U18"/>
  <c r="I18"/>
  <c r="N18"/>
  <c r="V28" i="1"/>
  <c r="L22" i="7"/>
  <c r="I27" i="5"/>
  <c r="T16" i="1"/>
  <c r="K16"/>
  <c r="F16"/>
  <c r="V16" i="7"/>
  <c r="G15" i="5"/>
  <c r="M27"/>
  <c r="R27"/>
  <c r="G18" i="6"/>
  <c r="I15" i="4"/>
  <c r="N15"/>
  <c r="Y34" i="10"/>
  <c r="Q31" i="7"/>
  <c r="Q39"/>
  <c r="C17" i="6"/>
  <c r="Q17"/>
  <c r="H34" i="5"/>
  <c r="V22" i="11"/>
  <c r="G15" i="7"/>
  <c r="F43" i="6"/>
  <c r="I22"/>
  <c r="P27" i="10"/>
  <c r="F15"/>
  <c r="N27" i="1"/>
  <c r="N28"/>
  <c r="M10" i="4"/>
  <c r="E36" i="6"/>
  <c r="P17"/>
  <c r="Z9" i="7"/>
  <c r="L34" i="14"/>
  <c r="N35"/>
  <c r="U37" i="15"/>
  <c r="Y37"/>
  <c r="G22" i="19"/>
  <c r="F19"/>
  <c r="M19"/>
  <c r="Z6" i="15"/>
  <c r="G34" i="24"/>
  <c r="F34" i="25"/>
  <c r="Q41" i="36"/>
  <c r="O21" i="38"/>
  <c r="Y22"/>
  <c r="K28"/>
  <c r="F21" i="39"/>
  <c r="J21"/>
  <c r="N21"/>
  <c r="R21"/>
  <c r="AA29" i="36"/>
  <c r="AA33"/>
  <c r="J37" i="39"/>
  <c r="L37"/>
  <c r="Y37"/>
  <c r="G28" i="40"/>
  <c r="R34" i="7"/>
  <c r="C13" i="34"/>
  <c r="F25"/>
  <c r="E28" i="1"/>
  <c r="Q34" i="25"/>
  <c r="M54" i="28"/>
  <c r="M44"/>
  <c r="AA31" i="36"/>
  <c r="AA35"/>
  <c r="G37" i="39"/>
  <c r="I37"/>
  <c r="K37"/>
  <c r="Q40" i="41"/>
  <c r="Q51"/>
  <c r="X40"/>
  <c r="X51"/>
  <c r="W34" i="25"/>
  <c r="Z13" i="26"/>
  <c r="AA30" i="33"/>
  <c r="AA29" i="34"/>
  <c r="AA33"/>
  <c r="H19" i="38"/>
  <c r="M19"/>
  <c r="U19"/>
  <c r="AA29"/>
  <c r="I20" i="39"/>
  <c r="N20"/>
  <c r="S20"/>
  <c r="Y20"/>
  <c r="C24"/>
  <c r="Q24"/>
  <c r="L18" i="40"/>
  <c r="T18"/>
  <c r="H22"/>
  <c r="Q22"/>
  <c r="F19" i="41"/>
  <c r="J19"/>
  <c r="N19"/>
  <c r="R19"/>
  <c r="V19"/>
  <c r="G23"/>
  <c r="K23"/>
  <c r="O23"/>
  <c r="S23"/>
  <c r="W23"/>
  <c r="AA33"/>
  <c r="F21" i="42"/>
  <c r="N21"/>
  <c r="V21"/>
  <c r="O19" i="43"/>
  <c r="W23"/>
  <c r="V28" i="44"/>
  <c r="C13"/>
  <c r="T18" i="1"/>
  <c r="Y17" i="11"/>
  <c r="L17" i="12"/>
  <c r="P18" i="11"/>
  <c r="Y22" i="4"/>
  <c r="AA23" i="6"/>
  <c r="Y22"/>
  <c r="K31" i="5"/>
  <c r="K39"/>
  <c r="P10" i="4"/>
  <c r="W44"/>
  <c r="Z26" i="6"/>
  <c r="AA26"/>
  <c r="P10" i="14"/>
  <c r="M20" i="19"/>
  <c r="I34" i="24"/>
  <c r="U34"/>
  <c r="K34" i="25"/>
  <c r="U34"/>
  <c r="G34" i="28"/>
  <c r="K34"/>
  <c r="O34"/>
  <c r="S34"/>
  <c r="W34"/>
  <c r="H34" i="29"/>
  <c r="P34"/>
  <c r="L44"/>
  <c r="Y18" i="38"/>
  <c r="J19"/>
  <c r="Q19"/>
  <c r="Y19"/>
  <c r="F21"/>
  <c r="N21"/>
  <c r="T21"/>
  <c r="J22"/>
  <c r="J37"/>
  <c r="G19"/>
  <c r="L37"/>
  <c r="N37"/>
  <c r="P37"/>
  <c r="R37"/>
  <c r="T37"/>
  <c r="V37"/>
  <c r="X37"/>
  <c r="F20" i="39"/>
  <c r="K20"/>
  <c r="Q20"/>
  <c r="V20"/>
  <c r="L24"/>
  <c r="U24"/>
  <c r="T28"/>
  <c r="H18" i="40"/>
  <c r="P18"/>
  <c r="X18"/>
  <c r="L22"/>
  <c r="U22"/>
  <c r="L28"/>
  <c r="H19" i="41"/>
  <c r="L19"/>
  <c r="P19"/>
  <c r="T19"/>
  <c r="X19"/>
  <c r="C23"/>
  <c r="I23"/>
  <c r="M23"/>
  <c r="Q23"/>
  <c r="U23"/>
  <c r="Y23"/>
  <c r="U28"/>
  <c r="J21" i="42"/>
  <c r="R21"/>
  <c r="S28"/>
  <c r="G19" i="43"/>
  <c r="W19"/>
  <c r="G23"/>
  <c r="Y28"/>
  <c r="N28" i="44"/>
  <c r="T34" i="13"/>
  <c r="N17" i="11"/>
  <c r="Y17" i="12"/>
  <c r="T27" i="1"/>
  <c r="T28"/>
  <c r="H18"/>
  <c r="O31" i="5"/>
  <c r="O39"/>
  <c r="M10" i="6"/>
  <c r="F35" i="7"/>
  <c r="G35"/>
  <c r="J35" i="10"/>
  <c r="N35"/>
  <c r="O35"/>
  <c r="Z9" i="12"/>
  <c r="G35"/>
  <c r="C44" i="13"/>
  <c r="Y10"/>
  <c r="K35" i="14"/>
  <c r="Y35"/>
  <c r="I10"/>
  <c r="U27"/>
  <c r="X10"/>
  <c r="X21" i="19"/>
  <c r="J34" i="25"/>
  <c r="T34"/>
  <c r="I34" i="27"/>
  <c r="M34"/>
  <c r="J18" i="38"/>
  <c r="I19"/>
  <c r="N19"/>
  <c r="V19"/>
  <c r="C21"/>
  <c r="K21"/>
  <c r="S21"/>
  <c r="I22"/>
  <c r="AA30"/>
  <c r="C20" i="39"/>
  <c r="J20"/>
  <c r="O20"/>
  <c r="U20"/>
  <c r="I24"/>
  <c r="T24"/>
  <c r="K28"/>
  <c r="L37" i="36"/>
  <c r="P37"/>
  <c r="T37"/>
  <c r="X37"/>
  <c r="C18" i="40"/>
  <c r="M18"/>
  <c r="U18"/>
  <c r="I22"/>
  <c r="T22"/>
  <c r="H37"/>
  <c r="L37"/>
  <c r="P37"/>
  <c r="X37"/>
  <c r="G19" i="41"/>
  <c r="K19"/>
  <c r="O19"/>
  <c r="S19"/>
  <c r="H23"/>
  <c r="L23"/>
  <c r="P23"/>
  <c r="T23"/>
  <c r="I28"/>
  <c r="I21" i="42"/>
  <c r="Q21"/>
  <c r="Y21"/>
  <c r="I28" i="43"/>
  <c r="Z14"/>
  <c r="T37"/>
  <c r="T44" i="1"/>
  <c r="T36"/>
  <c r="T35"/>
  <c r="U35" i="4"/>
  <c r="U44"/>
  <c r="Q34" i="6"/>
  <c r="Q44"/>
  <c r="Q36"/>
  <c r="O35" i="4"/>
  <c r="L17" i="9"/>
  <c r="O17"/>
  <c r="Q17"/>
  <c r="Y17"/>
  <c r="C17"/>
  <c r="T17"/>
  <c r="U17"/>
  <c r="F17"/>
  <c r="G17"/>
  <c r="S17"/>
  <c r="H17"/>
  <c r="N17"/>
  <c r="J17"/>
  <c r="R17"/>
  <c r="V17"/>
  <c r="X17"/>
  <c r="K17"/>
  <c r="M17"/>
  <c r="I17"/>
  <c r="P17"/>
  <c r="W17"/>
  <c r="Y44" i="5"/>
  <c r="Y35"/>
  <c r="Y18" i="19"/>
  <c r="X18"/>
  <c r="Y22"/>
  <c r="F22"/>
  <c r="N22"/>
  <c r="V22"/>
  <c r="C22"/>
  <c r="M22"/>
  <c r="U22"/>
  <c r="R40" i="27"/>
  <c r="R54"/>
  <c r="R44"/>
  <c r="R40" i="40"/>
  <c r="R51"/>
  <c r="R28"/>
  <c r="W24"/>
  <c r="S24"/>
  <c r="O24"/>
  <c r="K24"/>
  <c r="G24"/>
  <c r="X24"/>
  <c r="T24"/>
  <c r="P24"/>
  <c r="L24"/>
  <c r="H24"/>
  <c r="V24"/>
  <c r="R24"/>
  <c r="N24"/>
  <c r="J24"/>
  <c r="F24"/>
  <c r="W20"/>
  <c r="S20"/>
  <c r="O20"/>
  <c r="K20"/>
  <c r="G20"/>
  <c r="X20"/>
  <c r="T20"/>
  <c r="P20"/>
  <c r="L20"/>
  <c r="H20"/>
  <c r="V20"/>
  <c r="R20"/>
  <c r="N20"/>
  <c r="J20"/>
  <c r="F20"/>
  <c r="X22" i="41"/>
  <c r="Y22"/>
  <c r="Q22"/>
  <c r="I22"/>
  <c r="R22"/>
  <c r="J22"/>
  <c r="V22"/>
  <c r="N22"/>
  <c r="F22"/>
  <c r="X18"/>
  <c r="Y18"/>
  <c r="Q18"/>
  <c r="I18"/>
  <c r="R18"/>
  <c r="J18"/>
  <c r="C13"/>
  <c r="H25"/>
  <c r="V18"/>
  <c r="N18"/>
  <c r="F18"/>
  <c r="X37"/>
  <c r="P37"/>
  <c r="L37"/>
  <c r="V44" i="4"/>
  <c r="X35" i="7"/>
  <c r="M10" i="10"/>
  <c r="R28" i="41"/>
  <c r="H17" i="19"/>
  <c r="P17"/>
  <c r="O17"/>
  <c r="E44" i="33"/>
  <c r="O34"/>
  <c r="K34"/>
  <c r="W22" i="39"/>
  <c r="Y22"/>
  <c r="Q22"/>
  <c r="I22"/>
  <c r="T22"/>
  <c r="L22"/>
  <c r="X22"/>
  <c r="P22"/>
  <c r="H22"/>
  <c r="W18"/>
  <c r="X18"/>
  <c r="P18"/>
  <c r="H18"/>
  <c r="Y18"/>
  <c r="Q18"/>
  <c r="I18"/>
  <c r="U18"/>
  <c r="M18"/>
  <c r="C18"/>
  <c r="W34" i="14"/>
  <c r="C20" i="40"/>
  <c r="U20"/>
  <c r="I24"/>
  <c r="Y24"/>
  <c r="F20" i="19"/>
  <c r="L20"/>
  <c r="H40" i="40"/>
  <c r="H51"/>
  <c r="H28"/>
  <c r="I40" i="42"/>
  <c r="I51"/>
  <c r="I28"/>
  <c r="L44" i="5"/>
  <c r="H34" i="6"/>
  <c r="X18" i="10"/>
  <c r="I17" i="4"/>
  <c r="O18" i="5"/>
  <c r="F18" i="1"/>
  <c r="H15"/>
  <c r="N27" i="4"/>
  <c r="V18" i="1"/>
  <c r="G36"/>
  <c r="R27"/>
  <c r="R28"/>
  <c r="Y15" i="5"/>
  <c r="O16"/>
  <c r="R16"/>
  <c r="U34" i="4"/>
  <c r="T31" i="6"/>
  <c r="T39"/>
  <c r="L31"/>
  <c r="L39"/>
  <c r="U22" i="5"/>
  <c r="H16"/>
  <c r="X16"/>
  <c r="I15"/>
  <c r="R42" i="6"/>
  <c r="R34"/>
  <c r="U31"/>
  <c r="U39"/>
  <c r="T10" i="1"/>
  <c r="AA24" i="4"/>
  <c r="W27" i="6"/>
  <c r="W28"/>
  <c r="T10" i="7"/>
  <c r="S34" i="9"/>
  <c r="K10"/>
  <c r="O10"/>
  <c r="C44" i="10"/>
  <c r="P35" i="12"/>
  <c r="X10"/>
  <c r="Y34" i="14"/>
  <c r="H10"/>
  <c r="S22" i="19"/>
  <c r="I22"/>
  <c r="U17"/>
  <c r="T22"/>
  <c r="J22"/>
  <c r="N17"/>
  <c r="U34" i="23"/>
  <c r="Q34" i="33"/>
  <c r="U34"/>
  <c r="Y34"/>
  <c r="T18" i="39"/>
  <c r="Q20" i="40"/>
  <c r="C24"/>
  <c r="U24"/>
  <c r="U18" i="41"/>
  <c r="U22"/>
  <c r="R40" i="38"/>
  <c r="R51"/>
  <c r="R28"/>
  <c r="X23"/>
  <c r="Q23"/>
  <c r="C23"/>
  <c r="U23"/>
  <c r="J23"/>
  <c r="O23"/>
  <c r="K28" i="40"/>
  <c r="K40"/>
  <c r="K51"/>
  <c r="L40" i="42"/>
  <c r="L51"/>
  <c r="L28"/>
  <c r="S18" i="5"/>
  <c r="F18" i="10"/>
  <c r="O17" i="4"/>
  <c r="P18" i="5"/>
  <c r="L18" i="1"/>
  <c r="V31" i="4"/>
  <c r="V39"/>
  <c r="Q18" i="1"/>
  <c r="R15" i="5"/>
  <c r="J16"/>
  <c r="Y22"/>
  <c r="L16"/>
  <c r="C16"/>
  <c r="C15"/>
  <c r="M22" i="6"/>
  <c r="L15" i="5"/>
  <c r="X27" i="4"/>
  <c r="F36" i="1"/>
  <c r="M18"/>
  <c r="F10" i="4"/>
  <c r="I35"/>
  <c r="J35"/>
  <c r="I35" i="5"/>
  <c r="S18" i="6"/>
  <c r="J34" i="9"/>
  <c r="R34"/>
  <c r="O10" i="10"/>
  <c r="F35" i="12"/>
  <c r="H35"/>
  <c r="U35"/>
  <c r="V35"/>
  <c r="W35"/>
  <c r="V35" i="13"/>
  <c r="I35"/>
  <c r="K35"/>
  <c r="X10"/>
  <c r="S34" i="14"/>
  <c r="W22" i="19"/>
  <c r="K22"/>
  <c r="X22"/>
  <c r="L22"/>
  <c r="K21"/>
  <c r="L18" i="39"/>
  <c r="U22"/>
  <c r="Q24" i="40"/>
  <c r="L37" i="15"/>
  <c r="Z10"/>
  <c r="H49"/>
  <c r="I11"/>
  <c r="N54" i="24"/>
  <c r="N44"/>
  <c r="V54"/>
  <c r="V44"/>
  <c r="H34" i="25"/>
  <c r="P34"/>
  <c r="H34" i="27"/>
  <c r="L34"/>
  <c r="P34"/>
  <c r="T34"/>
  <c r="X34"/>
  <c r="X54"/>
  <c r="X44"/>
  <c r="Z33" i="28"/>
  <c r="AA33"/>
  <c r="S34" i="29"/>
  <c r="Q44"/>
  <c r="K54" i="30"/>
  <c r="K44"/>
  <c r="F34" i="32"/>
  <c r="J34"/>
  <c r="N34"/>
  <c r="R34"/>
  <c r="V34"/>
  <c r="F34" i="33"/>
  <c r="J34"/>
  <c r="N34"/>
  <c r="R34"/>
  <c r="V34"/>
  <c r="I18" i="38"/>
  <c r="U20"/>
  <c r="H21"/>
  <c r="L21"/>
  <c r="R21"/>
  <c r="W21"/>
  <c r="C24"/>
  <c r="Z14"/>
  <c r="AA35"/>
  <c r="H19" i="39"/>
  <c r="P19"/>
  <c r="X19"/>
  <c r="H20"/>
  <c r="L20"/>
  <c r="P20"/>
  <c r="T20"/>
  <c r="Q23"/>
  <c r="H24"/>
  <c r="P24"/>
  <c r="X24"/>
  <c r="O28"/>
  <c r="G40"/>
  <c r="G51"/>
  <c r="P22" i="40"/>
  <c r="X22"/>
  <c r="T28" i="41"/>
  <c r="Z14"/>
  <c r="AA30"/>
  <c r="L18" i="42"/>
  <c r="T18"/>
  <c r="O22"/>
  <c r="Y22"/>
  <c r="G28"/>
  <c r="X59"/>
  <c r="X48"/>
  <c r="G21" i="43"/>
  <c r="K21"/>
  <c r="O21"/>
  <c r="S21"/>
  <c r="W21"/>
  <c r="U28"/>
  <c r="L37"/>
  <c r="R37"/>
  <c r="Y37"/>
  <c r="J28" i="44"/>
  <c r="I59"/>
  <c r="I48"/>
  <c r="M59"/>
  <c r="M48"/>
  <c r="Q59"/>
  <c r="Q48"/>
  <c r="U59"/>
  <c r="U48"/>
  <c r="Y59"/>
  <c r="Y48"/>
  <c r="J59"/>
  <c r="J48"/>
  <c r="N59"/>
  <c r="N48"/>
  <c r="R59"/>
  <c r="R48"/>
  <c r="V59"/>
  <c r="V48"/>
  <c r="G54" i="27"/>
  <c r="G44"/>
  <c r="O54"/>
  <c r="O44"/>
  <c r="I54" i="28"/>
  <c r="I44"/>
  <c r="G34" i="31"/>
  <c r="N34"/>
  <c r="R34"/>
  <c r="H34" i="32"/>
  <c r="L34"/>
  <c r="P34"/>
  <c r="T34"/>
  <c r="X34"/>
  <c r="H34" i="33"/>
  <c r="L34"/>
  <c r="P34"/>
  <c r="T34"/>
  <c r="X34"/>
  <c r="Z13"/>
  <c r="F37" i="34"/>
  <c r="K37" i="38"/>
  <c r="Z14" i="39"/>
  <c r="AA31"/>
  <c r="AA35"/>
  <c r="H18" i="42"/>
  <c r="P18"/>
  <c r="X18"/>
  <c r="I22"/>
  <c r="T22"/>
  <c r="C21" i="43"/>
  <c r="I21"/>
  <c r="M21"/>
  <c r="Q21"/>
  <c r="U21"/>
  <c r="Y21"/>
  <c r="U37"/>
  <c r="R40"/>
  <c r="R51"/>
  <c r="AA31" i="42"/>
  <c r="AA35"/>
  <c r="O28" i="44"/>
  <c r="G59"/>
  <c r="G48"/>
  <c r="K59"/>
  <c r="K48"/>
  <c r="O59"/>
  <c r="O48"/>
  <c r="S59"/>
  <c r="S48"/>
  <c r="W59"/>
  <c r="W48"/>
  <c r="N54" i="27"/>
  <c r="N44"/>
  <c r="U54"/>
  <c r="U44"/>
  <c r="F34" i="31"/>
  <c r="J34"/>
  <c r="M34"/>
  <c r="Q34"/>
  <c r="U34"/>
  <c r="X34"/>
  <c r="G34" i="32"/>
  <c r="K34"/>
  <c r="O34"/>
  <c r="G34" i="33"/>
  <c r="S34"/>
  <c r="W34"/>
  <c r="G59" i="36"/>
  <c r="G48"/>
  <c r="F37" i="41"/>
  <c r="J37"/>
  <c r="R37"/>
  <c r="V37"/>
  <c r="C18" i="42"/>
  <c r="M18"/>
  <c r="U18"/>
  <c r="C22"/>
  <c r="P22"/>
  <c r="H21" i="43"/>
  <c r="L21"/>
  <c r="P21"/>
  <c r="T21"/>
  <c r="V28"/>
  <c r="H37"/>
  <c r="K40"/>
  <c r="K51"/>
  <c r="W28" i="44"/>
  <c r="J41"/>
  <c r="N41"/>
  <c r="R41"/>
  <c r="V41"/>
  <c r="H59"/>
  <c r="H48"/>
  <c r="L59"/>
  <c r="L48"/>
  <c r="P59"/>
  <c r="P48"/>
  <c r="T59"/>
  <c r="T48"/>
  <c r="X59"/>
  <c r="X48"/>
  <c r="M35" i="12"/>
  <c r="M44"/>
  <c r="W18" i="10"/>
  <c r="S18"/>
  <c r="C18"/>
  <c r="Y17" i="4"/>
  <c r="T18" i="10"/>
  <c r="F37" i="15"/>
  <c r="L34" i="5"/>
  <c r="Y18" i="10"/>
  <c r="V18"/>
  <c r="M34" i="13"/>
  <c r="T44" i="12"/>
  <c r="U34" i="5"/>
  <c r="U44"/>
  <c r="AA23"/>
  <c r="Z36" i="38"/>
  <c r="AA36"/>
  <c r="P59" i="40"/>
  <c r="P48"/>
  <c r="G59" i="43"/>
  <c r="G48"/>
  <c r="F59" i="44"/>
  <c r="F48"/>
  <c r="F44" i="5"/>
  <c r="Q35"/>
  <c r="T35"/>
  <c r="U59" i="40"/>
  <c r="U48"/>
  <c r="Y59"/>
  <c r="Y48"/>
  <c r="M40" i="43"/>
  <c r="M51"/>
  <c r="H59"/>
  <c r="H48"/>
  <c r="S22" i="5"/>
  <c r="J27" i="4"/>
  <c r="X16"/>
  <c r="F35"/>
  <c r="G35"/>
  <c r="K10"/>
  <c r="X35"/>
  <c r="E10" i="6"/>
  <c r="G10"/>
  <c r="T22" i="7"/>
  <c r="T27"/>
  <c r="M34" i="9"/>
  <c r="J10"/>
  <c r="U27"/>
  <c r="C10"/>
  <c r="W10"/>
  <c r="X10"/>
  <c r="E10" i="10"/>
  <c r="S44" i="11"/>
  <c r="M35" i="10"/>
  <c r="AA24"/>
  <c r="I10" i="11"/>
  <c r="R22" i="13"/>
  <c r="J34" i="14"/>
  <c r="N34"/>
  <c r="J35"/>
  <c r="M35"/>
  <c r="T35"/>
  <c r="V27"/>
  <c r="U43"/>
  <c r="U35"/>
  <c r="P37" i="15"/>
  <c r="X49"/>
  <c r="O37"/>
  <c r="W39"/>
  <c r="U20" i="19"/>
  <c r="C20"/>
  <c r="W17"/>
  <c r="G17"/>
  <c r="T20"/>
  <c r="V17"/>
  <c r="F17"/>
  <c r="K34" i="23"/>
  <c r="F34" i="28"/>
  <c r="J34"/>
  <c r="N34"/>
  <c r="V34"/>
  <c r="K34" i="29"/>
  <c r="O34"/>
  <c r="R34"/>
  <c r="U34"/>
  <c r="F54"/>
  <c r="F44"/>
  <c r="K38" i="30"/>
  <c r="I54"/>
  <c r="I44"/>
  <c r="I34" i="31"/>
  <c r="L34"/>
  <c r="P34"/>
  <c r="T34"/>
  <c r="W34"/>
  <c r="Y54" i="32"/>
  <c r="Y44"/>
  <c r="L59" i="36"/>
  <c r="L48"/>
  <c r="P19" i="38"/>
  <c r="T19"/>
  <c r="X19"/>
  <c r="R22"/>
  <c r="I23"/>
  <c r="N23"/>
  <c r="S23"/>
  <c r="Y23"/>
  <c r="F28"/>
  <c r="G23"/>
  <c r="G37"/>
  <c r="P28" i="39"/>
  <c r="J59" i="40"/>
  <c r="J48"/>
  <c r="R59"/>
  <c r="R48"/>
  <c r="V59"/>
  <c r="V48"/>
  <c r="AA30"/>
  <c r="P28" i="41"/>
  <c r="M40"/>
  <c r="M51"/>
  <c r="Q28" i="42"/>
  <c r="X28"/>
  <c r="W40"/>
  <c r="W51"/>
  <c r="F28" i="43"/>
  <c r="O28"/>
  <c r="I59"/>
  <c r="I48"/>
  <c r="AA30" i="42"/>
  <c r="AA34"/>
  <c r="F37" i="43"/>
  <c r="J37"/>
  <c r="N37"/>
  <c r="Z36"/>
  <c r="AA36"/>
  <c r="U28" i="44"/>
  <c r="N18" i="1"/>
  <c r="S18" i="11"/>
  <c r="M27" i="1"/>
  <c r="M28"/>
  <c r="M35" i="4"/>
  <c r="P10" i="6"/>
  <c r="U10"/>
  <c r="H34" i="9"/>
  <c r="P34"/>
  <c r="U10"/>
  <c r="V34"/>
  <c r="X10" i="10"/>
  <c r="F35" i="11"/>
  <c r="U10"/>
  <c r="W10"/>
  <c r="Y27" i="13"/>
  <c r="K10" i="12"/>
  <c r="Z25" i="13"/>
  <c r="AA25"/>
  <c r="Z9"/>
  <c r="I34"/>
  <c r="L10"/>
  <c r="M34" i="14"/>
  <c r="L35"/>
  <c r="X35"/>
  <c r="G10"/>
  <c r="S10"/>
  <c r="I37" i="15"/>
  <c r="S37"/>
  <c r="N37"/>
  <c r="K20" i="19"/>
  <c r="M17"/>
  <c r="V20"/>
  <c r="X17"/>
  <c r="T54"/>
  <c r="T44"/>
  <c r="R34" i="23"/>
  <c r="Z33"/>
  <c r="AA33"/>
  <c r="S54" i="24"/>
  <c r="S44"/>
  <c r="K54" i="26"/>
  <c r="K44"/>
  <c r="W54"/>
  <c r="W44"/>
  <c r="H54" i="27"/>
  <c r="H44"/>
  <c r="I34" i="28"/>
  <c r="M34"/>
  <c r="Q34"/>
  <c r="U34"/>
  <c r="Y34"/>
  <c r="J34" i="29"/>
  <c r="N34"/>
  <c r="X34"/>
  <c r="I44"/>
  <c r="H34" i="31"/>
  <c r="O34"/>
  <c r="S34"/>
  <c r="Z33"/>
  <c r="AA33"/>
  <c r="Y34"/>
  <c r="H59" i="36"/>
  <c r="H48"/>
  <c r="F19" i="38"/>
  <c r="K19"/>
  <c r="O19"/>
  <c r="S19"/>
  <c r="F23"/>
  <c r="M23"/>
  <c r="R23"/>
  <c r="W23"/>
  <c r="T28"/>
  <c r="H37"/>
  <c r="O37"/>
  <c r="W37"/>
  <c r="X28" i="39"/>
  <c r="K59" i="40"/>
  <c r="K48"/>
  <c r="J28" i="41"/>
  <c r="P28" i="42"/>
  <c r="F59" i="43"/>
  <c r="F48"/>
  <c r="J59"/>
  <c r="J48"/>
  <c r="AA29" i="42"/>
  <c r="AA33"/>
  <c r="Q37" i="43"/>
  <c r="S37"/>
  <c r="S28" i="44"/>
  <c r="N35" i="4"/>
  <c r="N44"/>
  <c r="M35" i="6"/>
  <c r="S34"/>
  <c r="S44"/>
  <c r="S36"/>
  <c r="R44" i="12"/>
  <c r="R35"/>
  <c r="O34" i="13"/>
  <c r="O44"/>
  <c r="G35" i="11"/>
  <c r="H44"/>
  <c r="H35"/>
  <c r="U44" i="1"/>
  <c r="U36"/>
  <c r="U35"/>
  <c r="N34" i="6"/>
  <c r="N44"/>
  <c r="N36"/>
  <c r="R35" i="13"/>
  <c r="K44" i="6"/>
  <c r="K36"/>
  <c r="K35"/>
  <c r="L34" i="12"/>
  <c r="L44"/>
  <c r="H34" i="13"/>
  <c r="H44"/>
  <c r="W34"/>
  <c r="S44" i="1"/>
  <c r="S36"/>
  <c r="R10" i="4"/>
  <c r="S16" i="5"/>
  <c r="V35" i="9"/>
  <c r="Y17" i="19"/>
  <c r="J17"/>
  <c r="R17"/>
  <c r="I17"/>
  <c r="Q17"/>
  <c r="L17"/>
  <c r="T17"/>
  <c r="C12"/>
  <c r="R23"/>
  <c r="K17"/>
  <c r="S17"/>
  <c r="S21"/>
  <c r="T21"/>
  <c r="G21"/>
  <c r="W21"/>
  <c r="H21"/>
  <c r="F17" i="4"/>
  <c r="J17"/>
  <c r="T17"/>
  <c r="V18" i="5"/>
  <c r="T17" i="11"/>
  <c r="J17" i="12"/>
  <c r="P17"/>
  <c r="P15" i="1"/>
  <c r="P16" i="5"/>
  <c r="U16"/>
  <c r="I16"/>
  <c r="J27" i="1"/>
  <c r="J28"/>
  <c r="P27"/>
  <c r="P28"/>
  <c r="S27"/>
  <c r="S28"/>
  <c r="U18"/>
  <c r="U17"/>
  <c r="J34" i="4"/>
  <c r="X34"/>
  <c r="Y10"/>
  <c r="I10" i="5"/>
  <c r="M10"/>
  <c r="P35"/>
  <c r="S10"/>
  <c r="U10"/>
  <c r="H44" i="7"/>
  <c r="M35" i="9"/>
  <c r="Q35"/>
  <c r="M10"/>
  <c r="Q10" i="10"/>
  <c r="E10" i="12"/>
  <c r="Q10"/>
  <c r="T34"/>
  <c r="Y10"/>
  <c r="U35" i="13"/>
  <c r="E10"/>
  <c r="Q35"/>
  <c r="W10"/>
  <c r="V49" i="15"/>
  <c r="Q34" i="19"/>
  <c r="U34"/>
  <c r="Y34"/>
  <c r="K54" i="23"/>
  <c r="K44"/>
  <c r="H20" i="19"/>
  <c r="P20"/>
  <c r="X20"/>
  <c r="G20"/>
  <c r="O20"/>
  <c r="W20"/>
  <c r="J20"/>
  <c r="R20"/>
  <c r="I20"/>
  <c r="Q20"/>
  <c r="Q17" i="4"/>
  <c r="C17"/>
  <c r="I18" i="5"/>
  <c r="F17" i="11"/>
  <c r="M17"/>
  <c r="V17" i="12"/>
  <c r="S17"/>
  <c r="T18" i="11"/>
  <c r="T16" i="5"/>
  <c r="Y16"/>
  <c r="O22" i="4"/>
  <c r="O27" i="1"/>
  <c r="O28"/>
  <c r="W34" i="4"/>
  <c r="G35" i="5"/>
  <c r="K10"/>
  <c r="C44"/>
  <c r="E36"/>
  <c r="V10"/>
  <c r="N10" i="6"/>
  <c r="S17"/>
  <c r="W10"/>
  <c r="X17"/>
  <c r="AA24" i="7"/>
  <c r="G10"/>
  <c r="H10"/>
  <c r="O10"/>
  <c r="P10"/>
  <c r="Y27"/>
  <c r="Y22" i="9"/>
  <c r="L10"/>
  <c r="Q34" i="10"/>
  <c r="Z9" i="11"/>
  <c r="F10" i="12"/>
  <c r="G10"/>
  <c r="F10" i="14"/>
  <c r="F35"/>
  <c r="Q10"/>
  <c r="K17" i="12"/>
  <c r="R27" i="7"/>
  <c r="T10" i="12"/>
  <c r="V44" i="14"/>
  <c r="Y35" i="13"/>
  <c r="U10" i="14"/>
  <c r="W10"/>
  <c r="V54" i="19"/>
  <c r="V44"/>
  <c r="I34"/>
  <c r="Y10" i="14"/>
  <c r="H11" i="15"/>
  <c r="T34" i="23"/>
  <c r="W34"/>
  <c r="I54"/>
  <c r="I44"/>
  <c r="U54"/>
  <c r="U44"/>
  <c r="K34" i="24"/>
  <c r="O34"/>
  <c r="S34"/>
  <c r="P54"/>
  <c r="P44"/>
  <c r="H54" i="25"/>
  <c r="H44"/>
  <c r="J54"/>
  <c r="J44"/>
  <c r="F34" i="27"/>
  <c r="J34"/>
  <c r="N34"/>
  <c r="I54"/>
  <c r="I44"/>
  <c r="L54"/>
  <c r="L44"/>
  <c r="P54"/>
  <c r="P44"/>
  <c r="V54"/>
  <c r="V44"/>
  <c r="H54" i="30"/>
  <c r="H44"/>
  <c r="T54"/>
  <c r="T44"/>
  <c r="M54" i="32"/>
  <c r="M44"/>
  <c r="Q54"/>
  <c r="Q44"/>
  <c r="U54"/>
  <c r="U44"/>
  <c r="P41" i="36"/>
  <c r="H42"/>
  <c r="T59"/>
  <c r="T48"/>
  <c r="AA27" i="32"/>
  <c r="AA32"/>
  <c r="O28" i="38"/>
  <c r="V28"/>
  <c r="S40"/>
  <c r="S51"/>
  <c r="AA33"/>
  <c r="P28" i="40"/>
  <c r="X28"/>
  <c r="F59"/>
  <c r="F48"/>
  <c r="G59"/>
  <c r="G48"/>
  <c r="H59"/>
  <c r="H48"/>
  <c r="I59"/>
  <c r="I48"/>
  <c r="L59"/>
  <c r="L48"/>
  <c r="M59"/>
  <c r="M48"/>
  <c r="N59"/>
  <c r="N48"/>
  <c r="O59"/>
  <c r="O48"/>
  <c r="Q59"/>
  <c r="Q48"/>
  <c r="S59"/>
  <c r="S48"/>
  <c r="T59"/>
  <c r="T48"/>
  <c r="W59"/>
  <c r="W48"/>
  <c r="X59"/>
  <c r="X48"/>
  <c r="AA33"/>
  <c r="V37"/>
  <c r="L28" i="41"/>
  <c r="AA31"/>
  <c r="AA34"/>
  <c r="Z36"/>
  <c r="AA36"/>
  <c r="W59" i="42"/>
  <c r="W48"/>
  <c r="H40" i="41"/>
  <c r="H51"/>
  <c r="N40"/>
  <c r="N51"/>
  <c r="G39" i="15"/>
  <c r="T34" i="14"/>
  <c r="Z13" i="19"/>
  <c r="S34"/>
  <c r="W34"/>
  <c r="G54"/>
  <c r="G44"/>
  <c r="M34" i="23"/>
  <c r="Q34"/>
  <c r="J54"/>
  <c r="J44"/>
  <c r="R54"/>
  <c r="R44"/>
  <c r="V54"/>
  <c r="V44"/>
  <c r="L34" i="24"/>
  <c r="N54" i="26"/>
  <c r="N44"/>
  <c r="V54"/>
  <c r="V44"/>
  <c r="G34" i="27"/>
  <c r="K34"/>
  <c r="O34"/>
  <c r="S34"/>
  <c r="W34"/>
  <c r="G38"/>
  <c r="S54" i="28"/>
  <c r="S44"/>
  <c r="F38" i="29"/>
  <c r="X38"/>
  <c r="K54"/>
  <c r="K44"/>
  <c r="O54"/>
  <c r="O44"/>
  <c r="P54"/>
  <c r="P44"/>
  <c r="O54" i="30"/>
  <c r="O44"/>
  <c r="S54"/>
  <c r="S44"/>
  <c r="K54" i="31"/>
  <c r="K44"/>
  <c r="G41" i="36"/>
  <c r="M59"/>
  <c r="M48"/>
  <c r="X59"/>
  <c r="X48"/>
  <c r="K59"/>
  <c r="K48"/>
  <c r="M21" i="38"/>
  <c r="Q21"/>
  <c r="U21"/>
  <c r="Y21"/>
  <c r="H23"/>
  <c r="L23"/>
  <c r="P23"/>
  <c r="T23"/>
  <c r="P28"/>
  <c r="AA34"/>
  <c r="U40" i="39"/>
  <c r="U51"/>
  <c r="I37" i="41"/>
  <c r="Q37"/>
  <c r="AA29"/>
  <c r="AA35"/>
  <c r="Q59" i="42"/>
  <c r="Q48"/>
  <c r="AA34" i="43"/>
  <c r="K40" i="44"/>
  <c r="K51"/>
  <c r="Y35" i="4"/>
  <c r="Y44"/>
  <c r="Y44" i="6"/>
  <c r="Y36"/>
  <c r="F18" i="5"/>
  <c r="L18"/>
  <c r="R18"/>
  <c r="Y18"/>
  <c r="C18"/>
  <c r="W18"/>
  <c r="K18"/>
  <c r="X18"/>
  <c r="N18"/>
  <c r="J18"/>
  <c r="H18"/>
  <c r="K44" i="4"/>
  <c r="K35"/>
  <c r="J34" i="12"/>
  <c r="G35" i="14"/>
  <c r="G44"/>
  <c r="R35" i="6"/>
  <c r="P44" i="10"/>
  <c r="P35"/>
  <c r="W35" i="11"/>
  <c r="F44" i="12"/>
  <c r="F34"/>
  <c r="X35"/>
  <c r="U34" i="14"/>
  <c r="K44" i="5"/>
  <c r="K34"/>
  <c r="X34" i="13"/>
  <c r="X44"/>
  <c r="R34" i="14"/>
  <c r="U18" i="5"/>
  <c r="Q18"/>
  <c r="G54" i="25"/>
  <c r="G44"/>
  <c r="G38"/>
  <c r="J18" i="11"/>
  <c r="X18"/>
  <c r="N15" i="5"/>
  <c r="O10" i="1"/>
  <c r="J44" i="4"/>
  <c r="M34"/>
  <c r="N10"/>
  <c r="V10"/>
  <c r="W10"/>
  <c r="AA23"/>
  <c r="H10" i="5"/>
  <c r="W31" i="6"/>
  <c r="W39"/>
  <c r="N35" i="5"/>
  <c r="O10"/>
  <c r="R10"/>
  <c r="W35"/>
  <c r="Z8" i="7"/>
  <c r="I44"/>
  <c r="M10"/>
  <c r="N10"/>
  <c r="Q10"/>
  <c r="G44" i="9"/>
  <c r="I35"/>
  <c r="G10"/>
  <c r="U35"/>
  <c r="AA24"/>
  <c r="C8" i="10"/>
  <c r="F10" i="11"/>
  <c r="G10"/>
  <c r="X10"/>
  <c r="J10" i="12"/>
  <c r="R10"/>
  <c r="S10"/>
  <c r="H10" i="13"/>
  <c r="H35" i="14"/>
  <c r="Y39" i="15"/>
  <c r="N19" i="19"/>
  <c r="L37"/>
  <c r="L47"/>
  <c r="Q19"/>
  <c r="V10" i="14"/>
  <c r="X19" i="19"/>
  <c r="G11" i="15"/>
  <c r="M54" i="23"/>
  <c r="M44"/>
  <c r="P54"/>
  <c r="P44"/>
  <c r="X54"/>
  <c r="X44"/>
  <c r="O54"/>
  <c r="O44"/>
  <c r="K54" i="24"/>
  <c r="K44"/>
  <c r="J54" i="26"/>
  <c r="J44"/>
  <c r="Q54"/>
  <c r="Q44"/>
  <c r="U54"/>
  <c r="U44"/>
  <c r="F54"/>
  <c r="F44"/>
  <c r="Y54" i="25"/>
  <c r="Y44"/>
  <c r="Y38"/>
  <c r="M54"/>
  <c r="M44"/>
  <c r="M39"/>
  <c r="T54" i="26"/>
  <c r="T44"/>
  <c r="T38"/>
  <c r="I44" i="5"/>
  <c r="L18" i="11"/>
  <c r="P15" i="5"/>
  <c r="P27" i="4"/>
  <c r="F15" i="5"/>
  <c r="L44" i="1"/>
  <c r="L36"/>
  <c r="R10"/>
  <c r="S10"/>
  <c r="G10" i="4"/>
  <c r="J10"/>
  <c r="V34"/>
  <c r="X10"/>
  <c r="Y34"/>
  <c r="F35" i="5"/>
  <c r="J10"/>
  <c r="L27"/>
  <c r="Q44"/>
  <c r="H10" i="6"/>
  <c r="R43" i="7"/>
  <c r="E10"/>
  <c r="S35"/>
  <c r="T44" i="9"/>
  <c r="O35"/>
  <c r="S35"/>
  <c r="C44"/>
  <c r="N10"/>
  <c r="V10"/>
  <c r="C44" i="11"/>
  <c r="V10"/>
  <c r="I22" i="13"/>
  <c r="N10" i="12"/>
  <c r="V34" i="13"/>
  <c r="I10"/>
  <c r="K10"/>
  <c r="I35" i="14"/>
  <c r="Q39" i="15"/>
  <c r="R19" i="19"/>
  <c r="U19"/>
  <c r="C49" i="15"/>
  <c r="N54" i="19"/>
  <c r="N44"/>
  <c r="L54" i="23"/>
  <c r="L44"/>
  <c r="J54" i="24"/>
  <c r="J44"/>
  <c r="X54" i="26"/>
  <c r="X44"/>
  <c r="O54" i="25"/>
  <c r="O44"/>
  <c r="O38"/>
  <c r="N44" i="1"/>
  <c r="N36"/>
  <c r="U27" i="5"/>
  <c r="I44" i="10"/>
  <c r="Y54" i="23"/>
  <c r="Y44"/>
  <c r="Y38"/>
  <c r="F54" i="25"/>
  <c r="F44"/>
  <c r="F43"/>
  <c r="Q10" i="1"/>
  <c r="T10" i="4"/>
  <c r="W15" i="5"/>
  <c r="L10" i="7"/>
  <c r="S10"/>
  <c r="Y10"/>
  <c r="H10" i="11"/>
  <c r="C8" i="13"/>
  <c r="S39" i="15"/>
  <c r="F54" i="23"/>
  <c r="F44"/>
  <c r="Q54"/>
  <c r="Q44"/>
  <c r="Y54" i="24"/>
  <c r="Y44"/>
  <c r="H39" i="25"/>
  <c r="H40" i="38"/>
  <c r="H51"/>
  <c r="H28"/>
  <c r="N40"/>
  <c r="N51"/>
  <c r="N28"/>
  <c r="X40"/>
  <c r="X51"/>
  <c r="X28"/>
  <c r="W22"/>
  <c r="G22"/>
  <c r="V22"/>
  <c r="N22"/>
  <c r="C22"/>
  <c r="U22"/>
  <c r="M22"/>
  <c r="G34" i="19"/>
  <c r="H34" i="23"/>
  <c r="O34"/>
  <c r="H54"/>
  <c r="H44"/>
  <c r="T54"/>
  <c r="T44"/>
  <c r="W34" i="24"/>
  <c r="H54"/>
  <c r="H44"/>
  <c r="Q54"/>
  <c r="Q44"/>
  <c r="U54"/>
  <c r="U44"/>
  <c r="G34" i="25"/>
  <c r="L34"/>
  <c r="S34"/>
  <c r="Y34"/>
  <c r="I54" i="26"/>
  <c r="I44"/>
  <c r="S54"/>
  <c r="S44"/>
  <c r="L54"/>
  <c r="L44"/>
  <c r="U34" i="27"/>
  <c r="F54"/>
  <c r="F44"/>
  <c r="K54"/>
  <c r="K44"/>
  <c r="S54"/>
  <c r="S44"/>
  <c r="Y54"/>
  <c r="Y44"/>
  <c r="Q54" i="28"/>
  <c r="Q44"/>
  <c r="F34" i="29"/>
  <c r="L34"/>
  <c r="V34"/>
  <c r="Y34"/>
  <c r="G54"/>
  <c r="G44"/>
  <c r="M54"/>
  <c r="M44"/>
  <c r="R54"/>
  <c r="R44"/>
  <c r="V54"/>
  <c r="V44"/>
  <c r="L54" i="30"/>
  <c r="L44"/>
  <c r="W54"/>
  <c r="W44"/>
  <c r="X54"/>
  <c r="X44"/>
  <c r="K40" i="31"/>
  <c r="S54"/>
  <c r="S44"/>
  <c r="U54" i="33"/>
  <c r="U44"/>
  <c r="Z13" i="25"/>
  <c r="Z13" i="29"/>
  <c r="O59" i="36"/>
  <c r="O48"/>
  <c r="G40" i="38"/>
  <c r="G51"/>
  <c r="G28"/>
  <c r="W40"/>
  <c r="W51"/>
  <c r="W28"/>
  <c r="W20"/>
  <c r="G20"/>
  <c r="R20"/>
  <c r="J20"/>
  <c r="Y20"/>
  <c r="Q20"/>
  <c r="I20"/>
  <c r="F54" i="28"/>
  <c r="F44"/>
  <c r="P54" i="30"/>
  <c r="P44"/>
  <c r="I59" i="38"/>
  <c r="I48"/>
  <c r="M59"/>
  <c r="M48"/>
  <c r="Q59"/>
  <c r="Q48"/>
  <c r="U59"/>
  <c r="U48"/>
  <c r="L40"/>
  <c r="L51"/>
  <c r="L28"/>
  <c r="F59"/>
  <c r="F48"/>
  <c r="F41"/>
  <c r="N59"/>
  <c r="N48"/>
  <c r="N41"/>
  <c r="V59"/>
  <c r="V48"/>
  <c r="V41"/>
  <c r="W18"/>
  <c r="G18"/>
  <c r="V18"/>
  <c r="N18"/>
  <c r="C18"/>
  <c r="U18"/>
  <c r="M18"/>
  <c r="H54" i="29"/>
  <c r="H44"/>
  <c r="J40" i="38"/>
  <c r="J51"/>
  <c r="J59"/>
  <c r="J48"/>
  <c r="R59"/>
  <c r="R48"/>
  <c r="W24"/>
  <c r="G24"/>
  <c r="R24"/>
  <c r="J24"/>
  <c r="Y24"/>
  <c r="Q24"/>
  <c r="I24"/>
  <c r="L54" i="19"/>
  <c r="L44"/>
  <c r="P34" i="23"/>
  <c r="N54"/>
  <c r="N44"/>
  <c r="G54"/>
  <c r="G44"/>
  <c r="S54"/>
  <c r="S44"/>
  <c r="I54" i="24"/>
  <c r="I44"/>
  <c r="L54"/>
  <c r="L44"/>
  <c r="O54"/>
  <c r="O44"/>
  <c r="R54"/>
  <c r="R44"/>
  <c r="W54" i="25"/>
  <c r="W44"/>
  <c r="M54" i="26"/>
  <c r="M44"/>
  <c r="Y54"/>
  <c r="Y44"/>
  <c r="H54"/>
  <c r="H44"/>
  <c r="R34" i="27"/>
  <c r="V34"/>
  <c r="Z33"/>
  <c r="AA33"/>
  <c r="Q54"/>
  <c r="Q44"/>
  <c r="W54"/>
  <c r="W44"/>
  <c r="U54" i="28"/>
  <c r="U44"/>
  <c r="Q34" i="29"/>
  <c r="T34"/>
  <c r="W34"/>
  <c r="H40"/>
  <c r="Q54" i="30"/>
  <c r="Q44"/>
  <c r="T41"/>
  <c r="K54" i="32"/>
  <c r="K44"/>
  <c r="O54"/>
  <c r="O44"/>
  <c r="S54"/>
  <c r="S44"/>
  <c r="U41" i="36"/>
  <c r="R18" i="38"/>
  <c r="N20"/>
  <c r="J41"/>
  <c r="W59" i="36"/>
  <c r="W48"/>
  <c r="Z13" i="32"/>
  <c r="AA31"/>
  <c r="AA27" i="33"/>
  <c r="AA31"/>
  <c r="Z33"/>
  <c r="AA33"/>
  <c r="AA30" i="34"/>
  <c r="AA34"/>
  <c r="Z36"/>
  <c r="AA36"/>
  <c r="H59" i="38"/>
  <c r="H48"/>
  <c r="L59"/>
  <c r="L48"/>
  <c r="P59"/>
  <c r="P48"/>
  <c r="T59"/>
  <c r="T48"/>
  <c r="Y59"/>
  <c r="Y48"/>
  <c r="F18" i="39"/>
  <c r="J18"/>
  <c r="N18"/>
  <c r="R18"/>
  <c r="V18"/>
  <c r="C19"/>
  <c r="I19"/>
  <c r="M19"/>
  <c r="Q19"/>
  <c r="U19"/>
  <c r="F22"/>
  <c r="J22"/>
  <c r="N22"/>
  <c r="R22"/>
  <c r="V22"/>
  <c r="C23"/>
  <c r="M23"/>
  <c r="U23"/>
  <c r="S28"/>
  <c r="H59"/>
  <c r="H48"/>
  <c r="L59"/>
  <c r="L48"/>
  <c r="P59"/>
  <c r="P48"/>
  <c r="T59"/>
  <c r="T48"/>
  <c r="X59"/>
  <c r="X48"/>
  <c r="AA29"/>
  <c r="AA33"/>
  <c r="Z36"/>
  <c r="AA36"/>
  <c r="F18" i="40"/>
  <c r="J18"/>
  <c r="N18"/>
  <c r="R18"/>
  <c r="V18"/>
  <c r="G21"/>
  <c r="K21"/>
  <c r="O21"/>
  <c r="S21"/>
  <c r="W21"/>
  <c r="F22"/>
  <c r="J22"/>
  <c r="N22"/>
  <c r="R22"/>
  <c r="V22"/>
  <c r="J28"/>
  <c r="O28"/>
  <c r="T28"/>
  <c r="AA34"/>
  <c r="Z36"/>
  <c r="AA36"/>
  <c r="G18" i="41"/>
  <c r="K18"/>
  <c r="O18"/>
  <c r="S18"/>
  <c r="W18"/>
  <c r="H21"/>
  <c r="P21"/>
  <c r="X21"/>
  <c r="G22"/>
  <c r="K22"/>
  <c r="O22"/>
  <c r="S22"/>
  <c r="W22"/>
  <c r="Y37"/>
  <c r="F18" i="42"/>
  <c r="J18"/>
  <c r="N18"/>
  <c r="R18"/>
  <c r="G21"/>
  <c r="K21"/>
  <c r="O21"/>
  <c r="S21"/>
  <c r="W21"/>
  <c r="G22"/>
  <c r="L22"/>
  <c r="Q22"/>
  <c r="W22"/>
  <c r="O28"/>
  <c r="T28"/>
  <c r="W41"/>
  <c r="I59"/>
  <c r="I48"/>
  <c r="M59"/>
  <c r="M48"/>
  <c r="K23" i="43"/>
  <c r="C24"/>
  <c r="I24"/>
  <c r="M24"/>
  <c r="Q24"/>
  <c r="U24"/>
  <c r="Y24"/>
  <c r="C13"/>
  <c r="P62"/>
  <c r="AA30"/>
  <c r="F28" i="44"/>
  <c r="I59" i="39"/>
  <c r="I48"/>
  <c r="M59"/>
  <c r="M48"/>
  <c r="Q59"/>
  <c r="Q48"/>
  <c r="U59"/>
  <c r="U48"/>
  <c r="Y59"/>
  <c r="Y48"/>
  <c r="F59" i="42"/>
  <c r="F48"/>
  <c r="J59"/>
  <c r="J48"/>
  <c r="AA32" i="43"/>
  <c r="F59" i="39"/>
  <c r="F48"/>
  <c r="J59"/>
  <c r="J48"/>
  <c r="N59"/>
  <c r="N48"/>
  <c r="R59"/>
  <c r="R48"/>
  <c r="V59"/>
  <c r="V48"/>
  <c r="C13"/>
  <c r="W62"/>
  <c r="F40" i="40"/>
  <c r="F51"/>
  <c r="V40"/>
  <c r="V51"/>
  <c r="C13" i="42"/>
  <c r="J25"/>
  <c r="M59" i="43"/>
  <c r="M48"/>
  <c r="Q59"/>
  <c r="Q48"/>
  <c r="S59" i="36"/>
  <c r="S48"/>
  <c r="AA29" i="32"/>
  <c r="AA28" i="33"/>
  <c r="AA32"/>
  <c r="Z14" i="34"/>
  <c r="AA31"/>
  <c r="AA35"/>
  <c r="G59" i="38"/>
  <c r="G48"/>
  <c r="K59"/>
  <c r="K48"/>
  <c r="O59"/>
  <c r="O48"/>
  <c r="S59"/>
  <c r="S48"/>
  <c r="W59"/>
  <c r="W48"/>
  <c r="X59"/>
  <c r="X48"/>
  <c r="AA31"/>
  <c r="U37"/>
  <c r="G18" i="39"/>
  <c r="K18"/>
  <c r="O18"/>
  <c r="S18"/>
  <c r="F19"/>
  <c r="J19"/>
  <c r="N19"/>
  <c r="R19"/>
  <c r="V19"/>
  <c r="G22"/>
  <c r="K22"/>
  <c r="O22"/>
  <c r="S22"/>
  <c r="F23"/>
  <c r="N23"/>
  <c r="V23"/>
  <c r="L28"/>
  <c r="M41"/>
  <c r="U41"/>
  <c r="G59"/>
  <c r="G48"/>
  <c r="K59"/>
  <c r="K48"/>
  <c r="O59"/>
  <c r="O48"/>
  <c r="S59"/>
  <c r="S48"/>
  <c r="W59"/>
  <c r="W48"/>
  <c r="Z36" i="36"/>
  <c r="AA36"/>
  <c r="AA30" i="39"/>
  <c r="AA34"/>
  <c r="G18" i="40"/>
  <c r="K18"/>
  <c r="O18"/>
  <c r="S18"/>
  <c r="H21"/>
  <c r="L21"/>
  <c r="P21"/>
  <c r="T21"/>
  <c r="G22"/>
  <c r="K22"/>
  <c r="O22"/>
  <c r="S22"/>
  <c r="F37"/>
  <c r="J37"/>
  <c r="N37"/>
  <c r="R37"/>
  <c r="AA31"/>
  <c r="AA35"/>
  <c r="H18" i="41"/>
  <c r="L18"/>
  <c r="P18"/>
  <c r="T18"/>
  <c r="I21"/>
  <c r="Q21"/>
  <c r="H22"/>
  <c r="L22"/>
  <c r="P22"/>
  <c r="T22"/>
  <c r="Y28"/>
  <c r="I59"/>
  <c r="I48"/>
  <c r="M59"/>
  <c r="M48"/>
  <c r="Q59"/>
  <c r="Q48"/>
  <c r="U59"/>
  <c r="U48"/>
  <c r="Y59"/>
  <c r="Y48"/>
  <c r="G18" i="42"/>
  <c r="K18"/>
  <c r="O18"/>
  <c r="S18"/>
  <c r="W18"/>
  <c r="H21"/>
  <c r="L21"/>
  <c r="P21"/>
  <c r="T21"/>
  <c r="H22"/>
  <c r="M22"/>
  <c r="S22"/>
  <c r="X22"/>
  <c r="X43"/>
  <c r="F24" i="43"/>
  <c r="J24"/>
  <c r="N24"/>
  <c r="R24"/>
  <c r="G28"/>
  <c r="W28"/>
  <c r="N59"/>
  <c r="N48"/>
  <c r="W37"/>
  <c r="X37"/>
  <c r="M28" i="44"/>
  <c r="R28"/>
  <c r="H44" i="4"/>
  <c r="H35"/>
  <c r="M35" i="5"/>
  <c r="M44"/>
  <c r="X35"/>
  <c r="X44"/>
  <c r="L44" i="6"/>
  <c r="L36"/>
  <c r="L35"/>
  <c r="X34"/>
  <c r="X44"/>
  <c r="X36"/>
  <c r="M44" i="4"/>
  <c r="O18"/>
  <c r="I35" i="6"/>
  <c r="I44"/>
  <c r="I36"/>
  <c r="H24" i="1"/>
  <c r="H27"/>
  <c r="H28"/>
  <c r="G27"/>
  <c r="G28"/>
  <c r="G44" i="4"/>
  <c r="G34"/>
  <c r="P44"/>
  <c r="P34"/>
  <c r="R44"/>
  <c r="R34"/>
  <c r="G35" i="6"/>
  <c r="G44"/>
  <c r="G36"/>
  <c r="P44"/>
  <c r="P36"/>
  <c r="P35"/>
  <c r="W44"/>
  <c r="W36"/>
  <c r="W35"/>
  <c r="T35" i="4"/>
  <c r="V18"/>
  <c r="Q18"/>
  <c r="M18"/>
  <c r="T18"/>
  <c r="N18"/>
  <c r="G18"/>
  <c r="J18"/>
  <c r="F18"/>
  <c r="I18"/>
  <c r="S18"/>
  <c r="C18"/>
  <c r="X18"/>
  <c r="H18"/>
  <c r="K18"/>
  <c r="L18"/>
  <c r="R18"/>
  <c r="P18"/>
  <c r="U18"/>
  <c r="W18"/>
  <c r="Y18"/>
  <c r="O44" i="10"/>
  <c r="O34"/>
  <c r="G59" i="34"/>
  <c r="G48"/>
  <c r="U18" i="10"/>
  <c r="J18"/>
  <c r="G18"/>
  <c r="M18"/>
  <c r="N18"/>
  <c r="K44" i="13"/>
  <c r="V17" i="4"/>
  <c r="P17"/>
  <c r="C10"/>
  <c r="S17"/>
  <c r="M17"/>
  <c r="R18" i="10"/>
  <c r="N34" i="12"/>
  <c r="S17" i="11"/>
  <c r="U17"/>
  <c r="Q17" i="12"/>
  <c r="R17"/>
  <c r="I17"/>
  <c r="O17"/>
  <c r="H17"/>
  <c r="W17"/>
  <c r="M15" i="5"/>
  <c r="S22" i="4"/>
  <c r="V15" i="5"/>
  <c r="H15"/>
  <c r="C44" i="4"/>
  <c r="G44" i="5"/>
  <c r="O15"/>
  <c r="C10" i="6"/>
  <c r="C16"/>
  <c r="F16"/>
  <c r="I18" i="10"/>
  <c r="H18"/>
  <c r="O18"/>
  <c r="P18"/>
  <c r="H17" i="4"/>
  <c r="W17"/>
  <c r="U17"/>
  <c r="K17"/>
  <c r="L17"/>
  <c r="I34" i="5"/>
  <c r="P17" i="11"/>
  <c r="M17" i="12"/>
  <c r="N17"/>
  <c r="G17"/>
  <c r="T17"/>
  <c r="M44" i="1"/>
  <c r="M36"/>
  <c r="Q15" i="5"/>
  <c r="S15"/>
  <c r="J15"/>
  <c r="I44" i="13"/>
  <c r="V39" i="28"/>
  <c r="V54"/>
  <c r="V44"/>
  <c r="H40"/>
  <c r="H54"/>
  <c r="H44"/>
  <c r="K54"/>
  <c r="K44"/>
  <c r="K40"/>
  <c r="O54"/>
  <c r="O44"/>
  <c r="O40"/>
  <c r="F27" i="7"/>
  <c r="V33"/>
  <c r="P26" i="19"/>
  <c r="X26"/>
  <c r="L42"/>
  <c r="G39" i="23"/>
  <c r="O39"/>
  <c r="S41"/>
  <c r="F54" i="24"/>
  <c r="F44"/>
  <c r="I54" i="25"/>
  <c r="I44"/>
  <c r="J41"/>
  <c r="E44"/>
  <c r="H39" i="26"/>
  <c r="F40"/>
  <c r="L41"/>
  <c r="M54" i="27"/>
  <c r="M44"/>
  <c r="N54" i="28"/>
  <c r="N44"/>
  <c r="N38"/>
  <c r="R54"/>
  <c r="R44"/>
  <c r="R38"/>
  <c r="U42" i="9"/>
  <c r="G54" i="24"/>
  <c r="G44"/>
  <c r="J54" i="28"/>
  <c r="J44"/>
  <c r="L54"/>
  <c r="L44"/>
  <c r="P54"/>
  <c r="P44"/>
  <c r="T54"/>
  <c r="T44"/>
  <c r="R27" i="12"/>
  <c r="C44" i="14"/>
  <c r="J37" i="15"/>
  <c r="H37" i="19"/>
  <c r="H47"/>
  <c r="I34" i="25"/>
  <c r="M34"/>
  <c r="R34"/>
  <c r="U38" i="28"/>
  <c r="L38" i="29"/>
  <c r="Y54"/>
  <c r="Y44"/>
  <c r="X20" i="30"/>
  <c r="L34"/>
  <c r="R34"/>
  <c r="Q38"/>
  <c r="G54"/>
  <c r="G44"/>
  <c r="K37" i="31"/>
  <c r="K47"/>
  <c r="S37"/>
  <c r="S47"/>
  <c r="Q34" i="32"/>
  <c r="S34"/>
  <c r="U34"/>
  <c r="W34"/>
  <c r="Z13" i="30"/>
  <c r="T38" i="25"/>
  <c r="T54"/>
  <c r="T44"/>
  <c r="O59" i="34"/>
  <c r="O48"/>
  <c r="O28" i="41"/>
  <c r="O40"/>
  <c r="O51"/>
  <c r="N37"/>
  <c r="W37"/>
  <c r="S37"/>
  <c r="O37"/>
  <c r="K37"/>
  <c r="G37"/>
  <c r="N28" i="42"/>
  <c r="N40"/>
  <c r="N51"/>
  <c r="W23"/>
  <c r="S23"/>
  <c r="O23"/>
  <c r="K23"/>
  <c r="G23"/>
  <c r="X23"/>
  <c r="T23"/>
  <c r="P23"/>
  <c r="L23"/>
  <c r="H23"/>
  <c r="Y23"/>
  <c r="U23"/>
  <c r="Q23"/>
  <c r="M23"/>
  <c r="I23"/>
  <c r="C23"/>
  <c r="W19"/>
  <c r="S19"/>
  <c r="O19"/>
  <c r="K19"/>
  <c r="G19"/>
  <c r="X19"/>
  <c r="T19"/>
  <c r="P19"/>
  <c r="L19"/>
  <c r="H19"/>
  <c r="Y19"/>
  <c r="U19"/>
  <c r="Q19"/>
  <c r="M19"/>
  <c r="I19"/>
  <c r="C19"/>
  <c r="P28" i="43"/>
  <c r="P40"/>
  <c r="P51"/>
  <c r="Y59"/>
  <c r="Y48"/>
  <c r="Y41"/>
  <c r="X23"/>
  <c r="T23"/>
  <c r="P23"/>
  <c r="L23"/>
  <c r="H23"/>
  <c r="Y23"/>
  <c r="U23"/>
  <c r="Q23"/>
  <c r="M23"/>
  <c r="I23"/>
  <c r="C23"/>
  <c r="V23"/>
  <c r="R23"/>
  <c r="N23"/>
  <c r="J23"/>
  <c r="F23"/>
  <c r="X19"/>
  <c r="T19"/>
  <c r="P19"/>
  <c r="L19"/>
  <c r="H19"/>
  <c r="Y19"/>
  <c r="U19"/>
  <c r="Q19"/>
  <c r="M19"/>
  <c r="I19"/>
  <c r="C19"/>
  <c r="V19"/>
  <c r="R19"/>
  <c r="N19"/>
  <c r="J19"/>
  <c r="F19"/>
  <c r="P40" i="44"/>
  <c r="P51"/>
  <c r="P28"/>
  <c r="F59" i="36"/>
  <c r="F48"/>
  <c r="J59"/>
  <c r="J48"/>
  <c r="N59"/>
  <c r="N48"/>
  <c r="R59"/>
  <c r="R48"/>
  <c r="V59"/>
  <c r="V48"/>
  <c r="H18" i="38"/>
  <c r="L18"/>
  <c r="P18"/>
  <c r="T18"/>
  <c r="X18"/>
  <c r="H20"/>
  <c r="L20"/>
  <c r="P20"/>
  <c r="T20"/>
  <c r="X20"/>
  <c r="H22"/>
  <c r="L22"/>
  <c r="P22"/>
  <c r="T22"/>
  <c r="X22"/>
  <c r="H24"/>
  <c r="L24"/>
  <c r="P24"/>
  <c r="T24"/>
  <c r="X24"/>
  <c r="I37"/>
  <c r="M37"/>
  <c r="Q37"/>
  <c r="Y37"/>
  <c r="I41"/>
  <c r="M41"/>
  <c r="Q41"/>
  <c r="U41"/>
  <c r="Y41"/>
  <c r="I40"/>
  <c r="I51"/>
  <c r="M40"/>
  <c r="M51"/>
  <c r="Q40"/>
  <c r="Q51"/>
  <c r="U40"/>
  <c r="U51"/>
  <c r="Y40"/>
  <c r="Y51"/>
  <c r="C13"/>
  <c r="X25"/>
  <c r="H23" i="39"/>
  <c r="L23"/>
  <c r="P23"/>
  <c r="T23"/>
  <c r="X23"/>
  <c r="G24"/>
  <c r="K24"/>
  <c r="O24"/>
  <c r="S24"/>
  <c r="W24"/>
  <c r="F28"/>
  <c r="J28"/>
  <c r="N28"/>
  <c r="R28"/>
  <c r="V28"/>
  <c r="G41"/>
  <c r="K41"/>
  <c r="O41"/>
  <c r="S41"/>
  <c r="W41"/>
  <c r="Y37" i="40"/>
  <c r="I40"/>
  <c r="I51"/>
  <c r="M40"/>
  <c r="M51"/>
  <c r="Q40"/>
  <c r="Q51"/>
  <c r="U40"/>
  <c r="U51"/>
  <c r="Y40"/>
  <c r="Y51"/>
  <c r="C13"/>
  <c r="F40" i="41"/>
  <c r="F51"/>
  <c r="V40"/>
  <c r="V51"/>
  <c r="F59"/>
  <c r="F48"/>
  <c r="J59"/>
  <c r="J48"/>
  <c r="N59"/>
  <c r="N48"/>
  <c r="R59"/>
  <c r="R48"/>
  <c r="V59"/>
  <c r="V48"/>
  <c r="Y59" i="42"/>
  <c r="Y48"/>
  <c r="K28" i="41"/>
  <c r="K40"/>
  <c r="K51"/>
  <c r="J28" i="42"/>
  <c r="J40"/>
  <c r="J51"/>
  <c r="L28" i="43"/>
  <c r="L40"/>
  <c r="L51"/>
  <c r="T40" i="44"/>
  <c r="T51"/>
  <c r="T28"/>
  <c r="F18" i="38"/>
  <c r="K18"/>
  <c r="O18"/>
  <c r="S18"/>
  <c r="F20"/>
  <c r="K20"/>
  <c r="O20"/>
  <c r="S20"/>
  <c r="F22"/>
  <c r="K22"/>
  <c r="O22"/>
  <c r="S22"/>
  <c r="F24"/>
  <c r="K24"/>
  <c r="O24"/>
  <c r="S24"/>
  <c r="H41"/>
  <c r="L41"/>
  <c r="P41"/>
  <c r="T41"/>
  <c r="X41"/>
  <c r="G23" i="39"/>
  <c r="K23"/>
  <c r="O23"/>
  <c r="S23"/>
  <c r="F24"/>
  <c r="J24"/>
  <c r="N24"/>
  <c r="R24"/>
  <c r="I28"/>
  <c r="M28"/>
  <c r="Q28"/>
  <c r="F41"/>
  <c r="J41"/>
  <c r="N41"/>
  <c r="R41"/>
  <c r="V41"/>
  <c r="G59" i="41"/>
  <c r="G48"/>
  <c r="K59"/>
  <c r="K48"/>
  <c r="O59"/>
  <c r="O48"/>
  <c r="S59"/>
  <c r="S48"/>
  <c r="W59"/>
  <c r="W48"/>
  <c r="G59" i="42"/>
  <c r="G48"/>
  <c r="K59"/>
  <c r="K48"/>
  <c r="O59" i="43"/>
  <c r="O48"/>
  <c r="Z36" i="42"/>
  <c r="AA36"/>
  <c r="G28" i="41"/>
  <c r="G40"/>
  <c r="G51"/>
  <c r="W28"/>
  <c r="W40"/>
  <c r="W51"/>
  <c r="W24"/>
  <c r="S24"/>
  <c r="O24"/>
  <c r="K24"/>
  <c r="G24"/>
  <c r="X24"/>
  <c r="T24"/>
  <c r="P24"/>
  <c r="L24"/>
  <c r="H24"/>
  <c r="W20"/>
  <c r="S20"/>
  <c r="O20"/>
  <c r="K20"/>
  <c r="G20"/>
  <c r="X20"/>
  <c r="T20"/>
  <c r="P20"/>
  <c r="L20"/>
  <c r="H20"/>
  <c r="F28" i="42"/>
  <c r="F40"/>
  <c r="F51"/>
  <c r="V28"/>
  <c r="V40"/>
  <c r="V51"/>
  <c r="H28" i="43"/>
  <c r="H40"/>
  <c r="H51"/>
  <c r="X28"/>
  <c r="X40"/>
  <c r="X51"/>
  <c r="W37" i="42"/>
  <c r="R37"/>
  <c r="I37"/>
  <c r="Y37"/>
  <c r="J37"/>
  <c r="U37"/>
  <c r="P37"/>
  <c r="G37"/>
  <c r="H40" i="44"/>
  <c r="H51"/>
  <c r="H28"/>
  <c r="X40"/>
  <c r="X51"/>
  <c r="X28"/>
  <c r="H59" i="41"/>
  <c r="H48"/>
  <c r="L59"/>
  <c r="L48"/>
  <c r="P59"/>
  <c r="P48"/>
  <c r="T59"/>
  <c r="T48"/>
  <c r="X59"/>
  <c r="X48"/>
  <c r="H59" i="42"/>
  <c r="H48"/>
  <c r="L59"/>
  <c r="L48"/>
  <c r="P59" i="43"/>
  <c r="P48"/>
  <c r="W59"/>
  <c r="W48"/>
  <c r="S28" i="41"/>
  <c r="S40"/>
  <c r="S51"/>
  <c r="V21"/>
  <c r="R21"/>
  <c r="N21"/>
  <c r="J21"/>
  <c r="F21"/>
  <c r="W21"/>
  <c r="S21"/>
  <c r="O21"/>
  <c r="K21"/>
  <c r="G21"/>
  <c r="R28" i="42"/>
  <c r="R40"/>
  <c r="R51"/>
  <c r="T28" i="43"/>
  <c r="T40"/>
  <c r="T51"/>
  <c r="L40" i="44"/>
  <c r="L51"/>
  <c r="L28"/>
  <c r="X37"/>
  <c r="T37"/>
  <c r="P37"/>
  <c r="L37"/>
  <c r="H37"/>
  <c r="Y37"/>
  <c r="U37"/>
  <c r="Q37"/>
  <c r="M37"/>
  <c r="I37"/>
  <c r="V37"/>
  <c r="R37"/>
  <c r="N37"/>
  <c r="J37"/>
  <c r="F37"/>
  <c r="F22" i="42"/>
  <c r="J22"/>
  <c r="N22"/>
  <c r="R22"/>
  <c r="F41"/>
  <c r="J41"/>
  <c r="M41" i="43"/>
  <c r="Q41"/>
  <c r="I41" i="42"/>
  <c r="M41"/>
  <c r="AA29" i="43"/>
  <c r="AA31"/>
  <c r="AA33"/>
  <c r="W28" i="12"/>
  <c r="H26" i="45"/>
  <c r="X26"/>
  <c r="M26"/>
  <c r="T26"/>
  <c r="Q26"/>
  <c r="Y26"/>
  <c r="P26"/>
  <c r="V63"/>
  <c r="R63"/>
  <c r="N63"/>
  <c r="J63"/>
  <c r="F63"/>
  <c r="C26"/>
  <c r="S63"/>
  <c r="O63"/>
  <c r="G63"/>
  <c r="R26"/>
  <c r="J26"/>
  <c r="X63"/>
  <c r="P63"/>
  <c r="L63"/>
  <c r="H63"/>
  <c r="S26"/>
  <c r="Y63"/>
  <c r="U63"/>
  <c r="Q63"/>
  <c r="M63"/>
  <c r="I63"/>
  <c r="W63"/>
  <c r="K63"/>
  <c r="V26"/>
  <c r="N26"/>
  <c r="F26"/>
  <c r="T63"/>
  <c r="W26"/>
  <c r="O26"/>
  <c r="K26"/>
  <c r="G26"/>
  <c r="U26"/>
  <c r="L26"/>
  <c r="AA62" i="44"/>
  <c r="Z62"/>
  <c r="AD62"/>
  <c r="AC62"/>
  <c r="AB62"/>
  <c r="X62"/>
  <c r="Z25"/>
  <c r="AD25"/>
  <c r="AC25"/>
  <c r="AA25"/>
  <c r="AB25"/>
  <c r="L23" i="28"/>
  <c r="O25" i="36"/>
  <c r="Y44" i="9"/>
  <c r="Y36"/>
  <c r="F36" i="7"/>
  <c r="G37" i="15"/>
  <c r="X36" i="7"/>
  <c r="G17" i="5"/>
  <c r="K17"/>
  <c r="S17"/>
  <c r="C10"/>
  <c r="G19"/>
  <c r="O23" i="31"/>
  <c r="U17" i="5"/>
  <c r="M17"/>
  <c r="Q17"/>
  <c r="E36" i="7"/>
  <c r="W44" i="12"/>
  <c r="W36"/>
  <c r="I39" i="15"/>
  <c r="F23" i="33"/>
  <c r="H23"/>
  <c r="S44" i="5"/>
  <c r="S36"/>
  <c r="N36" i="7"/>
  <c r="F23" i="28"/>
  <c r="G36" i="7"/>
  <c r="Z27"/>
  <c r="AA27"/>
  <c r="L28"/>
  <c r="I28"/>
  <c r="W28"/>
  <c r="Q23" i="29"/>
  <c r="M36" i="7"/>
  <c r="V28"/>
  <c r="P17" i="5"/>
  <c r="X20" i="15"/>
  <c r="R17" i="5"/>
  <c r="C23" i="24"/>
  <c r="H62" i="44"/>
  <c r="O17" i="5"/>
  <c r="N23" i="31"/>
  <c r="Y17" i="5"/>
  <c r="T17"/>
  <c r="W17"/>
  <c r="N23" i="24"/>
  <c r="L23"/>
  <c r="K36" i="13"/>
  <c r="H23" i="24"/>
  <c r="F17" i="5"/>
  <c r="L20" i="15"/>
  <c r="W20"/>
  <c r="C23" i="31"/>
  <c r="M20" i="15"/>
  <c r="H23" i="31"/>
  <c r="C17" i="5"/>
  <c r="S20" i="15"/>
  <c r="N17" i="5"/>
  <c r="R23" i="31"/>
  <c r="P35" i="14"/>
  <c r="I17" i="5"/>
  <c r="H17"/>
  <c r="K20" i="15"/>
  <c r="F20"/>
  <c r="S23" i="31"/>
  <c r="N20" i="15"/>
  <c r="V23" i="31"/>
  <c r="J17" i="5"/>
  <c r="P23" i="31"/>
  <c r="W44" i="11"/>
  <c r="W36"/>
  <c r="G20" i="15"/>
  <c r="V17" i="5"/>
  <c r="F23" i="31"/>
  <c r="L17" i="5"/>
  <c r="S23" i="29"/>
  <c r="U23" i="28"/>
  <c r="C11" i="15"/>
  <c r="L21"/>
  <c r="U23" i="31"/>
  <c r="T17" i="14"/>
  <c r="X23" i="29"/>
  <c r="N23" i="28"/>
  <c r="H17" i="14"/>
  <c r="L17"/>
  <c r="Y23" i="28"/>
  <c r="Y35" i="10"/>
  <c r="G44" i="11"/>
  <c r="G36"/>
  <c r="L40" i="15"/>
  <c r="V23" i="28"/>
  <c r="O44" i="6"/>
  <c r="O36"/>
  <c r="J23" i="29"/>
  <c r="H62" i="36"/>
  <c r="N23" i="29"/>
  <c r="G23" i="27"/>
  <c r="O23" i="23"/>
  <c r="J36" i="7"/>
  <c r="C17" i="14"/>
  <c r="I20" i="15"/>
  <c r="W23" i="31"/>
  <c r="Q23"/>
  <c r="P20" i="15"/>
  <c r="T20"/>
  <c r="T62" i="36"/>
  <c r="R62" i="44"/>
  <c r="I36" i="7"/>
  <c r="X23" i="31"/>
  <c r="M23"/>
  <c r="H20" i="15"/>
  <c r="V20"/>
  <c r="J23" i="33"/>
  <c r="Y23" i="31"/>
  <c r="W62" i="36"/>
  <c r="M28" i="7"/>
  <c r="T36"/>
  <c r="F23" i="32"/>
  <c r="P28" i="7"/>
  <c r="U28"/>
  <c r="Q20" i="15"/>
  <c r="S28" i="7"/>
  <c r="Y36"/>
  <c r="K28"/>
  <c r="H28"/>
  <c r="X28"/>
  <c r="O36"/>
  <c r="F28"/>
  <c r="J20" i="15"/>
  <c r="O20"/>
  <c r="J23" i="31"/>
  <c r="S23" i="33"/>
  <c r="U20" i="15"/>
  <c r="T23" i="31"/>
  <c r="L23"/>
  <c r="I23" i="33"/>
  <c r="W44" i="9"/>
  <c r="W36"/>
  <c r="G23" i="31"/>
  <c r="C20" i="15"/>
  <c r="Y20"/>
  <c r="R28" i="7"/>
  <c r="H36"/>
  <c r="T28"/>
  <c r="O18" i="15"/>
  <c r="K23" i="31"/>
  <c r="J44" i="6"/>
  <c r="J36"/>
  <c r="L36" i="7"/>
  <c r="U36"/>
  <c r="Q36"/>
  <c r="G28"/>
  <c r="N28"/>
  <c r="J28"/>
  <c r="I23" i="32"/>
  <c r="R23" i="33"/>
  <c r="W23"/>
  <c r="R19" i="1"/>
  <c r="G23" i="28"/>
  <c r="W23" i="29"/>
  <c r="C23"/>
  <c r="K23" i="33"/>
  <c r="Y23" i="29"/>
  <c r="G17" i="14"/>
  <c r="P23" i="28"/>
  <c r="I25" i="36"/>
  <c r="P23" i="33"/>
  <c r="U23"/>
  <c r="Y28" i="7"/>
  <c r="O23" i="33"/>
  <c r="T23"/>
  <c r="U44" i="6"/>
  <c r="U36"/>
  <c r="W44" i="5"/>
  <c r="W36"/>
  <c r="L36" i="11"/>
  <c r="J23" i="28"/>
  <c r="M23"/>
  <c r="X23"/>
  <c r="W23"/>
  <c r="R23" i="27"/>
  <c r="F18" i="13"/>
  <c r="F23" i="29"/>
  <c r="U23"/>
  <c r="G23"/>
  <c r="R23"/>
  <c r="R25" i="44"/>
  <c r="I23" i="29"/>
  <c r="T23" i="32"/>
  <c r="Q23" i="28"/>
  <c r="P23" i="29"/>
  <c r="R17" i="14"/>
  <c r="G23" i="23"/>
  <c r="P17" i="14"/>
  <c r="H44" i="10"/>
  <c r="H36"/>
  <c r="I17" i="14"/>
  <c r="M17"/>
  <c r="Q23" i="33"/>
  <c r="Y23"/>
  <c r="R23" i="28"/>
  <c r="H23"/>
  <c r="T23" i="29"/>
  <c r="G23" i="33"/>
  <c r="O35" i="7"/>
  <c r="O23" i="28"/>
  <c r="O23" i="29"/>
  <c r="W17" i="14"/>
  <c r="F62" i="36"/>
  <c r="L23" i="33"/>
  <c r="X23"/>
  <c r="I19" i="6"/>
  <c r="I62" i="36"/>
  <c r="N23" i="33"/>
  <c r="V23"/>
  <c r="N34" i="5"/>
  <c r="I34" i="4"/>
  <c r="I23" i="28"/>
  <c r="R23" i="25"/>
  <c r="U35" i="11"/>
  <c r="Y28" i="6"/>
  <c r="S23" i="28"/>
  <c r="C23"/>
  <c r="V23" i="29"/>
  <c r="H23"/>
  <c r="S17" i="14"/>
  <c r="P62" i="36"/>
  <c r="C23" i="33"/>
  <c r="X34" i="14"/>
  <c r="K23" i="29"/>
  <c r="X28" i="13"/>
  <c r="Q25" i="36"/>
  <c r="L23" i="29"/>
  <c r="K23" i="28"/>
  <c r="G62" i="36"/>
  <c r="Y17" i="14"/>
  <c r="U17"/>
  <c r="Q17"/>
  <c r="J17"/>
  <c r="O17"/>
  <c r="V17"/>
  <c r="N62" i="36"/>
  <c r="Q62"/>
  <c r="S35" i="10"/>
  <c r="V25" i="36"/>
  <c r="X62"/>
  <c r="J62"/>
  <c r="J23" i="26"/>
  <c r="R62" i="36"/>
  <c r="T44" i="14"/>
  <c r="T36"/>
  <c r="C23" i="32"/>
  <c r="V62" i="36"/>
  <c r="K62"/>
  <c r="P23" i="25"/>
  <c r="K25" i="36"/>
  <c r="Y62"/>
  <c r="X25"/>
  <c r="X44" i="12"/>
  <c r="X36"/>
  <c r="X23" i="27"/>
  <c r="O19" i="11"/>
  <c r="R44" i="13"/>
  <c r="R36"/>
  <c r="C25" i="36"/>
  <c r="S25"/>
  <c r="M25"/>
  <c r="W25"/>
  <c r="O62"/>
  <c r="P23" i="26"/>
  <c r="N23" i="27"/>
  <c r="H23" i="26"/>
  <c r="Y23" i="23"/>
  <c r="F34" i="11"/>
  <c r="W18" i="14"/>
  <c r="S27" i="10"/>
  <c r="S28"/>
  <c r="X17" i="14"/>
  <c r="N17"/>
  <c r="K17"/>
  <c r="I62" i="41"/>
  <c r="N36" i="14"/>
  <c r="Y25" i="36"/>
  <c r="N25"/>
  <c r="H25"/>
  <c r="P25"/>
  <c r="G25"/>
  <c r="R25"/>
  <c r="S62"/>
  <c r="L25"/>
  <c r="V23" i="25"/>
  <c r="L62" i="36"/>
  <c r="U25"/>
  <c r="S23" i="32"/>
  <c r="Y23" i="26"/>
  <c r="F23" i="27"/>
  <c r="U62" i="36"/>
  <c r="M62"/>
  <c r="V23" i="32"/>
  <c r="T25" i="36"/>
  <c r="I23" i="26"/>
  <c r="K23" i="25"/>
  <c r="I23" i="23"/>
  <c r="O23" i="26"/>
  <c r="F25" i="36"/>
  <c r="O44" i="12"/>
  <c r="O36"/>
  <c r="O62" i="42"/>
  <c r="I25" i="39"/>
  <c r="T19" i="11"/>
  <c r="O28" i="7"/>
  <c r="N62" i="44"/>
  <c r="Q23" i="27"/>
  <c r="S23"/>
  <c r="T62" i="44"/>
  <c r="J25"/>
  <c r="U23" i="30"/>
  <c r="G62" i="44"/>
  <c r="I23" i="27"/>
  <c r="W23" i="26"/>
  <c r="H19" i="1"/>
  <c r="K23" i="27"/>
  <c r="Q18" i="13"/>
  <c r="T23" i="26"/>
  <c r="F49" i="15"/>
  <c r="F40"/>
  <c r="M25" i="44"/>
  <c r="J18" i="12"/>
  <c r="T35" i="13"/>
  <c r="K23" i="26"/>
  <c r="C23"/>
  <c r="R23"/>
  <c r="O23" i="27"/>
  <c r="M23" i="26"/>
  <c r="V28" i="12"/>
  <c r="G18" i="14"/>
  <c r="R44"/>
  <c r="R36"/>
  <c r="O62" i="44"/>
  <c r="T25"/>
  <c r="N23" i="26"/>
  <c r="X23"/>
  <c r="C23" i="27"/>
  <c r="Q23" i="26"/>
  <c r="V23" i="27"/>
  <c r="G23" i="26"/>
  <c r="L62" i="44"/>
  <c r="T23" i="24"/>
  <c r="S35" i="14"/>
  <c r="W23" i="27"/>
  <c r="F18" i="15"/>
  <c r="P62" i="44"/>
  <c r="U62" i="42"/>
  <c r="Q25"/>
  <c r="Y62" i="44"/>
  <c r="U62"/>
  <c r="M19" i="1"/>
  <c r="L23" i="26"/>
  <c r="T23" i="27"/>
  <c r="U23"/>
  <c r="K25" i="44"/>
  <c r="F62"/>
  <c r="F18" i="12"/>
  <c r="F23" i="24"/>
  <c r="U23" i="26"/>
  <c r="I23" i="24"/>
  <c r="H23" i="27"/>
  <c r="F23" i="26"/>
  <c r="M23" i="27"/>
  <c r="U19" i="1"/>
  <c r="V23" i="24"/>
  <c r="S23" i="26"/>
  <c r="L23" i="27"/>
  <c r="Y23"/>
  <c r="P23"/>
  <c r="Q28" i="7"/>
  <c r="T44" i="6"/>
  <c r="T36"/>
  <c r="O23" i="24"/>
  <c r="I19" i="1"/>
  <c r="I25" i="41"/>
  <c r="O19" i="1"/>
  <c r="L62" i="41"/>
  <c r="L25" i="43"/>
  <c r="K19" i="1"/>
  <c r="Q19"/>
  <c r="T19"/>
  <c r="T36" i="12"/>
  <c r="W18" i="15"/>
  <c r="G23" i="24"/>
  <c r="J23"/>
  <c r="U23"/>
  <c r="M23"/>
  <c r="N36" i="12"/>
  <c r="R25" i="41"/>
  <c r="S25"/>
  <c r="G62"/>
  <c r="P19" i="1"/>
  <c r="J19"/>
  <c r="H44" i="12"/>
  <c r="H36"/>
  <c r="S19" i="1"/>
  <c r="Q44" i="4"/>
  <c r="Q36"/>
  <c r="G19" i="1"/>
  <c r="N19"/>
  <c r="S44" i="13"/>
  <c r="S36"/>
  <c r="U19" i="9"/>
  <c r="K18" i="15"/>
  <c r="M34" i="10"/>
  <c r="K23" i="24"/>
  <c r="S23"/>
  <c r="P23"/>
  <c r="J23" i="30"/>
  <c r="T62" i="41"/>
  <c r="J36" i="9"/>
  <c r="F19" i="1"/>
  <c r="S44" i="4"/>
  <c r="S36"/>
  <c r="H18" i="15"/>
  <c r="S34" i="12"/>
  <c r="L28"/>
  <c r="J28"/>
  <c r="V19" i="1"/>
  <c r="Y23" i="24"/>
  <c r="K23" i="30"/>
  <c r="R23" i="24"/>
  <c r="P28" i="12"/>
  <c r="O18" i="13"/>
  <c r="X18"/>
  <c r="M18"/>
  <c r="I34" i="14"/>
  <c r="K23" i="32"/>
  <c r="S18" i="12"/>
  <c r="J23" i="32"/>
  <c r="R23"/>
  <c r="M23" i="23"/>
  <c r="H23"/>
  <c r="V23"/>
  <c r="T23"/>
  <c r="G25" i="41"/>
  <c r="Y62"/>
  <c r="N62"/>
  <c r="W62"/>
  <c r="C23" i="25"/>
  <c r="N23" i="32"/>
  <c r="S62" i="41"/>
  <c r="X23" i="32"/>
  <c r="J62" i="41"/>
  <c r="G23" i="32"/>
  <c r="R19" i="11"/>
  <c r="Y18" i="13"/>
  <c r="J18"/>
  <c r="C18"/>
  <c r="P23" i="32"/>
  <c r="O23"/>
  <c r="Q18" i="12"/>
  <c r="I23" i="25"/>
  <c r="Y23" i="32"/>
  <c r="L23" i="23"/>
  <c r="P23"/>
  <c r="Y44" i="12"/>
  <c r="Y36"/>
  <c r="J25" i="41"/>
  <c r="R62" i="43"/>
  <c r="Q62" i="41"/>
  <c r="C23" i="19"/>
  <c r="W23" i="32"/>
  <c r="U23"/>
  <c r="F34" i="13"/>
  <c r="N19" i="9"/>
  <c r="N23" i="25"/>
  <c r="X19" i="11"/>
  <c r="K19"/>
  <c r="L23" i="32"/>
  <c r="K18" i="13"/>
  <c r="V18"/>
  <c r="L18"/>
  <c r="I19" i="11"/>
  <c r="N34" i="13"/>
  <c r="Q23" i="32"/>
  <c r="H18" i="12"/>
  <c r="R23" i="23"/>
  <c r="J23"/>
  <c r="W23"/>
  <c r="U19" i="11"/>
  <c r="Q62" i="44"/>
  <c r="S25"/>
  <c r="I25"/>
  <c r="K62"/>
  <c r="U25"/>
  <c r="L25"/>
  <c r="V62"/>
  <c r="O18" i="12"/>
  <c r="X18"/>
  <c r="P18"/>
  <c r="V18"/>
  <c r="R18"/>
  <c r="I18"/>
  <c r="Y19" i="11"/>
  <c r="M23" i="32"/>
  <c r="U28" i="12"/>
  <c r="X23" i="23"/>
  <c r="N23"/>
  <c r="S23"/>
  <c r="Q23"/>
  <c r="J36" i="5"/>
  <c r="V28"/>
  <c r="H44" i="14"/>
  <c r="H36"/>
  <c r="W23" i="24"/>
  <c r="X23"/>
  <c r="K23" i="23"/>
  <c r="C23"/>
  <c r="F23"/>
  <c r="L34" i="13"/>
  <c r="L44"/>
  <c r="L36"/>
  <c r="K44" i="7"/>
  <c r="K36"/>
  <c r="K34"/>
  <c r="C18" i="14"/>
  <c r="T18"/>
  <c r="I18"/>
  <c r="Y18"/>
  <c r="J18"/>
  <c r="H18"/>
  <c r="U18"/>
  <c r="M18"/>
  <c r="Q18"/>
  <c r="R18"/>
  <c r="V18"/>
  <c r="N18"/>
  <c r="L18"/>
  <c r="K18"/>
  <c r="S18"/>
  <c r="P18"/>
  <c r="C10"/>
  <c r="Q19"/>
  <c r="O18"/>
  <c r="X18"/>
  <c r="V44" i="10"/>
  <c r="V36"/>
  <c r="V35"/>
  <c r="G44" i="12"/>
  <c r="G36"/>
  <c r="G25" i="43"/>
  <c r="Y62"/>
  <c r="T62" i="42"/>
  <c r="W25" i="39"/>
  <c r="S62" i="44"/>
  <c r="I62"/>
  <c r="Y25" i="41"/>
  <c r="W62" i="44"/>
  <c r="M62"/>
  <c r="U28" i="5"/>
  <c r="W28"/>
  <c r="J44" i="12"/>
  <c r="J36"/>
  <c r="P25" i="41"/>
  <c r="J62" i="44"/>
  <c r="Y23" i="30"/>
  <c r="F25" i="44"/>
  <c r="O25"/>
  <c r="W25"/>
  <c r="C25"/>
  <c r="N25"/>
  <c r="V25"/>
  <c r="H25"/>
  <c r="Q25"/>
  <c r="Y25"/>
  <c r="G25"/>
  <c r="P25"/>
  <c r="X25"/>
  <c r="O44" i="4"/>
  <c r="O36"/>
  <c r="L23" i="30"/>
  <c r="T28" i="12"/>
  <c r="K36"/>
  <c r="H28"/>
  <c r="K28"/>
  <c r="E36"/>
  <c r="Y28"/>
  <c r="G23" i="25"/>
  <c r="Y23"/>
  <c r="T23"/>
  <c r="C23" i="30"/>
  <c r="W23"/>
  <c r="V23"/>
  <c r="J25" i="34"/>
  <c r="W62"/>
  <c r="T62"/>
  <c r="I25"/>
  <c r="G25"/>
  <c r="O62"/>
  <c r="S25"/>
  <c r="K62" i="43"/>
  <c r="W25"/>
  <c r="I62"/>
  <c r="Y25" i="42"/>
  <c r="W25"/>
  <c r="I25"/>
  <c r="J62" i="39"/>
  <c r="N25"/>
  <c r="S62"/>
  <c r="U23" i="25"/>
  <c r="J23"/>
  <c r="G23" i="30"/>
  <c r="I36" i="10"/>
  <c r="Q23" i="25"/>
  <c r="F23"/>
  <c r="T23" i="30"/>
  <c r="H19" i="11"/>
  <c r="P34" i="13"/>
  <c r="V19" i="11"/>
  <c r="G19"/>
  <c r="J19"/>
  <c r="Q19"/>
  <c r="M19"/>
  <c r="W44" i="13"/>
  <c r="W36"/>
  <c r="P18"/>
  <c r="N18"/>
  <c r="U18"/>
  <c r="I18"/>
  <c r="G18"/>
  <c r="S18"/>
  <c r="T18"/>
  <c r="W18"/>
  <c r="H18"/>
  <c r="O36"/>
  <c r="W19" i="11"/>
  <c r="S18" i="15"/>
  <c r="J18"/>
  <c r="G18"/>
  <c r="N18"/>
  <c r="V18"/>
  <c r="X18"/>
  <c r="L18" i="12"/>
  <c r="U18"/>
  <c r="C18"/>
  <c r="C10"/>
  <c r="F19"/>
  <c r="G18"/>
  <c r="M18"/>
  <c r="N18"/>
  <c r="T18"/>
  <c r="W18"/>
  <c r="K18"/>
  <c r="N19" i="11"/>
  <c r="O23" i="30"/>
  <c r="L23" i="25"/>
  <c r="H23"/>
  <c r="O23"/>
  <c r="P23" i="30"/>
  <c r="F23"/>
  <c r="Q23"/>
  <c r="X25" i="43"/>
  <c r="S62"/>
  <c r="O25"/>
  <c r="J62"/>
  <c r="R25"/>
  <c r="Q62"/>
  <c r="K25" i="42"/>
  <c r="M62"/>
  <c r="N25"/>
  <c r="L62"/>
  <c r="T25"/>
  <c r="G62"/>
  <c r="W62"/>
  <c r="P25" i="43"/>
  <c r="H25"/>
  <c r="Q25"/>
  <c r="F25" i="42"/>
  <c r="N62"/>
  <c r="P25" i="39"/>
  <c r="C25"/>
  <c r="U62"/>
  <c r="L62"/>
  <c r="Y25"/>
  <c r="V25" i="41"/>
  <c r="N25"/>
  <c r="F25"/>
  <c r="K25"/>
  <c r="W25"/>
  <c r="M62"/>
  <c r="U62"/>
  <c r="H62"/>
  <c r="P62"/>
  <c r="X62"/>
  <c r="O25"/>
  <c r="F62"/>
  <c r="O62"/>
  <c r="R62"/>
  <c r="Q25"/>
  <c r="K62"/>
  <c r="U44" i="14"/>
  <c r="U36"/>
  <c r="R44" i="6"/>
  <c r="R36"/>
  <c r="X25" i="41"/>
  <c r="R28" i="12"/>
  <c r="V44" i="7"/>
  <c r="V36"/>
  <c r="J19" i="4"/>
  <c r="S36" i="10"/>
  <c r="X36" i="5"/>
  <c r="M36"/>
  <c r="V19" i="9"/>
  <c r="Q36" i="5"/>
  <c r="I36"/>
  <c r="F36" i="12"/>
  <c r="L19" i="9"/>
  <c r="M19"/>
  <c r="L36" i="12"/>
  <c r="R36"/>
  <c r="M36"/>
  <c r="G36" i="10"/>
  <c r="Z27" i="12"/>
  <c r="AA27"/>
  <c r="S36"/>
  <c r="M28"/>
  <c r="P36"/>
  <c r="S28"/>
  <c r="Q28"/>
  <c r="G62" i="34"/>
  <c r="Y25"/>
  <c r="U62"/>
  <c r="V62"/>
  <c r="C25"/>
  <c r="O25"/>
  <c r="Y62"/>
  <c r="I28" i="12"/>
  <c r="N28"/>
  <c r="O28"/>
  <c r="G28"/>
  <c r="X28"/>
  <c r="F28"/>
  <c r="U44"/>
  <c r="U36"/>
  <c r="U34"/>
  <c r="Q34"/>
  <c r="Q44"/>
  <c r="Q36"/>
  <c r="C10" i="7"/>
  <c r="Y19"/>
  <c r="J18"/>
  <c r="N18"/>
  <c r="O18"/>
  <c r="K18"/>
  <c r="F18"/>
  <c r="S18"/>
  <c r="R18"/>
  <c r="I18"/>
  <c r="X18"/>
  <c r="Y18"/>
  <c r="V18"/>
  <c r="M18"/>
  <c r="U18"/>
  <c r="P18"/>
  <c r="C18"/>
  <c r="L18"/>
  <c r="H18"/>
  <c r="Q18"/>
  <c r="G18"/>
  <c r="T18"/>
  <c r="W18"/>
  <c r="F44" i="4"/>
  <c r="F36"/>
  <c r="F34"/>
  <c r="R23" i="30"/>
  <c r="H23"/>
  <c r="S23"/>
  <c r="I23"/>
  <c r="X23"/>
  <c r="N23"/>
  <c r="W23" i="25"/>
  <c r="M23"/>
  <c r="S23"/>
  <c r="T18" i="15"/>
  <c r="U18"/>
  <c r="M18"/>
  <c r="C18"/>
  <c r="L18"/>
  <c r="Y18"/>
  <c r="Q18"/>
  <c r="I18"/>
  <c r="R18"/>
  <c r="P18"/>
  <c r="F44" i="14"/>
  <c r="F36"/>
  <c r="F34"/>
  <c r="I34" i="12"/>
  <c r="I44"/>
  <c r="I36"/>
  <c r="Y34" i="11"/>
  <c r="Y44"/>
  <c r="Y36"/>
  <c r="X35"/>
  <c r="X44"/>
  <c r="X36"/>
  <c r="L34" i="10"/>
  <c r="L44"/>
  <c r="L36"/>
  <c r="F34"/>
  <c r="F44"/>
  <c r="F36"/>
  <c r="W34" i="7"/>
  <c r="W44"/>
  <c r="W36"/>
  <c r="Q44" i="13"/>
  <c r="Q36"/>
  <c r="Q34"/>
  <c r="V44" i="12"/>
  <c r="V36"/>
  <c r="V34"/>
  <c r="S34" i="7"/>
  <c r="S44"/>
  <c r="S36"/>
  <c r="Z11" i="6"/>
  <c r="Z11" i="14"/>
  <c r="F36" i="5"/>
  <c r="X25" i="34"/>
  <c r="C19" i="11"/>
  <c r="P19"/>
  <c r="L19"/>
  <c r="Z11" i="10"/>
  <c r="H25" i="39"/>
  <c r="X25"/>
  <c r="R62"/>
  <c r="O25"/>
  <c r="M62"/>
  <c r="G25"/>
  <c r="V25"/>
  <c r="T62"/>
  <c r="Q25"/>
  <c r="K62"/>
  <c r="Z11" i="13"/>
  <c r="Z11" i="5"/>
  <c r="U36"/>
  <c r="Y11" i="4"/>
  <c r="K19" i="9"/>
  <c r="T25" i="43"/>
  <c r="G62"/>
  <c r="O62"/>
  <c r="W62"/>
  <c r="K25"/>
  <c r="S25"/>
  <c r="F62"/>
  <c r="N62"/>
  <c r="V62"/>
  <c r="V25"/>
  <c r="M62"/>
  <c r="U62"/>
  <c r="G25" i="42"/>
  <c r="O25"/>
  <c r="I62"/>
  <c r="Q62"/>
  <c r="Y62"/>
  <c r="R25"/>
  <c r="H62"/>
  <c r="P62"/>
  <c r="X62"/>
  <c r="C25"/>
  <c r="M25"/>
  <c r="K62"/>
  <c r="S62"/>
  <c r="X25"/>
  <c r="N25" i="43"/>
  <c r="J25"/>
  <c r="F25"/>
  <c r="S25" i="42"/>
  <c r="F25" i="39"/>
  <c r="L25"/>
  <c r="T25"/>
  <c r="F62"/>
  <c r="N62"/>
  <c r="V62"/>
  <c r="K25"/>
  <c r="S25"/>
  <c r="I62"/>
  <c r="Q62"/>
  <c r="Y62"/>
  <c r="J25"/>
  <c r="R25"/>
  <c r="H62"/>
  <c r="P62"/>
  <c r="X62"/>
  <c r="M25"/>
  <c r="U25"/>
  <c r="G62"/>
  <c r="O62"/>
  <c r="I36" i="13"/>
  <c r="G36" i="5"/>
  <c r="O36" i="10"/>
  <c r="N36" i="5"/>
  <c r="T44" i="4"/>
  <c r="T36"/>
  <c r="K28" i="5"/>
  <c r="H36"/>
  <c r="L28"/>
  <c r="H28"/>
  <c r="X36" i="13"/>
  <c r="Y36" i="10"/>
  <c r="O28" i="5"/>
  <c r="G28"/>
  <c r="Z27"/>
  <c r="AA27"/>
  <c r="P36" i="10"/>
  <c r="H36" i="13"/>
  <c r="M44" i="6"/>
  <c r="M36"/>
  <c r="R62" i="34"/>
  <c r="N25"/>
  <c r="Q25"/>
  <c r="W25"/>
  <c r="H62"/>
  <c r="T25"/>
  <c r="N62"/>
  <c r="K62"/>
  <c r="R25"/>
  <c r="U25"/>
  <c r="X62"/>
  <c r="L62"/>
  <c r="Q62"/>
  <c r="H25"/>
  <c r="K25"/>
  <c r="P28" i="5"/>
  <c r="J62" i="34"/>
  <c r="V25"/>
  <c r="M62"/>
  <c r="P62"/>
  <c r="F62"/>
  <c r="S62"/>
  <c r="M25"/>
  <c r="L25"/>
  <c r="I62"/>
  <c r="P25"/>
  <c r="F35" i="6"/>
  <c r="F44"/>
  <c r="F36"/>
  <c r="M36" i="10"/>
  <c r="W36"/>
  <c r="P34" i="7"/>
  <c r="P44"/>
  <c r="P36"/>
  <c r="H28" i="10"/>
  <c r="R36" i="11"/>
  <c r="R28" i="5"/>
  <c r="M28"/>
  <c r="Y28"/>
  <c r="Y36" i="13"/>
  <c r="R28"/>
  <c r="T28"/>
  <c r="O28"/>
  <c r="M28"/>
  <c r="J28"/>
  <c r="G36"/>
  <c r="F28" i="11"/>
  <c r="T28" i="5"/>
  <c r="I28"/>
  <c r="S28"/>
  <c r="K36"/>
  <c r="K28" i="13"/>
  <c r="S28"/>
  <c r="H28"/>
  <c r="W28"/>
  <c r="F36"/>
  <c r="V36"/>
  <c r="G28"/>
  <c r="P36"/>
  <c r="P28"/>
  <c r="N36"/>
  <c r="Q28"/>
  <c r="N28"/>
  <c r="J36"/>
  <c r="M36"/>
  <c r="E36"/>
  <c r="I28"/>
  <c r="V28"/>
  <c r="U28"/>
  <c r="F28"/>
  <c r="L28"/>
  <c r="T36"/>
  <c r="U36"/>
  <c r="X36" i="10"/>
  <c r="O28"/>
  <c r="Q36"/>
  <c r="J36"/>
  <c r="W28"/>
  <c r="X28"/>
  <c r="M28"/>
  <c r="I28"/>
  <c r="F28"/>
  <c r="V28"/>
  <c r="K28"/>
  <c r="Q28"/>
  <c r="L28"/>
  <c r="J28"/>
  <c r="E36"/>
  <c r="U36"/>
  <c r="T28"/>
  <c r="U28"/>
  <c r="Y28"/>
  <c r="R28"/>
  <c r="P28"/>
  <c r="G28"/>
  <c r="Z27"/>
  <c r="AA27"/>
  <c r="N28"/>
  <c r="R36"/>
  <c r="L36" i="9"/>
  <c r="X28" i="5"/>
  <c r="K36" i="10"/>
  <c r="V62" i="41"/>
  <c r="T25"/>
  <c r="U25"/>
  <c r="C25"/>
  <c r="M25"/>
  <c r="L25"/>
  <c r="T36" i="10"/>
  <c r="N36"/>
  <c r="Z27" i="13"/>
  <c r="AA27"/>
  <c r="Y28"/>
  <c r="C19" i="9"/>
  <c r="Q19"/>
  <c r="Y19"/>
  <c r="F19"/>
  <c r="I19"/>
  <c r="O19"/>
  <c r="R19"/>
  <c r="T19"/>
  <c r="S19"/>
  <c r="J19"/>
  <c r="W19"/>
  <c r="H19"/>
  <c r="J28" i="5"/>
  <c r="X19" i="9"/>
  <c r="P19"/>
  <c r="F28" i="5"/>
  <c r="Y36"/>
  <c r="V36"/>
  <c r="Q28"/>
  <c r="Z11" i="7"/>
  <c r="R36" i="5"/>
  <c r="O36"/>
  <c r="T36"/>
  <c r="L36"/>
  <c r="L23" i="19"/>
  <c r="O23"/>
  <c r="F23"/>
  <c r="K23"/>
  <c r="Q23"/>
  <c r="S23"/>
  <c r="I23"/>
  <c r="V23"/>
  <c r="G23"/>
  <c r="T23"/>
  <c r="H23"/>
  <c r="J23"/>
  <c r="N23"/>
  <c r="U23"/>
  <c r="X23"/>
  <c r="W23"/>
  <c r="P23"/>
  <c r="M23"/>
  <c r="Y23"/>
  <c r="H28" i="11"/>
  <c r="I28"/>
  <c r="N28" i="5"/>
  <c r="P36"/>
  <c r="J62" i="42"/>
  <c r="F62"/>
  <c r="H25"/>
  <c r="R62"/>
  <c r="L25"/>
  <c r="V62"/>
  <c r="P25"/>
  <c r="U25"/>
  <c r="R35" i="7"/>
  <c r="R44"/>
  <c r="R36"/>
  <c r="M17" i="10"/>
  <c r="T17"/>
  <c r="S17"/>
  <c r="W17"/>
  <c r="Q17"/>
  <c r="K17"/>
  <c r="O17"/>
  <c r="R17"/>
  <c r="C10"/>
  <c r="H17"/>
  <c r="Y17"/>
  <c r="P17"/>
  <c r="U17"/>
  <c r="N17"/>
  <c r="I17"/>
  <c r="X17"/>
  <c r="C17"/>
  <c r="L17"/>
  <c r="G17"/>
  <c r="J17"/>
  <c r="F17"/>
  <c r="V17"/>
  <c r="I40" i="15"/>
  <c r="P36" i="11"/>
  <c r="N36" i="9"/>
  <c r="Z27" i="11"/>
  <c r="AA27"/>
  <c r="V28" i="9"/>
  <c r="M36"/>
  <c r="V36"/>
  <c r="W17" i="13"/>
  <c r="K17"/>
  <c r="G17"/>
  <c r="C17"/>
  <c r="L17"/>
  <c r="X17"/>
  <c r="S17"/>
  <c r="V17"/>
  <c r="H17"/>
  <c r="F17"/>
  <c r="P17"/>
  <c r="M17"/>
  <c r="J17"/>
  <c r="R17"/>
  <c r="Q17"/>
  <c r="U17"/>
  <c r="N17"/>
  <c r="O17"/>
  <c r="I17"/>
  <c r="Y17"/>
  <c r="T17"/>
  <c r="S36" i="11"/>
  <c r="S28"/>
  <c r="N36"/>
  <c r="J36"/>
  <c r="N28"/>
  <c r="P28"/>
  <c r="M28"/>
  <c r="Y28"/>
  <c r="J28"/>
  <c r="O28"/>
  <c r="E36"/>
  <c r="L28"/>
  <c r="V28"/>
  <c r="Q36"/>
  <c r="T28"/>
  <c r="Q28"/>
  <c r="K28"/>
  <c r="I36"/>
  <c r="R28"/>
  <c r="T36"/>
  <c r="O36"/>
  <c r="G19" i="9"/>
  <c r="Z11"/>
  <c r="C10" i="13"/>
  <c r="K19"/>
  <c r="F36" i="11"/>
  <c r="S36" i="9"/>
  <c r="F36"/>
  <c r="Z11" i="12"/>
  <c r="W28" i="11"/>
  <c r="Z27" i="9"/>
  <c r="AA27"/>
  <c r="W40" i="15"/>
  <c r="V36" i="11"/>
  <c r="H36"/>
  <c r="X40" i="15"/>
  <c r="O40"/>
  <c r="J40"/>
  <c r="H40"/>
  <c r="P31"/>
  <c r="F31"/>
  <c r="I31"/>
  <c r="M31"/>
  <c r="R31"/>
  <c r="E40"/>
  <c r="N40"/>
  <c r="T31"/>
  <c r="S40"/>
  <c r="R40"/>
  <c r="U40"/>
  <c r="H31"/>
  <c r="M40"/>
  <c r="X31"/>
  <c r="Z30"/>
  <c r="AA30"/>
  <c r="O31"/>
  <c r="Q40"/>
  <c r="Q31"/>
  <c r="S31"/>
  <c r="L31"/>
  <c r="P40"/>
  <c r="G31"/>
  <c r="U31"/>
  <c r="V40"/>
  <c r="G40"/>
  <c r="W31"/>
  <c r="V31"/>
  <c r="K31"/>
  <c r="N31"/>
  <c r="Y31"/>
  <c r="J31"/>
  <c r="K28" i="9"/>
  <c r="J28"/>
  <c r="U28"/>
  <c r="M28"/>
  <c r="S28"/>
  <c r="G28"/>
  <c r="Q28"/>
  <c r="T28"/>
  <c r="E36"/>
  <c r="P36"/>
  <c r="W28"/>
  <c r="I28"/>
  <c r="F28"/>
  <c r="X28"/>
  <c r="N28"/>
  <c r="R28"/>
  <c r="H28"/>
  <c r="O28"/>
  <c r="L28"/>
  <c r="P28"/>
  <c r="Z11" i="11"/>
  <c r="F19"/>
  <c r="U28"/>
  <c r="K36"/>
  <c r="Y40" i="15"/>
  <c r="Z12"/>
  <c r="I36" i="9"/>
  <c r="T40" i="15"/>
  <c r="U36" i="11"/>
  <c r="R36" i="9"/>
  <c r="L62" i="43"/>
  <c r="X62"/>
  <c r="Y25"/>
  <c r="C25"/>
  <c r="I25"/>
  <c r="H62"/>
  <c r="M25"/>
  <c r="T62"/>
  <c r="U25"/>
  <c r="V25" i="42"/>
  <c r="G28" i="11"/>
  <c r="K40" i="15"/>
  <c r="T36" i="9"/>
  <c r="G36"/>
  <c r="H36"/>
  <c r="X28" i="11"/>
  <c r="O36" i="9"/>
  <c r="Y28"/>
  <c r="X36"/>
  <c r="Q36"/>
  <c r="M36" i="11"/>
  <c r="K36" i="9"/>
  <c r="J28" i="4"/>
  <c r="X28"/>
  <c r="R28"/>
  <c r="Z27"/>
  <c r="AA27"/>
  <c r="T28"/>
  <c r="U28"/>
  <c r="M28"/>
  <c r="E36"/>
  <c r="N36"/>
  <c r="L36"/>
  <c r="S28"/>
  <c r="F28"/>
  <c r="G28"/>
  <c r="O28"/>
  <c r="N28"/>
  <c r="W36"/>
  <c r="L28"/>
  <c r="P28"/>
  <c r="M19"/>
  <c r="P19"/>
  <c r="H19"/>
  <c r="C19"/>
  <c r="L19"/>
  <c r="S19"/>
  <c r="R19"/>
  <c r="I19"/>
  <c r="Q19"/>
  <c r="O19"/>
  <c r="K19"/>
  <c r="T25" i="38"/>
  <c r="U28" i="14"/>
  <c r="G19" i="4"/>
  <c r="S36" i="14"/>
  <c r="U19" i="4"/>
  <c r="X36" i="14"/>
  <c r="F28"/>
  <c r="P36"/>
  <c r="K36" i="4"/>
  <c r="I28"/>
  <c r="H36"/>
  <c r="V28" i="14"/>
  <c r="H28"/>
  <c r="K28"/>
  <c r="O28"/>
  <c r="S28"/>
  <c r="Z27"/>
  <c r="AA27"/>
  <c r="L36"/>
  <c r="K36"/>
  <c r="O36"/>
  <c r="R28"/>
  <c r="X28"/>
  <c r="P28"/>
  <c r="E36"/>
  <c r="I36"/>
  <c r="L28"/>
  <c r="I28"/>
  <c r="M28"/>
  <c r="Q28"/>
  <c r="W28"/>
  <c r="Y28"/>
  <c r="Q36"/>
  <c r="U34" i="9"/>
  <c r="U44"/>
  <c r="U36"/>
  <c r="M19" i="6"/>
  <c r="K19"/>
  <c r="Y19"/>
  <c r="G19"/>
  <c r="X19"/>
  <c r="F19"/>
  <c r="U19"/>
  <c r="O19"/>
  <c r="N19"/>
  <c r="L19"/>
  <c r="J19"/>
  <c r="R19"/>
  <c r="S19"/>
  <c r="C19"/>
  <c r="V19"/>
  <c r="V36" i="14"/>
  <c r="Q28" i="4"/>
  <c r="V19"/>
  <c r="Y28"/>
  <c r="H28"/>
  <c r="R36"/>
  <c r="I36"/>
  <c r="T19"/>
  <c r="Q19" i="6"/>
  <c r="M36" i="4"/>
  <c r="T28" i="14"/>
  <c r="V28" i="4"/>
  <c r="Y62" i="40"/>
  <c r="U62"/>
  <c r="Q62"/>
  <c r="M62"/>
  <c r="W62"/>
  <c r="R62"/>
  <c r="L62"/>
  <c r="H62"/>
  <c r="V25"/>
  <c r="R25"/>
  <c r="N25"/>
  <c r="J25"/>
  <c r="F25"/>
  <c r="X62"/>
  <c r="S62"/>
  <c r="N62"/>
  <c r="I62"/>
  <c r="W25"/>
  <c r="S25"/>
  <c r="O25"/>
  <c r="K25"/>
  <c r="G25"/>
  <c r="T62"/>
  <c r="O62"/>
  <c r="J62"/>
  <c r="F62"/>
  <c r="X25"/>
  <c r="T25"/>
  <c r="P25"/>
  <c r="L25"/>
  <c r="H25"/>
  <c r="V62"/>
  <c r="P62"/>
  <c r="K62"/>
  <c r="G62"/>
  <c r="Y25"/>
  <c r="U25"/>
  <c r="Q25"/>
  <c r="M25"/>
  <c r="I25"/>
  <c r="C25"/>
  <c r="W62" i="38"/>
  <c r="S62"/>
  <c r="O62"/>
  <c r="K62"/>
  <c r="G62"/>
  <c r="Y25"/>
  <c r="U25"/>
  <c r="Q25"/>
  <c r="M25"/>
  <c r="I25"/>
  <c r="X62"/>
  <c r="T62"/>
  <c r="P62"/>
  <c r="L62"/>
  <c r="H62"/>
  <c r="V25"/>
  <c r="R25"/>
  <c r="N25"/>
  <c r="J25"/>
  <c r="C25"/>
  <c r="G25"/>
  <c r="Y62"/>
  <c r="U62"/>
  <c r="Q62"/>
  <c r="M62"/>
  <c r="I62"/>
  <c r="W25"/>
  <c r="S25"/>
  <c r="O25"/>
  <c r="K25"/>
  <c r="F25"/>
  <c r="V62"/>
  <c r="R62"/>
  <c r="N62"/>
  <c r="J62"/>
  <c r="F62"/>
  <c r="H25"/>
  <c r="L25"/>
  <c r="X19" i="4"/>
  <c r="K28"/>
  <c r="H19" i="6"/>
  <c r="W19" i="4"/>
  <c r="J36"/>
  <c r="U36"/>
  <c r="F19"/>
  <c r="Y19"/>
  <c r="G28" i="14"/>
  <c r="W36"/>
  <c r="Y36" i="4"/>
  <c r="M36" i="14"/>
  <c r="G36"/>
  <c r="P25" i="38"/>
  <c r="P19" i="6"/>
  <c r="W19"/>
  <c r="J28" i="14"/>
  <c r="V36" i="4"/>
  <c r="N19"/>
  <c r="Y36" i="14"/>
  <c r="P36" i="4"/>
  <c r="G36"/>
  <c r="N28" i="14"/>
  <c r="X36" i="4"/>
  <c r="J36" i="14"/>
  <c r="T19" i="6"/>
  <c r="W28" i="4"/>
  <c r="K21" i="15"/>
  <c r="G21"/>
  <c r="P21"/>
  <c r="Y21"/>
  <c r="X21"/>
  <c r="V21"/>
  <c r="C21"/>
  <c r="W19" i="5"/>
  <c r="R19"/>
  <c r="I19"/>
  <c r="T19"/>
  <c r="M21" i="15"/>
  <c r="W21"/>
  <c r="N19" i="12"/>
  <c r="X19" i="5"/>
  <c r="J19"/>
  <c r="Q19"/>
  <c r="V19"/>
  <c r="L19"/>
  <c r="S19"/>
  <c r="U19"/>
  <c r="C19"/>
  <c r="H19"/>
  <c r="P19"/>
  <c r="N19"/>
  <c r="F19"/>
  <c r="Y19"/>
  <c r="M19"/>
  <c r="K19"/>
  <c r="O19"/>
  <c r="S21" i="15"/>
  <c r="J21"/>
  <c r="O21"/>
  <c r="H21"/>
  <c r="F21"/>
  <c r="Q21"/>
  <c r="I21"/>
  <c r="T21"/>
  <c r="R21"/>
  <c r="U21"/>
  <c r="N21"/>
  <c r="I19" i="13"/>
  <c r="M19" i="12"/>
  <c r="K19"/>
  <c r="T19" i="14"/>
  <c r="G19"/>
  <c r="W19" i="12"/>
  <c r="C19"/>
  <c r="J19"/>
  <c r="P19" i="14"/>
  <c r="Y19"/>
  <c r="U19"/>
  <c r="V19"/>
  <c r="I19"/>
  <c r="S19"/>
  <c r="N19"/>
  <c r="L19"/>
  <c r="C19"/>
  <c r="R19"/>
  <c r="K19"/>
  <c r="O19"/>
  <c r="M19"/>
  <c r="J19"/>
  <c r="X19"/>
  <c r="H19"/>
  <c r="F19"/>
  <c r="W19"/>
  <c r="H19" i="7"/>
  <c r="O19"/>
  <c r="L19" i="12"/>
  <c r="H19"/>
  <c r="X19"/>
  <c r="O19"/>
  <c r="G19"/>
  <c r="S19"/>
  <c r="Q19"/>
  <c r="I19"/>
  <c r="U19"/>
  <c r="P19"/>
  <c r="V19"/>
  <c r="Y19"/>
  <c r="T19"/>
  <c r="R19"/>
  <c r="S19" i="7"/>
  <c r="L19"/>
  <c r="P19"/>
  <c r="G19"/>
  <c r="N19"/>
  <c r="W19"/>
  <c r="I19"/>
  <c r="C19"/>
  <c r="M19"/>
  <c r="R19"/>
  <c r="J19"/>
  <c r="T19"/>
  <c r="K19"/>
  <c r="V19"/>
  <c r="F19"/>
  <c r="X19"/>
  <c r="U19"/>
  <c r="Q19"/>
  <c r="Q19" i="13"/>
  <c r="T19"/>
  <c r="C19"/>
  <c r="F19"/>
  <c r="M19"/>
  <c r="G19"/>
  <c r="J19"/>
  <c r="V19"/>
  <c r="O19"/>
  <c r="U19"/>
  <c r="R19"/>
  <c r="S19"/>
  <c r="L19"/>
  <c r="N19"/>
  <c r="W19"/>
  <c r="P19"/>
  <c r="Y19"/>
  <c r="X19"/>
  <c r="H19"/>
  <c r="Y19" i="10"/>
  <c r="I19"/>
  <c r="N19"/>
  <c r="W19"/>
  <c r="L19"/>
  <c r="H19"/>
  <c r="G19"/>
  <c r="R19"/>
  <c r="O19"/>
  <c r="U19"/>
  <c r="K19"/>
  <c r="P19"/>
  <c r="S19"/>
  <c r="F19"/>
  <c r="M19"/>
  <c r="C19"/>
  <c r="T19"/>
  <c r="Q19"/>
  <c r="X19"/>
  <c r="V19"/>
  <c r="J19"/>
</calcChain>
</file>

<file path=xl/comments1.xml><?xml version="1.0" encoding="utf-8"?>
<comments xmlns="http://schemas.openxmlformats.org/spreadsheetml/2006/main">
  <authors>
    <author xml:space="preserve"> </author>
  </authors>
  <commentList>
    <comment ref="U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President's Day - Holiday for US &amp; Canada</t>
        </r>
      </text>
    </comment>
    <comment ref="U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President's Day - Holiday for US &amp; Canada</t>
        </r>
      </text>
    </comment>
  </commentList>
</comments>
</file>

<file path=xl/sharedStrings.xml><?xml version="1.0" encoding="utf-8"?>
<sst xmlns="http://schemas.openxmlformats.org/spreadsheetml/2006/main" count="2460" uniqueCount="111">
  <si>
    <t>San Diego</t>
  </si>
  <si>
    <t>Boston</t>
  </si>
  <si>
    <t>Canada</t>
  </si>
  <si>
    <t>Norwich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</si>
  <si>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</si>
  <si>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</si>
  <si>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</si>
  <si>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</si>
  <si>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</si>
  <si>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</si>
  <si>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</si>
  <si>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</si>
  <si>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</si>
  <si>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</si>
  <si>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</si>
  <si>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</si>
  <si>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</si>
  <si>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</si>
  <si>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</si>
  <si>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</si>
  <si>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</si>
  <si>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</si>
  <si>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</si>
  <si>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</si>
  <si>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Daily Performance</t>
  </si>
  <si>
    <t>Monthly Run Rate Prediction</t>
  </si>
  <si>
    <t>Monthly Revenue Predictor</t>
  </si>
  <si>
    <t>Group</t>
  </si>
  <si>
    <t>Budget</t>
  </si>
  <si>
    <t>Daily Performance %</t>
  </si>
  <si>
    <t>Pre Jan</t>
  </si>
  <si>
    <t>WDM Group - 2010 Budget vs Actual Tracker</t>
  </si>
  <si>
    <t>Budget/Day</t>
  </si>
  <si>
    <t>Actual Book to Date</t>
  </si>
  <si>
    <t>of Budget</t>
  </si>
  <si>
    <t>Pre Feb</t>
  </si>
  <si>
    <t>Ave daily sales</t>
  </si>
  <si>
    <t>Ahead of</t>
  </si>
  <si>
    <t>Month %</t>
  </si>
  <si>
    <t>% Budget</t>
  </si>
  <si>
    <t>Compl</t>
  </si>
  <si>
    <t>Pre Mar</t>
  </si>
  <si>
    <t>WDM Group - 2010 Budget vs Actual Tracker - March</t>
  </si>
  <si>
    <t>Daily Ave</t>
  </si>
  <si>
    <t>Pre Apr</t>
  </si>
  <si>
    <t>Holiday</t>
  </si>
  <si>
    <t>WDM Group - 2010 Budget vs Actual Tracker - May</t>
  </si>
  <si>
    <t>Pre May</t>
  </si>
  <si>
    <t>Pre June</t>
  </si>
  <si>
    <t>WDM Group - 2010 Budget vs Actual Tracker - April - EXTENDED BY 5 DAYS</t>
  </si>
  <si>
    <t>WDM Group - 2010 Budget vs Actual Tracker - June - EXTENDED BY 5 DAYS</t>
  </si>
  <si>
    <t>WDM Group - 2010 Budget vs Actual Tracker - July</t>
  </si>
  <si>
    <t>MoOth %</t>
  </si>
  <si>
    <t>WDM Group - 2010 Budget vs Actual Tracker -August</t>
  </si>
  <si>
    <t>WDM Group - 2010 Budget vs Actual Tracker -September</t>
  </si>
  <si>
    <t>Pre Aug</t>
  </si>
  <si>
    <t>Pre Jul</t>
  </si>
  <si>
    <t>Pre Sep</t>
  </si>
  <si>
    <t>WDM Group - 2010 Budget vs Actual Tracker -October</t>
  </si>
  <si>
    <t>WDM Group - 2010 Budget vs Actual Tracker -November</t>
  </si>
  <si>
    <t>Pre Nov</t>
  </si>
  <si>
    <t>WDM Group - 2010 Budget vs Actual Tracker -December</t>
  </si>
  <si>
    <t>Pre Dec</t>
  </si>
  <si>
    <t>Mumbai</t>
  </si>
  <si>
    <t>Latin America</t>
  </si>
  <si>
    <t>Note : 25 Day Sales Cycle ( First 5 days in Pre Feb Column )</t>
  </si>
  <si>
    <t>Note : 25 Day Sales Cycle ( First 5 days in Pre APR Column )</t>
  </si>
  <si>
    <t>RDO RR Prediction</t>
  </si>
  <si>
    <t>RR Prediction</t>
  </si>
  <si>
    <t>Pre July</t>
  </si>
  <si>
    <t>Pre Sept</t>
  </si>
  <si>
    <t>SD</t>
  </si>
  <si>
    <t>Lat</t>
  </si>
  <si>
    <t>Bos</t>
  </si>
  <si>
    <t>Can</t>
  </si>
  <si>
    <t>Mum</t>
  </si>
  <si>
    <t>Nor</t>
  </si>
  <si>
    <t>Brazil</t>
  </si>
  <si>
    <t>WDM Group - 2011 Budget vs Actual Tracker - November 2011</t>
  </si>
  <si>
    <t>WDM Group - 2011 Budget vs Actual Tracker - January 2011</t>
  </si>
  <si>
    <t>WDM Group - 2011 Budget vs Actual Tracker - February 2011</t>
  </si>
  <si>
    <t>WDM Group - 2011 Budget vs Actual Tracker - March 2011</t>
  </si>
  <si>
    <t>WDM Group - 2011 Budget vs Actual Tracker - April 2011</t>
  </si>
  <si>
    <t>WDM Group - 2011 Budget vs Actual Tracker - May 2011</t>
  </si>
  <si>
    <t>WDM Group - 2011 Budget vs Actual Tracker - June 2011</t>
  </si>
  <si>
    <t>WDM Group - 2011 Budget vs Actual Tracker - July 2011</t>
  </si>
  <si>
    <t>WDM Group - 2011 Budget vs Actual Tracker - August 2011</t>
  </si>
  <si>
    <t>WDM Group - 2011 Budget vs Actual Tracker - September 2011</t>
  </si>
  <si>
    <t>WDM Group - 2011 Budget vs Actual Tracker - October 2011</t>
  </si>
  <si>
    <t>WDM Group - 2011 Budget vs Actual Tracker - December 2011</t>
  </si>
  <si>
    <t>Pre Oct</t>
  </si>
  <si>
    <t>WDM Group - 2012 Budget vs Actual Tracker - January 2012 / February Book</t>
  </si>
  <si>
    <t>WDM Group - 2012 Budget vs Actual Tracker - February 2012 / March Book</t>
  </si>
  <si>
    <t>WDM Group - 2012 Budget vs Actual Tracker - March 2012 / April Book</t>
  </si>
  <si>
    <t>Bra</t>
  </si>
  <si>
    <t>On Budget</t>
  </si>
  <si>
    <t>WDM Group - 2012 Budget vs Actual Tracker - April 2012 / May Book</t>
  </si>
  <si>
    <t>WDM Group - 2012 Budget vs Actual Tracker - May 2012 / June Book</t>
  </si>
  <si>
    <t>WDM Group - 2012 Budget vs Actual Tracker - June 2012 / July Book</t>
  </si>
  <si>
    <t>India</t>
  </si>
  <si>
    <t>WDM Group - 2012 Budget vs Actual Tracker - July 2012 / August Book</t>
  </si>
  <si>
    <t>WDM Group - 2012 Budget vs Actual Tracker - Aug 2012 / September Book</t>
  </si>
  <si>
    <t>WDM Group - 2012 Budget vs Actual Tracker - Sept 2012 / October Book</t>
  </si>
  <si>
    <t>Day 21</t>
  </si>
  <si>
    <t>Day 22</t>
  </si>
  <si>
    <t>Day 23</t>
  </si>
  <si>
    <t>Day 24</t>
  </si>
  <si>
    <t>Day 25</t>
  </si>
  <si>
    <t>WDM Group - 2012 Budget vs Actual Tracker - October 2012 / November Book</t>
  </si>
  <si>
    <t>WDM Group - 2012 Budget vs Actual Tracker - November 2012 / December Book</t>
  </si>
  <si>
    <t>WDM Group - 2012 Budget vs Actual Tracker - December 2012 / February Book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</si>
</sst>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%"/>
    <numFmt numFmtId="165" formatCode="0.000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5">
    <xf numFmtId="0" fontId="0" fillId="0" borderId="0" xfId="0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6" fillId="0" borderId="0" xfId="0" applyFont="1"/>
    <xf numFmtId="0" fontId="16" fillId="0" borderId="0" xfId="0" applyFont="1" applyBorder="1"/>
    <xf numFmtId="0" fontId="16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1" fontId="16" fillId="0" borderId="0" xfId="0" applyNumberFormat="1" applyFont="1"/>
    <xf numFmtId="1" fontId="17" fillId="2" borderId="2" xfId="0" applyNumberFormat="1" applyFont="1" applyFill="1" applyBorder="1"/>
    <xf numFmtId="1" fontId="16" fillId="0" borderId="0" xfId="2" applyNumberFormat="1" applyFont="1"/>
    <xf numFmtId="1" fontId="16" fillId="0" borderId="3" xfId="0" applyNumberFormat="1" applyFont="1" applyBorder="1"/>
    <xf numFmtId="0" fontId="16" fillId="0" borderId="0" xfId="0" applyFont="1" applyAlignment="1">
      <alignment horizontal="right"/>
    </xf>
    <xf numFmtId="1" fontId="17" fillId="2" borderId="4" xfId="0" applyNumberFormat="1" applyFont="1" applyFill="1" applyBorder="1"/>
    <xf numFmtId="0" fontId="16" fillId="3" borderId="0" xfId="0" applyFont="1" applyFill="1"/>
    <xf numFmtId="164" fontId="16" fillId="0" borderId="0" xfId="0" applyNumberFormat="1" applyFont="1"/>
    <xf numFmtId="164" fontId="16" fillId="0" borderId="3" xfId="0" applyNumberFormat="1" applyFont="1" applyBorder="1"/>
    <xf numFmtId="0" fontId="16" fillId="0" borderId="3" xfId="0" applyFont="1" applyBorder="1"/>
    <xf numFmtId="1" fontId="16" fillId="3" borderId="0" xfId="0" applyNumberFormat="1" applyFont="1" applyFill="1"/>
    <xf numFmtId="1" fontId="16" fillId="3" borderId="3" xfId="0" applyNumberFormat="1" applyFont="1" applyFill="1" applyBorder="1"/>
    <xf numFmtId="0" fontId="19" fillId="0" borderId="0" xfId="0" applyFont="1" applyFill="1"/>
    <xf numFmtId="0" fontId="16" fillId="0" borderId="0" xfId="0" applyFont="1" applyFill="1"/>
    <xf numFmtId="164" fontId="16" fillId="0" borderId="0" xfId="0" applyNumberFormat="1" applyFont="1" applyFill="1"/>
    <xf numFmtId="164" fontId="16" fillId="0" borderId="0" xfId="2" applyNumberFormat="1" applyFont="1" applyFill="1"/>
    <xf numFmtId="164" fontId="16" fillId="0" borderId="3" xfId="0" applyNumberFormat="1" applyFont="1" applyFill="1" applyBorder="1"/>
    <xf numFmtId="164" fontId="16" fillId="0" borderId="3" xfId="2" applyNumberFormat="1" applyFont="1" applyFill="1" applyBorder="1"/>
    <xf numFmtId="1" fontId="0" fillId="0" borderId="0" xfId="0" applyNumberFormat="1"/>
    <xf numFmtId="0" fontId="16" fillId="0" borderId="0" xfId="0" applyFont="1" applyFill="1" applyAlignment="1">
      <alignment horizontal="left"/>
    </xf>
    <xf numFmtId="9" fontId="14" fillId="0" borderId="0" xfId="2" applyFont="1"/>
    <xf numFmtId="165" fontId="16" fillId="0" borderId="0" xfId="0" applyNumberFormat="1" applyFont="1"/>
    <xf numFmtId="0" fontId="16" fillId="4" borderId="0" xfId="0" applyFont="1" applyFill="1"/>
    <xf numFmtId="0" fontId="16" fillId="5" borderId="3" xfId="0" applyFont="1" applyFill="1" applyBorder="1"/>
    <xf numFmtId="1" fontId="16" fillId="0" borderId="0" xfId="0" applyNumberFormat="1" applyFont="1" applyFill="1"/>
    <xf numFmtId="1" fontId="16" fillId="0" borderId="3" xfId="0" applyNumberFormat="1" applyFont="1" applyFill="1" applyBorder="1"/>
    <xf numFmtId="0" fontId="16" fillId="0" borderId="3" xfId="0" applyFont="1" applyFill="1" applyBorder="1"/>
    <xf numFmtId="0" fontId="16" fillId="6" borderId="0" xfId="0" applyFont="1" applyFill="1"/>
    <xf numFmtId="0" fontId="16" fillId="6" borderId="3" xfId="0" applyFont="1" applyFill="1" applyBorder="1"/>
    <xf numFmtId="1" fontId="16" fillId="6" borderId="0" xfId="0" applyNumberFormat="1" applyFont="1" applyFill="1"/>
    <xf numFmtId="1" fontId="17" fillId="2" borderId="5" xfId="0" applyNumberFormat="1" applyFont="1" applyFill="1" applyBorder="1"/>
    <xf numFmtId="1" fontId="17" fillId="2" borderId="4" xfId="2" applyNumberFormat="1" applyFont="1" applyFill="1" applyBorder="1"/>
    <xf numFmtId="0" fontId="16" fillId="7" borderId="0" xfId="0" applyFont="1" applyFill="1"/>
    <xf numFmtId="1" fontId="16" fillId="0" borderId="0" xfId="0" applyNumberFormat="1" applyFont="1" applyAlignment="1">
      <alignment horizontal="right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9" fontId="14" fillId="0" borderId="7" xfId="2" applyFont="1" applyBorder="1"/>
    <xf numFmtId="9" fontId="14" fillId="0" borderId="8" xfId="2" applyFont="1" applyBorder="1"/>
    <xf numFmtId="1" fontId="20" fillId="0" borderId="0" xfId="0" applyNumberFormat="1" applyFont="1"/>
    <xf numFmtId="9" fontId="21" fillId="0" borderId="0" xfId="2" applyFont="1" applyAlignment="1">
      <alignment horizontal="center"/>
    </xf>
    <xf numFmtId="0" fontId="14" fillId="0" borderId="6" xfId="0" applyFont="1" applyBorder="1"/>
    <xf numFmtId="0" fontId="14" fillId="0" borderId="7" xfId="0" applyFont="1" applyBorder="1"/>
    <xf numFmtId="9" fontId="14" fillId="8" borderId="7" xfId="2" applyNumberFormat="1" applyFont="1" applyFill="1" applyBorder="1"/>
    <xf numFmtId="9" fontId="14" fillId="8" borderId="7" xfId="0" applyNumberFormat="1" applyFont="1" applyFill="1" applyBorder="1"/>
    <xf numFmtId="9" fontId="14" fillId="2" borderId="7" xfId="0" applyNumberFormat="1" applyFont="1" applyFill="1" applyBorder="1"/>
    <xf numFmtId="1" fontId="22" fillId="0" borderId="0" xfId="0" applyNumberFormat="1" applyFont="1"/>
    <xf numFmtId="1" fontId="16" fillId="8" borderId="3" xfId="0" applyNumberFormat="1" applyFont="1" applyFill="1" applyBorder="1"/>
    <xf numFmtId="0" fontId="16" fillId="8" borderId="3" xfId="0" applyFont="1" applyFill="1" applyBorder="1"/>
    <xf numFmtId="1" fontId="17" fillId="2" borderId="9" xfId="0" applyNumberFormat="1" applyFont="1" applyFill="1" applyBorder="1"/>
    <xf numFmtId="1" fontId="22" fillId="8" borderId="3" xfId="0" applyNumberFormat="1" applyFont="1" applyFill="1" applyBorder="1"/>
    <xf numFmtId="0" fontId="16" fillId="8" borderId="0" xfId="0" applyFont="1" applyFill="1"/>
    <xf numFmtId="9" fontId="14" fillId="9" borderId="7" xfId="2" applyNumberFormat="1" applyFont="1" applyFill="1" applyBorder="1"/>
    <xf numFmtId="9" fontId="14" fillId="9" borderId="7" xfId="0" applyNumberFormat="1" applyFont="1" applyFill="1" applyBorder="1"/>
    <xf numFmtId="9" fontId="14" fillId="0" borderId="0" xfId="2" applyNumberFormat="1" applyFont="1"/>
    <xf numFmtId="9" fontId="21" fillId="0" borderId="0" xfId="2" applyFont="1"/>
    <xf numFmtId="1" fontId="20" fillId="8" borderId="3" xfId="0" applyNumberFormat="1" applyFont="1" applyFill="1" applyBorder="1"/>
    <xf numFmtId="0" fontId="22" fillId="8" borderId="0" xfId="0" applyFont="1" applyFill="1"/>
    <xf numFmtId="0" fontId="22" fillId="0" borderId="0" xfId="0" applyFont="1" applyFill="1"/>
    <xf numFmtId="0" fontId="16" fillId="0" borderId="0" xfId="0" applyFont="1" applyFill="1" applyBorder="1"/>
    <xf numFmtId="1" fontId="17" fillId="2" borderId="7" xfId="0" applyNumberFormat="1" applyFont="1" applyFill="1" applyBorder="1"/>
    <xf numFmtId="1" fontId="16" fillId="8" borderId="8" xfId="0" applyNumberFormat="1" applyFont="1" applyFill="1" applyBorder="1"/>
    <xf numFmtId="0" fontId="14" fillId="0" borderId="10" xfId="0" applyFont="1" applyBorder="1" applyAlignment="1">
      <alignment horizontal="center"/>
    </xf>
    <xf numFmtId="1" fontId="22" fillId="8" borderId="6" xfId="0" applyNumberFormat="1" applyFont="1" applyFill="1" applyBorder="1"/>
    <xf numFmtId="1" fontId="22" fillId="8" borderId="7" xfId="0" applyNumberFormat="1" applyFont="1" applyFill="1" applyBorder="1"/>
    <xf numFmtId="1" fontId="16" fillId="8" borderId="0" xfId="0" applyNumberFormat="1" applyFont="1" applyFill="1"/>
    <xf numFmtId="1" fontId="22" fillId="8" borderId="9" xfId="0" applyNumberFormat="1" applyFont="1" applyFill="1" applyBorder="1"/>
    <xf numFmtId="0" fontId="14" fillId="0" borderId="6" xfId="0" applyFont="1" applyBorder="1" applyAlignment="1">
      <alignment horizontal="center"/>
    </xf>
    <xf numFmtId="165" fontId="16" fillId="0" borderId="0" xfId="2" applyNumberFormat="1" applyFont="1"/>
    <xf numFmtId="1" fontId="22" fillId="9" borderId="6" xfId="0" applyNumberFormat="1" applyFont="1" applyFill="1" applyBorder="1"/>
    <xf numFmtId="9" fontId="23" fillId="2" borderId="7" xfId="0" applyNumberFormat="1" applyFont="1" applyFill="1" applyBorder="1"/>
    <xf numFmtId="1" fontId="16" fillId="10" borderId="3" xfId="0" applyNumberFormat="1" applyFont="1" applyFill="1" applyBorder="1"/>
    <xf numFmtId="1" fontId="16" fillId="10" borderId="0" xfId="0" applyNumberFormat="1" applyFont="1" applyFill="1"/>
    <xf numFmtId="0" fontId="16" fillId="10" borderId="0" xfId="0" applyFont="1" applyFill="1"/>
    <xf numFmtId="9" fontId="14" fillId="0" borderId="10" xfId="2" applyFont="1" applyBorder="1"/>
    <xf numFmtId="9" fontId="23" fillId="2" borderId="10" xfId="0" applyNumberFormat="1" applyFont="1" applyFill="1" applyBorder="1"/>
    <xf numFmtId="1" fontId="16" fillId="9" borderId="8" xfId="0" applyNumberFormat="1" applyFont="1" applyFill="1" applyBorder="1"/>
    <xf numFmtId="9" fontId="24" fillId="8" borderId="7" xfId="0" applyNumberFormat="1" applyFont="1" applyFill="1" applyBorder="1"/>
    <xf numFmtId="1" fontId="16" fillId="11" borderId="0" xfId="0" applyNumberFormat="1" applyFont="1" applyFill="1"/>
    <xf numFmtId="1" fontId="17" fillId="2" borderId="6" xfId="0" applyNumberFormat="1" applyFont="1" applyFill="1" applyBorder="1"/>
    <xf numFmtId="1" fontId="22" fillId="8" borderId="8" xfId="0" applyNumberFormat="1" applyFont="1" applyFill="1" applyBorder="1"/>
    <xf numFmtId="1" fontId="16" fillId="11" borderId="3" xfId="0" applyNumberFormat="1" applyFont="1" applyFill="1" applyBorder="1"/>
    <xf numFmtId="1" fontId="16" fillId="0" borderId="0" xfId="0" applyNumberFormat="1" applyFont="1" applyFill="1" applyBorder="1"/>
    <xf numFmtId="1" fontId="16" fillId="9" borderId="3" xfId="0" applyNumberFormat="1" applyFont="1" applyFill="1" applyBorder="1"/>
    <xf numFmtId="0" fontId="16" fillId="10" borderId="0" xfId="0" applyFont="1" applyFill="1" applyAlignment="1">
      <alignment horizontal="center"/>
    </xf>
    <xf numFmtId="1" fontId="17" fillId="2" borderId="8" xfId="0" applyNumberFormat="1" applyFont="1" applyFill="1" applyBorder="1"/>
    <xf numFmtId="1" fontId="20" fillId="0" borderId="3" xfId="0" applyNumberFormat="1" applyFont="1" applyBorder="1"/>
    <xf numFmtId="1" fontId="17" fillId="9" borderId="6" xfId="0" applyNumberFormat="1" applyFont="1" applyFill="1" applyBorder="1"/>
    <xf numFmtId="9" fontId="23" fillId="9" borderId="7" xfId="2" applyNumberFormat="1" applyFont="1" applyFill="1" applyBorder="1"/>
    <xf numFmtId="1" fontId="22" fillId="0" borderId="3" xfId="0" applyNumberFormat="1" applyFont="1" applyBorder="1"/>
    <xf numFmtId="0" fontId="16" fillId="9" borderId="0" xfId="0" applyFont="1" applyFill="1"/>
    <xf numFmtId="9" fontId="25" fillId="0" borderId="7" xfId="2" applyFont="1" applyBorder="1"/>
    <xf numFmtId="9" fontId="25" fillId="0" borderId="8" xfId="2" applyFont="1" applyBorder="1"/>
    <xf numFmtId="9" fontId="25" fillId="0" borderId="10" xfId="2" applyFont="1" applyBorder="1"/>
    <xf numFmtId="0" fontId="26" fillId="0" borderId="0" xfId="0" applyFont="1" applyFill="1"/>
    <xf numFmtId="0" fontId="24" fillId="0" borderId="0" xfId="0" applyFont="1" applyFill="1"/>
    <xf numFmtId="0" fontId="24" fillId="0" borderId="6" xfId="0" applyFont="1" applyFill="1" applyBorder="1" applyAlignment="1">
      <alignment horizontal="center" vertical="center"/>
    </xf>
    <xf numFmtId="0" fontId="24" fillId="0" borderId="6" xfId="0" applyFont="1" applyFill="1" applyBorder="1"/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/>
    <xf numFmtId="9" fontId="24" fillId="0" borderId="7" xfId="2" applyFont="1" applyFill="1" applyBorder="1"/>
    <xf numFmtId="9" fontId="24" fillId="0" borderId="8" xfId="2" applyFont="1" applyFill="1" applyBorder="1"/>
    <xf numFmtId="9" fontId="24" fillId="0" borderId="10" xfId="2" applyFont="1" applyFill="1" applyBorder="1"/>
    <xf numFmtId="1" fontId="17" fillId="9" borderId="8" xfId="0" applyNumberFormat="1" applyFont="1" applyFill="1" applyBorder="1"/>
    <xf numFmtId="9" fontId="23" fillId="9" borderId="7" xfId="0" applyNumberFormat="1" applyFont="1" applyFill="1" applyBorder="1"/>
    <xf numFmtId="0" fontId="16" fillId="0" borderId="0" xfId="0" applyFont="1" applyFill="1" applyAlignment="1">
      <alignment horizontal="center"/>
    </xf>
    <xf numFmtId="1" fontId="17" fillId="9" borderId="7" xfId="0" applyNumberFormat="1" applyFont="1" applyFill="1" applyBorder="1"/>
    <xf numFmtId="1" fontId="17" fillId="9" borderId="9" xfId="0" applyNumberFormat="1" applyFont="1" applyFill="1" applyBorder="1"/>
    <xf numFmtId="0" fontId="16" fillId="0" borderId="0" xfId="0" applyFont="1" applyFill="1" applyAlignment="1">
      <alignment horizontal="right"/>
    </xf>
    <xf numFmtId="9" fontId="23" fillId="9" borderId="10" xfId="0" applyNumberFormat="1" applyFont="1" applyFill="1" applyBorder="1"/>
    <xf numFmtId="0" fontId="16" fillId="10" borderId="3" xfId="0" applyFont="1" applyFill="1" applyBorder="1" applyAlignment="1">
      <alignment horizontal="center"/>
    </xf>
    <xf numFmtId="1" fontId="16" fillId="9" borderId="0" xfId="0" applyNumberFormat="1" applyFont="1" applyFill="1"/>
    <xf numFmtId="1" fontId="16" fillId="0" borderId="0" xfId="0" applyNumberFormat="1" applyFont="1" applyFill="1" applyAlignment="1">
      <alignment horizontal="right"/>
    </xf>
    <xf numFmtId="1" fontId="16" fillId="12" borderId="0" xfId="0" applyNumberFormat="1" applyFont="1" applyFill="1"/>
    <xf numFmtId="1" fontId="22" fillId="2" borderId="9" xfId="0" applyNumberFormat="1" applyFont="1" applyFill="1" applyBorder="1"/>
    <xf numFmtId="1" fontId="16" fillId="12" borderId="3" xfId="0" applyNumberFormat="1" applyFont="1" applyFill="1" applyBorder="1"/>
    <xf numFmtId="1" fontId="22" fillId="9" borderId="9" xfId="0" applyNumberFormat="1" applyFont="1" applyFill="1" applyBorder="1"/>
    <xf numFmtId="0" fontId="13" fillId="0" borderId="0" xfId="0" applyFont="1"/>
    <xf numFmtId="1" fontId="22" fillId="0" borderId="0" xfId="0" applyNumberFormat="1" applyFont="1" applyFill="1" applyBorder="1"/>
    <xf numFmtId="0" fontId="16" fillId="10" borderId="3" xfId="0" applyFont="1" applyFill="1" applyBorder="1"/>
    <xf numFmtId="0" fontId="0" fillId="0" borderId="3" xfId="0" applyBorder="1"/>
    <xf numFmtId="166" fontId="27" fillId="0" borderId="8" xfId="1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/>
    <xf numFmtId="0" fontId="27" fillId="0" borderId="10" xfId="0" applyFont="1" applyBorder="1" applyAlignment="1">
      <alignment horizontal="right"/>
    </xf>
    <xf numFmtId="9" fontId="23" fillId="2" borderId="7" xfId="2" applyNumberFormat="1" applyFont="1" applyFill="1" applyBorder="1"/>
    <xf numFmtId="1" fontId="16" fillId="12" borderId="0" xfId="2" applyNumberFormat="1" applyFont="1" applyFill="1"/>
    <xf numFmtId="1" fontId="16" fillId="12" borderId="0" xfId="0" applyNumberFormat="1" applyFont="1" applyFill="1" applyBorder="1"/>
    <xf numFmtId="1" fontId="17" fillId="2" borderId="1" xfId="0" applyNumberFormat="1" applyFont="1" applyFill="1" applyBorder="1"/>
    <xf numFmtId="0" fontId="27" fillId="0" borderId="10" xfId="0" applyFont="1" applyBorder="1" applyAlignment="1">
      <alignment horizontal="center"/>
    </xf>
    <xf numFmtId="166" fontId="27" fillId="0" borderId="8" xfId="1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3" fillId="0" borderId="0" xfId="0" applyFont="1"/>
    <xf numFmtId="1" fontId="12" fillId="0" borderId="0" xfId="0" applyNumberFormat="1" applyFont="1"/>
    <xf numFmtId="9" fontId="24" fillId="9" borderId="7" xfId="2" applyNumberFormat="1" applyFont="1" applyFill="1" applyBorder="1"/>
    <xf numFmtId="9" fontId="24" fillId="2" borderId="7" xfId="0" applyNumberFormat="1" applyFont="1" applyFill="1" applyBorder="1"/>
    <xf numFmtId="9" fontId="24" fillId="9" borderId="7" xfId="0" applyNumberFormat="1" applyFont="1" applyFill="1" applyBorder="1"/>
    <xf numFmtId="9" fontId="24" fillId="9" borderId="10" xfId="0" applyNumberFormat="1" applyFont="1" applyFill="1" applyBorder="1"/>
    <xf numFmtId="0" fontId="27" fillId="6" borderId="0" xfId="0" applyFont="1" applyFill="1"/>
    <xf numFmtId="0" fontId="27" fillId="6" borderId="3" xfId="0" applyFont="1" applyFill="1" applyBorder="1"/>
    <xf numFmtId="1" fontId="27" fillId="6" borderId="0" xfId="0" applyNumberFormat="1" applyFont="1" applyFill="1"/>
    <xf numFmtId="0" fontId="27" fillId="6" borderId="0" xfId="0" applyFont="1" applyFill="1" applyAlignment="1">
      <alignment horizontal="center"/>
    </xf>
    <xf numFmtId="0" fontId="27" fillId="0" borderId="0" xfId="0" applyFont="1" applyAlignment="1">
      <alignment horizontal="right"/>
    </xf>
    <xf numFmtId="9" fontId="23" fillId="13" borderId="7" xfId="0" applyNumberFormat="1" applyFont="1" applyFill="1" applyBorder="1"/>
    <xf numFmtId="0" fontId="0" fillId="10" borderId="0" xfId="0" applyFill="1"/>
    <xf numFmtId="0" fontId="0" fillId="10" borderId="11" xfId="0" applyFill="1" applyBorder="1"/>
    <xf numFmtId="1" fontId="17" fillId="2" borderId="10" xfId="0" applyNumberFormat="1" applyFont="1" applyFill="1" applyBorder="1"/>
    <xf numFmtId="0" fontId="13" fillId="0" borderId="1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1" fontId="12" fillId="2" borderId="10" xfId="0" applyNumberFormat="1" applyFont="1" applyFill="1" applyBorder="1"/>
    <xf numFmtId="0" fontId="12" fillId="2" borderId="10" xfId="0" applyFont="1" applyFill="1" applyBorder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  <xf numFmtId="1" fontId="17" fillId="13" borderId="10" xfId="0" applyNumberFormat="1" applyFont="1" applyFill="1" applyBorder="1"/>
    <xf numFmtId="0" fontId="12" fillId="13" borderId="0" xfId="0" applyFont="1" applyFill="1"/>
    <xf numFmtId="0" fontId="12" fillId="13" borderId="0" xfId="0" applyFont="1" applyFill="1" applyBorder="1"/>
    <xf numFmtId="1" fontId="17" fillId="13" borderId="0" xfId="0" applyNumberFormat="1" applyFont="1" applyFill="1"/>
    <xf numFmtId="0" fontId="16" fillId="10" borderId="10" xfId="0" applyFont="1" applyFill="1" applyBorder="1" applyAlignment="1">
      <alignment horizontal="center"/>
    </xf>
    <xf numFmtId="1" fontId="22" fillId="0" borderId="0" xfId="0" applyNumberFormat="1" applyFont="1" applyFill="1"/>
    <xf numFmtId="1" fontId="22" fillId="0" borderId="3" xfId="0" applyNumberFormat="1" applyFont="1" applyFill="1" applyBorder="1"/>
    <xf numFmtId="0" fontId="26" fillId="0" borderId="3" xfId="0" applyFont="1" applyFill="1" applyBorder="1"/>
    <xf numFmtId="9" fontId="24" fillId="13" borderId="7" xfId="0" applyNumberFormat="1" applyFont="1" applyFill="1" applyBorder="1"/>
    <xf numFmtId="1" fontId="12" fillId="13" borderId="10" xfId="0" applyNumberFormat="1" applyFont="1" applyFill="1" applyBorder="1"/>
    <xf numFmtId="1" fontId="22" fillId="2" borderId="7" xfId="0" applyNumberFormat="1" applyFont="1" applyFill="1" applyBorder="1"/>
    <xf numFmtId="1" fontId="17" fillId="13" borderId="7" xfId="0" applyNumberFormat="1" applyFont="1" applyFill="1" applyBorder="1"/>
    <xf numFmtId="1" fontId="16" fillId="0" borderId="14" xfId="0" applyNumberFormat="1" applyFont="1" applyFill="1" applyBorder="1"/>
    <xf numFmtId="0" fontId="17" fillId="0" borderId="0" xfId="0" applyFont="1" applyAlignment="1">
      <alignment horizontal="center"/>
    </xf>
    <xf numFmtId="0" fontId="0" fillId="0" borderId="0" xfId="0" applyAlignment="1">
      <alignment wrapText="1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" fontId="12" fillId="13" borderId="12" xfId="0" applyNumberFormat="1" applyFont="1" applyFill="1" applyBorder="1" applyAlignment="1">
      <alignment horizontal="center"/>
    </xf>
    <xf numFmtId="1" fontId="12" fillId="13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Jan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347964811592631E-2"/>
          <c:y val="0.14130449781812823"/>
          <c:w val="0.84953010565017661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'Jan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'Jan 10'!$C$39:$V$39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'Jan 10'!$C$40:$V$40</c:f>
              <c:numCache>
                <c:formatCode>General</c:formatCode>
                <c:ptCount val="20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 formatCode="0">
                  <c:v>163845</c:v>
                </c:pt>
                <c:pt idx="4" formatCode="0">
                  <c:v>226776</c:v>
                </c:pt>
                <c:pt idx="5" formatCode="0">
                  <c:v>188980</c:v>
                </c:pt>
                <c:pt idx="6" formatCode="0">
                  <c:v>200451</c:v>
                </c:pt>
                <c:pt idx="7" formatCode="0">
                  <c:v>195130</c:v>
                </c:pt>
                <c:pt idx="8" formatCode="0">
                  <c:v>173449</c:v>
                </c:pt>
                <c:pt idx="9" formatCode="0">
                  <c:v>174212</c:v>
                </c:pt>
                <c:pt idx="10" formatCode="0">
                  <c:v>158374.54545454547</c:v>
                </c:pt>
                <c:pt idx="11" formatCode="0">
                  <c:v>179400</c:v>
                </c:pt>
                <c:pt idx="12" formatCode="0">
                  <c:v>191698.46153846153</c:v>
                </c:pt>
                <c:pt idx="13" formatCode="0">
                  <c:v>196450.66666666666</c:v>
                </c:pt>
                <c:pt idx="14" formatCode="0">
                  <c:v>184172.5</c:v>
                </c:pt>
                <c:pt idx="15" formatCode="0">
                  <c:v>185354.1176470588</c:v>
                </c:pt>
                <c:pt idx="16" formatCode="0">
                  <c:v>206074.44444444444</c:v>
                </c:pt>
                <c:pt idx="17" formatCode="0">
                  <c:v>213385.26315789472</c:v>
                </c:pt>
                <c:pt idx="18" formatCode="0">
                  <c:v>211571.57894736843</c:v>
                </c:pt>
                <c:pt idx="19" formatCode="0">
                  <c:v>220100</c:v>
                </c:pt>
              </c:numCache>
            </c:numRef>
          </c:val>
        </c:ser>
        <c:ser>
          <c:idx val="1"/>
          <c:order val="1"/>
          <c:tx>
            <c:strRef>
              <c:f>'Jan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'Jan 10'!$C$39:$V$39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'Jan 10'!$C$41:$V$41</c:f>
              <c:numCache>
                <c:formatCode>General</c:formatCode>
                <c:ptCount val="20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 formatCode="0">
                  <c:v>129900</c:v>
                </c:pt>
                <c:pt idx="4" formatCode="0">
                  <c:v>318920</c:v>
                </c:pt>
                <c:pt idx="5" formatCode="0">
                  <c:v>363770</c:v>
                </c:pt>
                <c:pt idx="6" formatCode="0">
                  <c:v>322360</c:v>
                </c:pt>
                <c:pt idx="7" formatCode="0">
                  <c:v>292690</c:v>
                </c:pt>
                <c:pt idx="8" formatCode="0">
                  <c:v>282147</c:v>
                </c:pt>
                <c:pt idx="9" formatCode="0">
                  <c:v>280612</c:v>
                </c:pt>
                <c:pt idx="10" formatCode="0">
                  <c:v>273745.45454545459</c:v>
                </c:pt>
                <c:pt idx="11" formatCode="0">
                  <c:v>267416.66666666669</c:v>
                </c:pt>
                <c:pt idx="12" formatCode="0">
                  <c:v>251461.53846153847</c:v>
                </c:pt>
                <c:pt idx="13" formatCode="0">
                  <c:v>249422.85714285713</c:v>
                </c:pt>
                <c:pt idx="14" formatCode="0">
                  <c:v>232794.66666666669</c:v>
                </c:pt>
                <c:pt idx="15" formatCode="0">
                  <c:v>222982.5</c:v>
                </c:pt>
                <c:pt idx="16" formatCode="0">
                  <c:v>222177.64705882352</c:v>
                </c:pt>
                <c:pt idx="17" formatCode="0">
                  <c:v>216745.55555555556</c:v>
                </c:pt>
                <c:pt idx="18" formatCode="0">
                  <c:v>206916.84210526317</c:v>
                </c:pt>
                <c:pt idx="19" formatCode="0">
                  <c:v>201000</c:v>
                </c:pt>
              </c:numCache>
            </c:numRef>
          </c:val>
        </c:ser>
        <c:ser>
          <c:idx val="2"/>
          <c:order val="2"/>
          <c:tx>
            <c:strRef>
              <c:f>'Jan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'Jan 10'!$C$39:$V$39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'Jan 10'!$C$42:$V$42</c:f>
              <c:numCache>
                <c:formatCode>General</c:formatCode>
                <c:ptCount val="20"/>
                <c:pt idx="0">
                  <c:v>135000</c:v>
                </c:pt>
                <c:pt idx="1">
                  <c:v>135000</c:v>
                </c:pt>
                <c:pt idx="2">
                  <c:v>135000</c:v>
                </c:pt>
                <c:pt idx="3" formatCode="0">
                  <c:v>54405</c:v>
                </c:pt>
                <c:pt idx="4" formatCode="0">
                  <c:v>106380</c:v>
                </c:pt>
                <c:pt idx="5" formatCode="0">
                  <c:v>113820</c:v>
                </c:pt>
                <c:pt idx="6" formatCode="0">
                  <c:v>97560</c:v>
                </c:pt>
                <c:pt idx="7" formatCode="0">
                  <c:v>94635</c:v>
                </c:pt>
                <c:pt idx="8" formatCode="0">
                  <c:v>86880</c:v>
                </c:pt>
                <c:pt idx="9" formatCode="0">
                  <c:v>79992</c:v>
                </c:pt>
                <c:pt idx="10" formatCode="0">
                  <c:v>75910.909090909088</c:v>
                </c:pt>
                <c:pt idx="11" formatCode="0">
                  <c:v>69585</c:v>
                </c:pt>
                <c:pt idx="12" formatCode="0">
                  <c:v>72249.230769230766</c:v>
                </c:pt>
                <c:pt idx="13" formatCode="0">
                  <c:v>70495.71428571429</c:v>
                </c:pt>
                <c:pt idx="14" formatCode="0">
                  <c:v>82338</c:v>
                </c:pt>
                <c:pt idx="15" formatCode="0">
                  <c:v>86956.875</c:v>
                </c:pt>
                <c:pt idx="16" formatCode="0">
                  <c:v>102038.82352941176</c:v>
                </c:pt>
                <c:pt idx="17" formatCode="0">
                  <c:v>96370</c:v>
                </c:pt>
                <c:pt idx="18" formatCode="0">
                  <c:v>98782.105263157893</c:v>
                </c:pt>
                <c:pt idx="19" formatCode="0">
                  <c:v>103000</c:v>
                </c:pt>
              </c:numCache>
            </c:numRef>
          </c:val>
        </c:ser>
        <c:ser>
          <c:idx val="3"/>
          <c:order val="3"/>
          <c:tx>
            <c:strRef>
              <c:f>'Jan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'Jan 10'!$C$39:$V$39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'Jan 10'!$C$43:$V$43</c:f>
              <c:numCache>
                <c:formatCode>General</c:formatCode>
                <c:ptCount val="20"/>
                <c:pt idx="0">
                  <c:v>287000</c:v>
                </c:pt>
                <c:pt idx="1">
                  <c:v>287000</c:v>
                </c:pt>
                <c:pt idx="2">
                  <c:v>287000</c:v>
                </c:pt>
                <c:pt idx="3" formatCode="0">
                  <c:v>368890</c:v>
                </c:pt>
                <c:pt idx="4" formatCode="0">
                  <c:v>367956</c:v>
                </c:pt>
                <c:pt idx="5" formatCode="0">
                  <c:v>293973</c:v>
                </c:pt>
                <c:pt idx="6" formatCode="0">
                  <c:v>262820</c:v>
                </c:pt>
                <c:pt idx="7" formatCode="0">
                  <c:v>273845</c:v>
                </c:pt>
                <c:pt idx="8" formatCode="0">
                  <c:v>280024</c:v>
                </c:pt>
                <c:pt idx="9" formatCode="0">
                  <c:v>290882</c:v>
                </c:pt>
                <c:pt idx="10" formatCode="0">
                  <c:v>290339.63636363635</c:v>
                </c:pt>
                <c:pt idx="11" formatCode="0">
                  <c:v>294366.33333333331</c:v>
                </c:pt>
                <c:pt idx="12" formatCode="0">
                  <c:v>328671.13846153842</c:v>
                </c:pt>
                <c:pt idx="13" formatCode="0">
                  <c:v>333545.54285714281</c:v>
                </c:pt>
                <c:pt idx="14" formatCode="0">
                  <c:v>337811.5733333333</c:v>
                </c:pt>
                <c:pt idx="15" formatCode="0">
                  <c:v>338063.45</c:v>
                </c:pt>
                <c:pt idx="16" formatCode="0">
                  <c:v>330934.63529411762</c:v>
                </c:pt>
                <c:pt idx="17" formatCode="0">
                  <c:v>330425.37777777773</c:v>
                </c:pt>
                <c:pt idx="18" formatCode="0">
                  <c:v>334221.64210526319</c:v>
                </c:pt>
                <c:pt idx="19" formatCode="0">
                  <c:v>310000</c:v>
                </c:pt>
              </c:numCache>
            </c:numRef>
          </c:val>
        </c:ser>
        <c:ser>
          <c:idx val="4"/>
          <c:order val="4"/>
          <c:tx>
            <c:strRef>
              <c:f>'Jan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'Jan 10'!$C$39:$V$39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'Jan 10'!$C$44:$V$44</c:f>
              <c:numCache>
                <c:formatCode>0</c:formatCode>
                <c:ptCount val="20"/>
                <c:pt idx="0">
                  <c:v>822000</c:v>
                </c:pt>
                <c:pt idx="1">
                  <c:v>822000</c:v>
                </c:pt>
                <c:pt idx="2">
                  <c:v>822000</c:v>
                </c:pt>
                <c:pt idx="3">
                  <c:v>717040</c:v>
                </c:pt>
                <c:pt idx="4">
                  <c:v>1020032</c:v>
                </c:pt>
                <c:pt idx="5">
                  <c:v>960543</c:v>
                </c:pt>
                <c:pt idx="6">
                  <c:v>883191</c:v>
                </c:pt>
                <c:pt idx="7">
                  <c:v>856300</c:v>
                </c:pt>
                <c:pt idx="8">
                  <c:v>822500</c:v>
                </c:pt>
                <c:pt idx="9">
                  <c:v>825698</c:v>
                </c:pt>
                <c:pt idx="10">
                  <c:v>798370.54545454553</c:v>
                </c:pt>
                <c:pt idx="11">
                  <c:v>810768</c:v>
                </c:pt>
                <c:pt idx="12">
                  <c:v>844080.36923076911</c:v>
                </c:pt>
                <c:pt idx="13">
                  <c:v>849914.78095238097</c:v>
                </c:pt>
                <c:pt idx="14">
                  <c:v>837116.74</c:v>
                </c:pt>
                <c:pt idx="15">
                  <c:v>833356.94264705875</c:v>
                </c:pt>
                <c:pt idx="16">
                  <c:v>861225.55032679741</c:v>
                </c:pt>
                <c:pt idx="17">
                  <c:v>856926.19649122807</c:v>
                </c:pt>
                <c:pt idx="18">
                  <c:v>851492.16842105263</c:v>
                </c:pt>
                <c:pt idx="19">
                  <c:v>834100</c:v>
                </c:pt>
              </c:numCache>
            </c:numRef>
          </c:val>
        </c:ser>
        <c:marker val="1"/>
        <c:axId val="102344192"/>
        <c:axId val="102345728"/>
      </c:lineChart>
      <c:catAx>
        <c:axId val="102344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2345728"/>
        <c:crosses val="autoZero"/>
        <c:auto val="1"/>
        <c:lblAlgn val="ctr"/>
        <c:lblOffset val="100"/>
      </c:catAx>
      <c:valAx>
        <c:axId val="1023457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23441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66787615499037"/>
          <c:y val="0.90434873901631796"/>
          <c:w val="0.34796254700137402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April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479573910057696E-2"/>
          <c:y val="0.14130449781812823"/>
          <c:w val="0.85891874180397199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'Apr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'Apr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10'!$F$40:$Y$40</c:f>
              <c:numCache>
                <c:formatCode>0</c:formatCode>
                <c:ptCount val="20"/>
                <c:pt idx="0">
                  <c:v>2223040</c:v>
                </c:pt>
                <c:pt idx="1">
                  <c:v>1190460</c:v>
                </c:pt>
                <c:pt idx="2">
                  <c:v>912480</c:v>
                </c:pt>
                <c:pt idx="3">
                  <c:v>770245</c:v>
                </c:pt>
                <c:pt idx="4">
                  <c:v>626976</c:v>
                </c:pt>
                <c:pt idx="5">
                  <c:v>632070</c:v>
                </c:pt>
                <c:pt idx="6">
                  <c:v>592177.14285714284</c:v>
                </c:pt>
                <c:pt idx="7">
                  <c:v>557332.5</c:v>
                </c:pt>
                <c:pt idx="8">
                  <c:v>504577.77777777781</c:v>
                </c:pt>
                <c:pt idx="9">
                  <c:v>454120</c:v>
                </c:pt>
                <c:pt idx="10">
                  <c:v>437645.45454545459</c:v>
                </c:pt>
                <c:pt idx="11">
                  <c:v>422323.33333333337</c:v>
                </c:pt>
                <c:pt idx="12">
                  <c:v>411316.92307692306</c:v>
                </c:pt>
                <c:pt idx="13">
                  <c:v>389235.71428571426</c:v>
                </c:pt>
                <c:pt idx="14">
                  <c:v>373692</c:v>
                </c:pt>
                <c:pt idx="15">
                  <c:v>356722.5</c:v>
                </c:pt>
                <c:pt idx="16">
                  <c:v>335738.82352941175</c:v>
                </c:pt>
                <c:pt idx="17">
                  <c:v>317086.66666666669</c:v>
                </c:pt>
                <c:pt idx="18">
                  <c:v>300397.89473684208</c:v>
                </c:pt>
                <c:pt idx="19">
                  <c:v>282593</c:v>
                </c:pt>
              </c:numCache>
            </c:numRef>
          </c:val>
        </c:ser>
        <c:ser>
          <c:idx val="1"/>
          <c:order val="1"/>
          <c:tx>
            <c:strRef>
              <c:f>'Apr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'Apr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10'!$F$41:$Y$41</c:f>
              <c:numCache>
                <c:formatCode>0</c:formatCode>
                <c:ptCount val="20"/>
                <c:pt idx="0">
                  <c:v>1017100</c:v>
                </c:pt>
                <c:pt idx="1">
                  <c:v>570500</c:v>
                </c:pt>
                <c:pt idx="2">
                  <c:v>438266.66666666663</c:v>
                </c:pt>
                <c:pt idx="3">
                  <c:v>350675</c:v>
                </c:pt>
                <c:pt idx="4">
                  <c:v>280540</c:v>
                </c:pt>
                <c:pt idx="5">
                  <c:v>251733.33333333331</c:v>
                </c:pt>
                <c:pt idx="6">
                  <c:v>229471.42857142858</c:v>
                </c:pt>
                <c:pt idx="7">
                  <c:v>218275</c:v>
                </c:pt>
                <c:pt idx="8">
                  <c:v>216655.55555555556</c:v>
                </c:pt>
                <c:pt idx="9">
                  <c:v>219070</c:v>
                </c:pt>
                <c:pt idx="10">
                  <c:v>223672.72727272729</c:v>
                </c:pt>
                <c:pt idx="11">
                  <c:v>221333.33333333331</c:v>
                </c:pt>
                <c:pt idx="12">
                  <c:v>213069.23076923078</c:v>
                </c:pt>
                <c:pt idx="13">
                  <c:v>214192.85714285713</c:v>
                </c:pt>
                <c:pt idx="14">
                  <c:v>214173.33333333331</c:v>
                </c:pt>
                <c:pt idx="15">
                  <c:v>216268.75</c:v>
                </c:pt>
                <c:pt idx="16">
                  <c:v>219411.76470588235</c:v>
                </c:pt>
                <c:pt idx="17">
                  <c:v>224594.44444444444</c:v>
                </c:pt>
                <c:pt idx="18">
                  <c:v>224280</c:v>
                </c:pt>
                <c:pt idx="19">
                  <c:v>215001</c:v>
                </c:pt>
              </c:numCache>
            </c:numRef>
          </c:val>
        </c:ser>
        <c:ser>
          <c:idx val="2"/>
          <c:order val="2"/>
          <c:tx>
            <c:strRef>
              <c:f>'Apr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'Apr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10'!$F$42:$Y$42</c:f>
              <c:numCache>
                <c:formatCode>0</c:formatCode>
                <c:ptCount val="20"/>
                <c:pt idx="0">
                  <c:v>795420</c:v>
                </c:pt>
                <c:pt idx="1">
                  <c:v>463365</c:v>
                </c:pt>
                <c:pt idx="2">
                  <c:v>362850</c:v>
                </c:pt>
                <c:pt idx="3">
                  <c:v>344070</c:v>
                </c:pt>
                <c:pt idx="4">
                  <c:v>275256</c:v>
                </c:pt>
                <c:pt idx="5">
                  <c:v>243750</c:v>
                </c:pt>
                <c:pt idx="6">
                  <c:v>259778.57142857142</c:v>
                </c:pt>
                <c:pt idx="7">
                  <c:v>242246.25</c:v>
                </c:pt>
                <c:pt idx="8">
                  <c:v>256990</c:v>
                </c:pt>
                <c:pt idx="9">
                  <c:v>249624</c:v>
                </c:pt>
                <c:pt idx="10">
                  <c:v>255870</c:v>
                </c:pt>
                <c:pt idx="11">
                  <c:v>247515</c:v>
                </c:pt>
                <c:pt idx="12">
                  <c:v>240923.07692307691</c:v>
                </c:pt>
                <c:pt idx="13">
                  <c:v>239749.71428571432</c:v>
                </c:pt>
                <c:pt idx="14">
                  <c:v>230307.60000000003</c:v>
                </c:pt>
                <c:pt idx="15">
                  <c:v>218163.375</c:v>
                </c:pt>
                <c:pt idx="16">
                  <c:v>205330.23529411765</c:v>
                </c:pt>
                <c:pt idx="17">
                  <c:v>208213.00000000003</c:v>
                </c:pt>
                <c:pt idx="18">
                  <c:v>211611.78947368421</c:v>
                </c:pt>
                <c:pt idx="19">
                  <c:v>207322.2</c:v>
                </c:pt>
              </c:numCache>
            </c:numRef>
          </c:val>
        </c:ser>
        <c:ser>
          <c:idx val="3"/>
          <c:order val="3"/>
          <c:tx>
            <c:strRef>
              <c:f>'Apr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'Apr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10'!$F$43:$Y$43</c:f>
              <c:numCache>
                <c:formatCode>0</c:formatCode>
                <c:ptCount val="20"/>
                <c:pt idx="0">
                  <c:v>2988178.3999999994</c:v>
                </c:pt>
                <c:pt idx="1">
                  <c:v>1766312.8</c:v>
                </c:pt>
                <c:pt idx="2">
                  <c:v>1373281.3333333333</c:v>
                </c:pt>
                <c:pt idx="3">
                  <c:v>1190886</c:v>
                </c:pt>
                <c:pt idx="4">
                  <c:v>952708.79999999993</c:v>
                </c:pt>
                <c:pt idx="5">
                  <c:v>793924</c:v>
                </c:pt>
                <c:pt idx="6">
                  <c:v>750759.2</c:v>
                </c:pt>
                <c:pt idx="7">
                  <c:v>700841.7</c:v>
                </c:pt>
                <c:pt idx="8">
                  <c:v>699879.11111111112</c:v>
                </c:pt>
                <c:pt idx="9">
                  <c:v>657207.84</c:v>
                </c:pt>
                <c:pt idx="10">
                  <c:v>585799.05454545445</c:v>
                </c:pt>
                <c:pt idx="11">
                  <c:v>569145.59999999998</c:v>
                </c:pt>
                <c:pt idx="12">
                  <c:v>534892.30769230763</c:v>
                </c:pt>
                <c:pt idx="13">
                  <c:v>541347.6</c:v>
                </c:pt>
                <c:pt idx="14">
                  <c:v>518019.14666666661</c:v>
                </c:pt>
                <c:pt idx="15">
                  <c:v>498760.89999999997</c:v>
                </c:pt>
                <c:pt idx="16">
                  <c:v>467400</c:v>
                </c:pt>
                <c:pt idx="17">
                  <c:v>446801.60000000003</c:v>
                </c:pt>
                <c:pt idx="18">
                  <c:v>430346.35789473681</c:v>
                </c:pt>
                <c:pt idx="19">
                  <c:v>411497.31999999995</c:v>
                </c:pt>
              </c:numCache>
            </c:numRef>
          </c:val>
        </c:ser>
        <c:ser>
          <c:idx val="4"/>
          <c:order val="4"/>
          <c:tx>
            <c:strRef>
              <c:f>'Apr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'Apr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10'!$F$44:$Y$44</c:f>
              <c:numCache>
                <c:formatCode>0</c:formatCode>
                <c:ptCount val="20"/>
                <c:pt idx="0">
                  <c:v>7023738.3999999994</c:v>
                </c:pt>
                <c:pt idx="1">
                  <c:v>3990637.8</c:v>
                </c:pt>
                <c:pt idx="2">
                  <c:v>3086878</c:v>
                </c:pt>
                <c:pt idx="3">
                  <c:v>2655876</c:v>
                </c:pt>
                <c:pt idx="4">
                  <c:v>2135480.7999999998</c:v>
                </c:pt>
                <c:pt idx="5">
                  <c:v>1921477.3333333333</c:v>
                </c:pt>
                <c:pt idx="6">
                  <c:v>1832186.3428571427</c:v>
                </c:pt>
                <c:pt idx="7">
                  <c:v>1718695.45</c:v>
                </c:pt>
                <c:pt idx="8">
                  <c:v>1678102.4444444445</c:v>
                </c:pt>
                <c:pt idx="9">
                  <c:v>1580021.8399999999</c:v>
                </c:pt>
                <c:pt idx="10">
                  <c:v>1502987.2363636363</c:v>
                </c:pt>
                <c:pt idx="11">
                  <c:v>1460317.2666666666</c:v>
                </c:pt>
                <c:pt idx="12">
                  <c:v>1400201.5384615385</c:v>
                </c:pt>
                <c:pt idx="13">
                  <c:v>1384525.8857142855</c:v>
                </c:pt>
                <c:pt idx="14">
                  <c:v>1336192.08</c:v>
                </c:pt>
                <c:pt idx="15">
                  <c:v>1289915.5249999999</c:v>
                </c:pt>
                <c:pt idx="16">
                  <c:v>1227880.8235294118</c:v>
                </c:pt>
                <c:pt idx="17">
                  <c:v>1196695.7111111111</c:v>
                </c:pt>
                <c:pt idx="18">
                  <c:v>1166636.0421052631</c:v>
                </c:pt>
                <c:pt idx="19">
                  <c:v>1116413.52</c:v>
                </c:pt>
              </c:numCache>
            </c:numRef>
          </c:val>
        </c:ser>
        <c:marker val="1"/>
        <c:axId val="110178688"/>
        <c:axId val="110180224"/>
      </c:lineChart>
      <c:catAx>
        <c:axId val="1101786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180224"/>
        <c:crosses val="autoZero"/>
        <c:auto val="1"/>
        <c:lblAlgn val="ctr"/>
        <c:lblOffset val="100"/>
      </c:catAx>
      <c:valAx>
        <c:axId val="110180224"/>
        <c:scaling>
          <c:orientation val="minMax"/>
          <c:max val="250000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17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98853432796383"/>
          <c:y val="0.90434873901631796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9"/>
          <c:w val="0.84946296025352797"/>
          <c:h val="0.79130518778148851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2012'!$F$53:$Y$53</c:f>
              <c:numCache>
                <c:formatCode>0</c:formatCode>
                <c:ptCount val="20"/>
                <c:pt idx="0">
                  <c:v>644740</c:v>
                </c:pt>
                <c:pt idx="1">
                  <c:v>439970</c:v>
                </c:pt>
                <c:pt idx="2">
                  <c:v>354446.66666666663</c:v>
                </c:pt>
                <c:pt idx="3">
                  <c:v>344480</c:v>
                </c:pt>
                <c:pt idx="4">
                  <c:v>317212</c:v>
                </c:pt>
                <c:pt idx="5">
                  <c:v>281156.66666666669</c:v>
                </c:pt>
                <c:pt idx="6">
                  <c:v>249785.71428571426</c:v>
                </c:pt>
                <c:pt idx="7">
                  <c:v>219045</c:v>
                </c:pt>
                <c:pt idx="8">
                  <c:v>223484.44444444444</c:v>
                </c:pt>
                <c:pt idx="9">
                  <c:v>213546</c:v>
                </c:pt>
                <c:pt idx="10">
                  <c:v>194132.72727272729</c:v>
                </c:pt>
                <c:pt idx="11">
                  <c:v>195930</c:v>
                </c:pt>
                <c:pt idx="12">
                  <c:v>192300</c:v>
                </c:pt>
                <c:pt idx="13">
                  <c:v>189651.42857142858</c:v>
                </c:pt>
                <c:pt idx="14">
                  <c:v>195853.33333333331</c:v>
                </c:pt>
                <c:pt idx="15">
                  <c:v>195475</c:v>
                </c:pt>
                <c:pt idx="16">
                  <c:v>198888.23529411765</c:v>
                </c:pt>
                <c:pt idx="17">
                  <c:v>192758.88888888891</c:v>
                </c:pt>
                <c:pt idx="18">
                  <c:v>199192.63157894736</c:v>
                </c:pt>
                <c:pt idx="19">
                  <c:v>198403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2012'!$F$54:$Y$54</c:f>
              <c:numCache>
                <c:formatCode>0</c:formatCode>
                <c:ptCount val="20"/>
                <c:pt idx="0">
                  <c:v>0</c:v>
                </c:pt>
                <c:pt idx="1">
                  <c:v>47950</c:v>
                </c:pt>
                <c:pt idx="2">
                  <c:v>31966.666666666664</c:v>
                </c:pt>
                <c:pt idx="3">
                  <c:v>23975</c:v>
                </c:pt>
                <c:pt idx="4">
                  <c:v>19180</c:v>
                </c:pt>
                <c:pt idx="5">
                  <c:v>22483.333333333336</c:v>
                </c:pt>
                <c:pt idx="6">
                  <c:v>44114.285714285717</c:v>
                </c:pt>
                <c:pt idx="7">
                  <c:v>56087.5</c:v>
                </c:pt>
                <c:pt idx="8">
                  <c:v>49855.555555555555</c:v>
                </c:pt>
                <c:pt idx="9">
                  <c:v>44870</c:v>
                </c:pt>
                <c:pt idx="10">
                  <c:v>40790.909090909088</c:v>
                </c:pt>
                <c:pt idx="11">
                  <c:v>37391.666666666664</c:v>
                </c:pt>
                <c:pt idx="12">
                  <c:v>36823.076923076922</c:v>
                </c:pt>
                <c:pt idx="13">
                  <c:v>38042.857142857145</c:v>
                </c:pt>
                <c:pt idx="14">
                  <c:v>35506.666666666664</c:v>
                </c:pt>
                <c:pt idx="15">
                  <c:v>33287.5</c:v>
                </c:pt>
                <c:pt idx="16">
                  <c:v>31329.411764705881</c:v>
                </c:pt>
                <c:pt idx="17">
                  <c:v>32583.333333333336</c:v>
                </c:pt>
                <c:pt idx="18">
                  <c:v>41389.473684210527</c:v>
                </c:pt>
                <c:pt idx="19">
                  <c:v>39320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2012'!$F$55:$Y$55</c:f>
              <c:numCache>
                <c:formatCode>0</c:formatCode>
                <c:ptCount val="20"/>
                <c:pt idx="0">
                  <c:v>53900</c:v>
                </c:pt>
                <c:pt idx="1">
                  <c:v>101850</c:v>
                </c:pt>
                <c:pt idx="2">
                  <c:v>146933.33333333334</c:v>
                </c:pt>
                <c:pt idx="3">
                  <c:v>140175</c:v>
                </c:pt>
                <c:pt idx="4">
                  <c:v>220760</c:v>
                </c:pt>
                <c:pt idx="5">
                  <c:v>189616.66666666669</c:v>
                </c:pt>
                <c:pt idx="6">
                  <c:v>162528.57142857142</c:v>
                </c:pt>
                <c:pt idx="7">
                  <c:v>168200</c:v>
                </c:pt>
                <c:pt idx="8">
                  <c:v>155500</c:v>
                </c:pt>
                <c:pt idx="9">
                  <c:v>139950</c:v>
                </c:pt>
                <c:pt idx="10">
                  <c:v>127227.27272727272</c:v>
                </c:pt>
                <c:pt idx="11">
                  <c:v>121116.66666666666</c:v>
                </c:pt>
                <c:pt idx="12">
                  <c:v>114546.15384615384</c:v>
                </c:pt>
                <c:pt idx="13">
                  <c:v>122642.85714285713</c:v>
                </c:pt>
                <c:pt idx="14">
                  <c:v>114466.66666666666</c:v>
                </c:pt>
                <c:pt idx="15">
                  <c:v>113181.25</c:v>
                </c:pt>
                <c:pt idx="16">
                  <c:v>109694.11764705883</c:v>
                </c:pt>
                <c:pt idx="17">
                  <c:v>103600</c:v>
                </c:pt>
                <c:pt idx="18">
                  <c:v>101305.26315789473</c:v>
                </c:pt>
                <c:pt idx="19">
                  <c:v>96240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2012'!$F$56:$Y$56</c:f>
              <c:numCache>
                <c:formatCode>0</c:formatCode>
                <c:ptCount val="20"/>
                <c:pt idx="0">
                  <c:v>923100</c:v>
                </c:pt>
                <c:pt idx="1">
                  <c:v>596450</c:v>
                </c:pt>
                <c:pt idx="2">
                  <c:v>469600</c:v>
                </c:pt>
                <c:pt idx="3">
                  <c:v>428625</c:v>
                </c:pt>
                <c:pt idx="4">
                  <c:v>362880</c:v>
                </c:pt>
                <c:pt idx="5">
                  <c:v>316716.66666666669</c:v>
                </c:pt>
                <c:pt idx="6">
                  <c:v>298728.57142857142</c:v>
                </c:pt>
                <c:pt idx="7">
                  <c:v>277012.5</c:v>
                </c:pt>
                <c:pt idx="8">
                  <c:v>264677.77777777775</c:v>
                </c:pt>
                <c:pt idx="9">
                  <c:v>273380</c:v>
                </c:pt>
                <c:pt idx="10">
                  <c:v>244890.90909090909</c:v>
                </c:pt>
                <c:pt idx="11">
                  <c:v>238933.33333333331</c:v>
                </c:pt>
                <c:pt idx="12">
                  <c:v>237461.53846153847</c:v>
                </c:pt>
                <c:pt idx="13">
                  <c:v>229000</c:v>
                </c:pt>
                <c:pt idx="14">
                  <c:v>235713.33333333331</c:v>
                </c:pt>
                <c:pt idx="15">
                  <c:v>240043.75</c:v>
                </c:pt>
                <c:pt idx="16">
                  <c:v>237882.35294117648</c:v>
                </c:pt>
                <c:pt idx="17">
                  <c:v>221333.33333333331</c:v>
                </c:pt>
                <c:pt idx="18">
                  <c:v>232300</c:v>
                </c:pt>
                <c:pt idx="19">
                  <c:v>228075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2012'!$F$57:$Y$57</c:f>
              <c:numCache>
                <c:formatCode>0</c:formatCode>
                <c:ptCount val="20"/>
                <c:pt idx="0">
                  <c:v>502500</c:v>
                </c:pt>
                <c:pt idx="1">
                  <c:v>298750</c:v>
                </c:pt>
                <c:pt idx="2">
                  <c:v>249100</c:v>
                </c:pt>
                <c:pt idx="3">
                  <c:v>186825</c:v>
                </c:pt>
                <c:pt idx="4">
                  <c:v>161440</c:v>
                </c:pt>
                <c:pt idx="5">
                  <c:v>166166.66666666669</c:v>
                </c:pt>
                <c:pt idx="6">
                  <c:v>154571.42857142858</c:v>
                </c:pt>
                <c:pt idx="7">
                  <c:v>175212.5</c:v>
                </c:pt>
                <c:pt idx="8">
                  <c:v>155744.44444444444</c:v>
                </c:pt>
                <c:pt idx="9">
                  <c:v>162150</c:v>
                </c:pt>
                <c:pt idx="10">
                  <c:v>147409.09090909091</c:v>
                </c:pt>
                <c:pt idx="11">
                  <c:v>135125</c:v>
                </c:pt>
                <c:pt idx="12">
                  <c:v>128961.53846153845</c:v>
                </c:pt>
                <c:pt idx="13">
                  <c:v>142942.85714285713</c:v>
                </c:pt>
                <c:pt idx="14">
                  <c:v>137406.66666666666</c:v>
                </c:pt>
                <c:pt idx="15">
                  <c:v>143868.75</c:v>
                </c:pt>
                <c:pt idx="16">
                  <c:v>148105.88235294117</c:v>
                </c:pt>
                <c:pt idx="17">
                  <c:v>149311.11111111112</c:v>
                </c:pt>
                <c:pt idx="18">
                  <c:v>153021.05263157896</c:v>
                </c:pt>
                <c:pt idx="19">
                  <c:v>150865</c:v>
                </c:pt>
              </c:numCache>
            </c:numRef>
          </c:val>
        </c:ser>
        <c:ser>
          <c:idx val="5"/>
          <c:order val="5"/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2012'!$F$58:$Y$58</c:f>
              <c:numCache>
                <c:formatCode>0</c:formatCode>
                <c:ptCount val="20"/>
                <c:pt idx="0">
                  <c:v>0</c:v>
                </c:pt>
                <c:pt idx="1">
                  <c:v>24270</c:v>
                </c:pt>
                <c:pt idx="2">
                  <c:v>16180</c:v>
                </c:pt>
                <c:pt idx="3">
                  <c:v>12135</c:v>
                </c:pt>
                <c:pt idx="4">
                  <c:v>0</c:v>
                </c:pt>
                <c:pt idx="5">
                  <c:v>21873.333333333336</c:v>
                </c:pt>
                <c:pt idx="6">
                  <c:v>6934.2857142857147</c:v>
                </c:pt>
                <c:pt idx="7">
                  <c:v>16405</c:v>
                </c:pt>
                <c:pt idx="8">
                  <c:v>14582.222222222223</c:v>
                </c:pt>
                <c:pt idx="9">
                  <c:v>13124</c:v>
                </c:pt>
                <c:pt idx="10">
                  <c:v>11930.90909090909</c:v>
                </c:pt>
                <c:pt idx="11">
                  <c:v>10936.666666666668</c:v>
                </c:pt>
                <c:pt idx="12">
                  <c:v>10095.384615384615</c:v>
                </c:pt>
                <c:pt idx="13">
                  <c:v>9374.2857142857138</c:v>
                </c:pt>
                <c:pt idx="14">
                  <c:v>8749.3333333333321</c:v>
                </c:pt>
                <c:pt idx="15">
                  <c:v>8202.5</c:v>
                </c:pt>
                <c:pt idx="16">
                  <c:v>7720</c:v>
                </c:pt>
                <c:pt idx="17">
                  <c:v>17285.555555555555</c:v>
                </c:pt>
                <c:pt idx="18">
                  <c:v>16375.78947368421</c:v>
                </c:pt>
                <c:pt idx="19">
                  <c:v>15557</c:v>
                </c:pt>
              </c:numCache>
            </c:numRef>
          </c:val>
        </c:ser>
        <c:ser>
          <c:idx val="6"/>
          <c:order val="6"/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Oct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2012'!$F$59:$Y$59</c:f>
              <c:numCache>
                <c:formatCode>0</c:formatCode>
                <c:ptCount val="20"/>
                <c:pt idx="0">
                  <c:v>772860</c:v>
                </c:pt>
                <c:pt idx="1">
                  <c:v>393170</c:v>
                </c:pt>
                <c:pt idx="2">
                  <c:v>390666.66666666663</c:v>
                </c:pt>
                <c:pt idx="3">
                  <c:v>370040</c:v>
                </c:pt>
                <c:pt idx="4">
                  <c:v>399012</c:v>
                </c:pt>
                <c:pt idx="5">
                  <c:v>381946.66666666663</c:v>
                </c:pt>
                <c:pt idx="6">
                  <c:v>380082.85714285716</c:v>
                </c:pt>
                <c:pt idx="7">
                  <c:v>356687.5</c:v>
                </c:pt>
                <c:pt idx="8">
                  <c:v>338128.88888888888</c:v>
                </c:pt>
                <c:pt idx="9">
                  <c:v>321486</c:v>
                </c:pt>
                <c:pt idx="10">
                  <c:v>360636.36363636359</c:v>
                </c:pt>
                <c:pt idx="11">
                  <c:v>358685</c:v>
                </c:pt>
                <c:pt idx="12">
                  <c:v>372978.46153846156</c:v>
                </c:pt>
                <c:pt idx="13">
                  <c:v>370662.85714285716</c:v>
                </c:pt>
                <c:pt idx="14">
                  <c:v>370113.33333333337</c:v>
                </c:pt>
                <c:pt idx="15">
                  <c:v>364323.75</c:v>
                </c:pt>
                <c:pt idx="16">
                  <c:v>358560</c:v>
                </c:pt>
                <c:pt idx="17">
                  <c:v>349576.66666666663</c:v>
                </c:pt>
                <c:pt idx="18">
                  <c:v>346344.21052631579</c:v>
                </c:pt>
                <c:pt idx="19">
                  <c:v>345676</c:v>
                </c:pt>
              </c:numCache>
            </c:numRef>
          </c:val>
        </c:ser>
        <c:marker val="1"/>
        <c:axId val="141857920"/>
        <c:axId val="141859456"/>
      </c:lineChart>
      <c:catAx>
        <c:axId val="141857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859456"/>
        <c:crosses val="autoZero"/>
        <c:auto val="1"/>
        <c:lblAlgn val="ctr"/>
        <c:lblOffset val="100"/>
      </c:catAx>
      <c:valAx>
        <c:axId val="14185945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857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4834180454643507E-2"/>
          <c:y val="7.0139107611548596E-2"/>
          <c:w val="0.88659089365600163"/>
          <c:h val="0.800001627607495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2012'!$F$37:$Y$37</c:f>
              <c:numCache>
                <c:formatCode>General</c:formatCode>
                <c:ptCount val="20"/>
                <c:pt idx="0">
                  <c:v>144855</c:v>
                </c:pt>
                <c:pt idx="1">
                  <c:v>190241</c:v>
                </c:pt>
                <c:pt idx="2">
                  <c:v>248834</c:v>
                </c:pt>
                <c:pt idx="3">
                  <c:v>301251</c:v>
                </c:pt>
                <c:pt idx="4">
                  <c:v>370121</c:v>
                </c:pt>
                <c:pt idx="5">
                  <c:v>413988</c:v>
                </c:pt>
                <c:pt idx="6">
                  <c:v>453861</c:v>
                </c:pt>
                <c:pt idx="7">
                  <c:v>507460</c:v>
                </c:pt>
                <c:pt idx="8">
                  <c:v>540888</c:v>
                </c:pt>
                <c:pt idx="9">
                  <c:v>584253</c:v>
                </c:pt>
                <c:pt idx="10">
                  <c:v>619860</c:v>
                </c:pt>
                <c:pt idx="11">
                  <c:v>658871</c:v>
                </c:pt>
                <c:pt idx="12">
                  <c:v>710558</c:v>
                </c:pt>
                <c:pt idx="13">
                  <c:v>771622</c:v>
                </c:pt>
                <c:pt idx="14">
                  <c:v>823357</c:v>
                </c:pt>
                <c:pt idx="15">
                  <c:v>878706</c:v>
                </c:pt>
                <c:pt idx="16">
                  <c:v>928353</c:v>
                </c:pt>
                <c:pt idx="17">
                  <c:v>959804</c:v>
                </c:pt>
                <c:pt idx="18">
                  <c:v>1035432</c:v>
                </c:pt>
                <c:pt idx="19">
                  <c:v>1074136</c:v>
                </c:pt>
              </c:numCache>
            </c:numRef>
          </c:val>
        </c:ser>
        <c:ser>
          <c:idx val="0"/>
          <c:order val="1"/>
          <c:tx>
            <c:strRef>
              <c:f>'Month - Oct 2012'!$C$61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Oct 2012'!$F$63:$Y$63</c:f>
              <c:numCache>
                <c:formatCode>0</c:formatCode>
                <c:ptCount val="20"/>
                <c:pt idx="0">
                  <c:v>84660</c:v>
                </c:pt>
                <c:pt idx="1">
                  <c:v>169320</c:v>
                </c:pt>
                <c:pt idx="2">
                  <c:v>253980</c:v>
                </c:pt>
                <c:pt idx="3">
                  <c:v>338640</c:v>
                </c:pt>
                <c:pt idx="4">
                  <c:v>423300</c:v>
                </c:pt>
                <c:pt idx="5">
                  <c:v>507960</c:v>
                </c:pt>
                <c:pt idx="6">
                  <c:v>592620</c:v>
                </c:pt>
                <c:pt idx="7">
                  <c:v>677280</c:v>
                </c:pt>
                <c:pt idx="8">
                  <c:v>761940</c:v>
                </c:pt>
                <c:pt idx="9">
                  <c:v>846600</c:v>
                </c:pt>
                <c:pt idx="10">
                  <c:v>931260</c:v>
                </c:pt>
                <c:pt idx="11">
                  <c:v>1015920</c:v>
                </c:pt>
                <c:pt idx="12">
                  <c:v>1100580</c:v>
                </c:pt>
                <c:pt idx="13">
                  <c:v>1185240</c:v>
                </c:pt>
                <c:pt idx="14">
                  <c:v>1269900</c:v>
                </c:pt>
                <c:pt idx="15">
                  <c:v>1354560</c:v>
                </c:pt>
                <c:pt idx="16">
                  <c:v>1439220</c:v>
                </c:pt>
                <c:pt idx="17">
                  <c:v>1523880</c:v>
                </c:pt>
                <c:pt idx="18">
                  <c:v>1608540</c:v>
                </c:pt>
                <c:pt idx="19">
                  <c:v>1693200</c:v>
                </c:pt>
              </c:numCache>
            </c:numRef>
          </c:val>
        </c:ser>
        <c:marker val="1"/>
        <c:axId val="141872128"/>
        <c:axId val="141898496"/>
      </c:lineChart>
      <c:catAx>
        <c:axId val="141872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898496"/>
        <c:crosses val="autoZero"/>
        <c:auto val="1"/>
        <c:lblAlgn val="ctr"/>
        <c:lblOffset val="100"/>
      </c:catAx>
      <c:valAx>
        <c:axId val="1418984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872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54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84"/>
          <c:w val="0.872857142857143"/>
          <c:h val="0.79355005365856213"/>
        </c:manualLayout>
      </c:layout>
      <c:lineChart>
        <c:grouping val="standard"/>
        <c:ser>
          <c:idx val="0"/>
          <c:order val="0"/>
          <c:tx>
            <c:strRef>
              <c:f>'Month - Oct 2012'!$B$42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2012'!$F$42:$Y$42</c:f>
              <c:numCache>
                <c:formatCode>0.0%</c:formatCode>
                <c:ptCount val="20"/>
                <c:pt idx="0">
                  <c:v>1.7909444444444444</c:v>
                </c:pt>
                <c:pt idx="1">
                  <c:v>1.2221388888888889</c:v>
                </c:pt>
                <c:pt idx="2">
                  <c:v>0.98457407407407393</c:v>
                </c:pt>
                <c:pt idx="3">
                  <c:v>0.9568888888888889</c:v>
                </c:pt>
                <c:pt idx="4">
                  <c:v>0.8811444444444444</c:v>
                </c:pt>
                <c:pt idx="5">
                  <c:v>0.78099074074074082</c:v>
                </c:pt>
                <c:pt idx="6">
                  <c:v>0.69384920634920633</c:v>
                </c:pt>
                <c:pt idx="7">
                  <c:v>0.60845833333333332</c:v>
                </c:pt>
                <c:pt idx="8">
                  <c:v>0.62079012345679008</c:v>
                </c:pt>
                <c:pt idx="9">
                  <c:v>0.59318333333333328</c:v>
                </c:pt>
                <c:pt idx="10">
                  <c:v>0.53925757575757582</c:v>
                </c:pt>
                <c:pt idx="11">
                  <c:v>0.54425000000000001</c:v>
                </c:pt>
                <c:pt idx="12">
                  <c:v>0.53416666666666668</c:v>
                </c:pt>
                <c:pt idx="13">
                  <c:v>0.52680952380952384</c:v>
                </c:pt>
                <c:pt idx="14">
                  <c:v>0.54403703703703699</c:v>
                </c:pt>
                <c:pt idx="15">
                  <c:v>0.54298611111111106</c:v>
                </c:pt>
                <c:pt idx="16">
                  <c:v>0.55246732026143797</c:v>
                </c:pt>
                <c:pt idx="17">
                  <c:v>0.53544135802469139</c:v>
                </c:pt>
                <c:pt idx="18">
                  <c:v>0.55331286549707603</c:v>
                </c:pt>
                <c:pt idx="19">
                  <c:v>0.5511194444444445</c:v>
                </c:pt>
              </c:numCache>
            </c:numRef>
          </c:val>
        </c:ser>
        <c:ser>
          <c:idx val="6"/>
          <c:order val="1"/>
          <c:tx>
            <c:strRef>
              <c:f>'Month - Oct 2012'!$B$43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2012'!$F$43:$Y$43</c:f>
              <c:numCache>
                <c:formatCode>0.0%</c:formatCode>
                <c:ptCount val="20"/>
                <c:pt idx="0">
                  <c:v>0</c:v>
                </c:pt>
                <c:pt idx="1">
                  <c:v>0.2663888888888889</c:v>
                </c:pt>
                <c:pt idx="2">
                  <c:v>0.17759259259259258</c:v>
                </c:pt>
                <c:pt idx="3">
                  <c:v>0.13319444444444445</c:v>
                </c:pt>
                <c:pt idx="4">
                  <c:v>0.10655555555555556</c:v>
                </c:pt>
                <c:pt idx="5">
                  <c:v>0.12490740740740743</c:v>
                </c:pt>
                <c:pt idx="6">
                  <c:v>0.24507936507936509</c:v>
                </c:pt>
                <c:pt idx="7">
                  <c:v>0.31159722222222225</c:v>
                </c:pt>
                <c:pt idx="8">
                  <c:v>0.27697530864197528</c:v>
                </c:pt>
                <c:pt idx="9">
                  <c:v>0.24927777777777776</c:v>
                </c:pt>
                <c:pt idx="10">
                  <c:v>0.2266161616161616</c:v>
                </c:pt>
                <c:pt idx="11">
                  <c:v>0.20773148148148146</c:v>
                </c:pt>
                <c:pt idx="12">
                  <c:v>0.20457264957264956</c:v>
                </c:pt>
                <c:pt idx="13">
                  <c:v>0.21134920634920637</c:v>
                </c:pt>
                <c:pt idx="14">
                  <c:v>0.19725925925925925</c:v>
                </c:pt>
                <c:pt idx="15">
                  <c:v>0.18493055555555554</c:v>
                </c:pt>
                <c:pt idx="16">
                  <c:v>0.17405228758169933</c:v>
                </c:pt>
                <c:pt idx="17">
                  <c:v>0.18101851851851852</c:v>
                </c:pt>
                <c:pt idx="18">
                  <c:v>0.22994152046783625</c:v>
                </c:pt>
                <c:pt idx="19">
                  <c:v>0.21844444444444444</c:v>
                </c:pt>
              </c:numCache>
            </c:numRef>
          </c:val>
        </c:ser>
        <c:ser>
          <c:idx val="1"/>
          <c:order val="2"/>
          <c:tx>
            <c:strRef>
              <c:f>'Month - Oct 2012'!$B$44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2012'!$F$44:$Y$44</c:f>
              <c:numCache>
                <c:formatCode>0.0%</c:formatCode>
                <c:ptCount val="20"/>
                <c:pt idx="0">
                  <c:v>0.29944444444444446</c:v>
                </c:pt>
                <c:pt idx="1">
                  <c:v>0.5658333333333333</c:v>
                </c:pt>
                <c:pt idx="2">
                  <c:v>0.8162962962962963</c:v>
                </c:pt>
                <c:pt idx="3">
                  <c:v>0.77875000000000005</c:v>
                </c:pt>
                <c:pt idx="4">
                  <c:v>1.2264444444444444</c:v>
                </c:pt>
                <c:pt idx="5">
                  <c:v>1.053425925925926</c:v>
                </c:pt>
                <c:pt idx="6">
                  <c:v>0.90293650793650793</c:v>
                </c:pt>
                <c:pt idx="7">
                  <c:v>0.93444444444444441</c:v>
                </c:pt>
                <c:pt idx="8">
                  <c:v>0.86388888888888893</c:v>
                </c:pt>
                <c:pt idx="9">
                  <c:v>0.77749999999999997</c:v>
                </c:pt>
                <c:pt idx="10">
                  <c:v>0.70681818181818179</c:v>
                </c:pt>
                <c:pt idx="11">
                  <c:v>0.67287037037037034</c:v>
                </c:pt>
                <c:pt idx="12">
                  <c:v>0.63636752136752139</c:v>
                </c:pt>
                <c:pt idx="13">
                  <c:v>0.68134920634920626</c:v>
                </c:pt>
                <c:pt idx="14">
                  <c:v>0.63592592592592589</c:v>
                </c:pt>
                <c:pt idx="15">
                  <c:v>0.62878472222222226</c:v>
                </c:pt>
                <c:pt idx="16">
                  <c:v>0.60941176470588232</c:v>
                </c:pt>
                <c:pt idx="17">
                  <c:v>0.5755555555555556</c:v>
                </c:pt>
                <c:pt idx="18">
                  <c:v>0.56280701754385964</c:v>
                </c:pt>
                <c:pt idx="19">
                  <c:v>0.53466666666666662</c:v>
                </c:pt>
              </c:numCache>
            </c:numRef>
          </c:val>
        </c:ser>
        <c:ser>
          <c:idx val="7"/>
          <c:order val="3"/>
          <c:tx>
            <c:strRef>
              <c:f>'Month - Oct 2012'!$B$45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2012'!$F$45:$Y$45</c:f>
              <c:numCache>
                <c:formatCode>0.0%</c:formatCode>
                <c:ptCount val="20"/>
                <c:pt idx="0">
                  <c:v>2.8403076923076922</c:v>
                </c:pt>
                <c:pt idx="1">
                  <c:v>1.8352307692307692</c:v>
                </c:pt>
                <c:pt idx="2">
                  <c:v>1.444923076923077</c:v>
                </c:pt>
                <c:pt idx="3">
                  <c:v>1.3188461538461538</c:v>
                </c:pt>
                <c:pt idx="4">
                  <c:v>1.1165538461538462</c:v>
                </c:pt>
                <c:pt idx="5">
                  <c:v>0.97451282051282062</c:v>
                </c:pt>
                <c:pt idx="6">
                  <c:v>0.91916483516483516</c:v>
                </c:pt>
                <c:pt idx="7">
                  <c:v>0.85234615384615386</c:v>
                </c:pt>
                <c:pt idx="8">
                  <c:v>0.81439316239316228</c:v>
                </c:pt>
                <c:pt idx="9">
                  <c:v>0.84116923076923078</c:v>
                </c:pt>
                <c:pt idx="10">
                  <c:v>0.75351048951048949</c:v>
                </c:pt>
                <c:pt idx="11">
                  <c:v>0.73517948717948711</c:v>
                </c:pt>
                <c:pt idx="12">
                  <c:v>0.73065088757396457</c:v>
                </c:pt>
                <c:pt idx="13">
                  <c:v>0.70461538461538464</c:v>
                </c:pt>
                <c:pt idx="14">
                  <c:v>0.72527179487179483</c:v>
                </c:pt>
                <c:pt idx="15">
                  <c:v>0.73859615384615385</c:v>
                </c:pt>
                <c:pt idx="16">
                  <c:v>0.73194570135746606</c:v>
                </c:pt>
                <c:pt idx="17">
                  <c:v>0.681025641025641</c:v>
                </c:pt>
                <c:pt idx="18">
                  <c:v>0.71476923076923082</c:v>
                </c:pt>
                <c:pt idx="19">
                  <c:v>0.70176923076923081</c:v>
                </c:pt>
              </c:numCache>
            </c:numRef>
          </c:val>
        </c:ser>
        <c:ser>
          <c:idx val="2"/>
          <c:order val="4"/>
          <c:tx>
            <c:strRef>
              <c:f>'Month - Oct 2012'!$B$46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2012'!$F$46:$Y$46</c:f>
              <c:numCache>
                <c:formatCode>0.0%</c:formatCode>
                <c:ptCount val="20"/>
                <c:pt idx="0">
                  <c:v>2.6171875</c:v>
                </c:pt>
                <c:pt idx="1">
                  <c:v>1.5559895833333333</c:v>
                </c:pt>
                <c:pt idx="2">
                  <c:v>1.2973958333333333</c:v>
                </c:pt>
                <c:pt idx="3">
                  <c:v>0.97304687499999998</c:v>
                </c:pt>
                <c:pt idx="4">
                  <c:v>0.84083333333333332</c:v>
                </c:pt>
                <c:pt idx="5">
                  <c:v>0.86545138888888895</c:v>
                </c:pt>
                <c:pt idx="6">
                  <c:v>0.80505952380952384</c:v>
                </c:pt>
                <c:pt idx="7">
                  <c:v>0.9125651041666667</c:v>
                </c:pt>
                <c:pt idx="8">
                  <c:v>0.81116898148148142</c:v>
                </c:pt>
                <c:pt idx="9">
                  <c:v>0.84453124999999996</c:v>
                </c:pt>
                <c:pt idx="10">
                  <c:v>0.76775568181818188</c:v>
                </c:pt>
                <c:pt idx="11">
                  <c:v>0.70377604166666663</c:v>
                </c:pt>
                <c:pt idx="12">
                  <c:v>0.6716746794871794</c:v>
                </c:pt>
                <c:pt idx="13">
                  <c:v>0.74449404761904758</c:v>
                </c:pt>
                <c:pt idx="14">
                  <c:v>0.71565972222222218</c:v>
                </c:pt>
                <c:pt idx="15">
                  <c:v>0.74931640624999996</c:v>
                </c:pt>
                <c:pt idx="16">
                  <c:v>0.77138480392156861</c:v>
                </c:pt>
                <c:pt idx="17">
                  <c:v>0.77766203703703707</c:v>
                </c:pt>
                <c:pt idx="18">
                  <c:v>0.79698464912280709</c:v>
                </c:pt>
                <c:pt idx="19">
                  <c:v>0.78575520833333334</c:v>
                </c:pt>
              </c:numCache>
            </c:numRef>
          </c:val>
        </c:ser>
        <c:ser>
          <c:idx val="5"/>
          <c:order val="5"/>
          <c:tx>
            <c:strRef>
              <c:f>'Month - Oct 2012'!$B$47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2012'!$F$47:$Y$47</c:f>
              <c:numCache>
                <c:formatCode>0.0%</c:formatCode>
                <c:ptCount val="20"/>
                <c:pt idx="0">
                  <c:v>0</c:v>
                </c:pt>
                <c:pt idx="1">
                  <c:v>0.12640625</c:v>
                </c:pt>
                <c:pt idx="2">
                  <c:v>8.4270833333333336E-2</c:v>
                </c:pt>
                <c:pt idx="3">
                  <c:v>6.3203124999999999E-2</c:v>
                </c:pt>
                <c:pt idx="4">
                  <c:v>0</c:v>
                </c:pt>
                <c:pt idx="5">
                  <c:v>0.11392361111111113</c:v>
                </c:pt>
                <c:pt idx="6">
                  <c:v>3.6116071428571428E-2</c:v>
                </c:pt>
                <c:pt idx="7">
                  <c:v>8.5442708333333339E-2</c:v>
                </c:pt>
                <c:pt idx="8">
                  <c:v>7.5949074074074072E-2</c:v>
                </c:pt>
                <c:pt idx="9">
                  <c:v>6.835416666666666E-2</c:v>
                </c:pt>
                <c:pt idx="10">
                  <c:v>6.2140151515151509E-2</c:v>
                </c:pt>
                <c:pt idx="11">
                  <c:v>5.6961805555555564E-2</c:v>
                </c:pt>
                <c:pt idx="12">
                  <c:v>5.2580128205128203E-2</c:v>
                </c:pt>
                <c:pt idx="13">
                  <c:v>4.8824404761904756E-2</c:v>
                </c:pt>
                <c:pt idx="14">
                  <c:v>4.556944444444444E-2</c:v>
                </c:pt>
                <c:pt idx="15">
                  <c:v>4.272135416666667E-2</c:v>
                </c:pt>
                <c:pt idx="16">
                  <c:v>4.0208333333333332E-2</c:v>
                </c:pt>
                <c:pt idx="17">
                  <c:v>9.0028935185185177E-2</c:v>
                </c:pt>
                <c:pt idx="18">
                  <c:v>8.529057017543859E-2</c:v>
                </c:pt>
                <c:pt idx="19">
                  <c:v>8.1026041666666673E-2</c:v>
                </c:pt>
              </c:numCache>
            </c:numRef>
          </c:val>
        </c:ser>
        <c:ser>
          <c:idx val="3"/>
          <c:order val="6"/>
          <c:tx>
            <c:strRef>
              <c:f>'Month - Oct 2012'!$B$48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2012'!$F$48:$Y$48</c:f>
              <c:numCache>
                <c:formatCode>0.0%</c:formatCode>
                <c:ptCount val="20"/>
                <c:pt idx="0">
                  <c:v>2.298810232004759</c:v>
                </c:pt>
                <c:pt idx="1">
                  <c:v>1.1694527067221892</c:v>
                </c:pt>
                <c:pt idx="2">
                  <c:v>1.1620067420186395</c:v>
                </c:pt>
                <c:pt idx="3">
                  <c:v>1.1006543723973825</c:v>
                </c:pt>
                <c:pt idx="4">
                  <c:v>1.1868292682926829</c:v>
                </c:pt>
                <c:pt idx="5">
                  <c:v>1.1360697997223874</c:v>
                </c:pt>
                <c:pt idx="6">
                  <c:v>1.130526047420753</c:v>
                </c:pt>
                <c:pt idx="7">
                  <c:v>1.0609384295062463</c:v>
                </c:pt>
                <c:pt idx="8">
                  <c:v>1.0057373256659397</c:v>
                </c:pt>
                <c:pt idx="9">
                  <c:v>0.95623438429506247</c:v>
                </c:pt>
                <c:pt idx="10">
                  <c:v>1.0726840084365366</c:v>
                </c:pt>
                <c:pt idx="11">
                  <c:v>1.0668798334324807</c:v>
                </c:pt>
                <c:pt idx="12">
                  <c:v>1.1093945911316525</c:v>
                </c:pt>
                <c:pt idx="13">
                  <c:v>1.1025070111328292</c:v>
                </c:pt>
                <c:pt idx="14">
                  <c:v>1.1008724965298435</c:v>
                </c:pt>
                <c:pt idx="15">
                  <c:v>1.0836518441403926</c:v>
                </c:pt>
                <c:pt idx="16">
                  <c:v>1.0665080309339678</c:v>
                </c:pt>
                <c:pt idx="17">
                  <c:v>1.0397878247075152</c:v>
                </c:pt>
                <c:pt idx="18">
                  <c:v>1.0301731425529916</c:v>
                </c:pt>
                <c:pt idx="19">
                  <c:v>1.0281856038072577</c:v>
                </c:pt>
              </c:numCache>
            </c:numRef>
          </c:val>
        </c:ser>
        <c:ser>
          <c:idx val="4"/>
          <c:order val="7"/>
          <c:tx>
            <c:strRef>
              <c:f>'Month - Oct 2012'!$B$49</c:f>
              <c:strCache>
                <c:ptCount val="1"/>
                <c:pt idx="0">
                  <c:v>Group</c:v>
                </c:pt>
              </c:strCache>
            </c:strRef>
          </c:tx>
          <c:marker>
            <c:symbol val="none"/>
          </c:marker>
          <c:cat>
            <c:strRef>
              <c:f>'Month - Oct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2012'!$F$49:$Y$49</c:f>
              <c:numCache>
                <c:formatCode>0.0%</c:formatCode>
                <c:ptCount val="20"/>
                <c:pt idx="0">
                  <c:v>1.7110205527994331</c:v>
                </c:pt>
                <c:pt idx="1">
                  <c:v>1.1235589416489487</c:v>
                </c:pt>
                <c:pt idx="2">
                  <c:v>0.97973856209150312</c:v>
                </c:pt>
                <c:pt idx="3">
                  <c:v>0.88959071580439408</c:v>
                </c:pt>
                <c:pt idx="4">
                  <c:v>0.87437042286794231</c:v>
                </c:pt>
                <c:pt idx="5">
                  <c:v>0.81500118119536968</c:v>
                </c:pt>
                <c:pt idx="6">
                  <c:v>0.76585501670547729</c:v>
                </c:pt>
                <c:pt idx="7">
                  <c:v>0.7492617528939286</c:v>
                </c:pt>
                <c:pt idx="8">
                  <c:v>0.70988266792660848</c:v>
                </c:pt>
                <c:pt idx="9">
                  <c:v>0.6901169383416017</c:v>
                </c:pt>
                <c:pt idx="10">
                  <c:v>0.66561432897364869</c:v>
                </c:pt>
                <c:pt idx="11">
                  <c:v>0.64854614536577682</c:v>
                </c:pt>
                <c:pt idx="12">
                  <c:v>0.64562139962565201</c:v>
                </c:pt>
                <c:pt idx="13">
                  <c:v>0.65102595254969453</c:v>
                </c:pt>
                <c:pt idx="14">
                  <c:v>0.64836365068115609</c:v>
                </c:pt>
                <c:pt idx="15">
                  <c:v>0.64870216158752658</c:v>
                </c:pt>
                <c:pt idx="16">
                  <c:v>0.64503897944720057</c:v>
                </c:pt>
                <c:pt idx="17">
                  <c:v>0.62984224479617812</c:v>
                </c:pt>
                <c:pt idx="18">
                  <c:v>0.64370920213361182</c:v>
                </c:pt>
                <c:pt idx="19">
                  <c:v>0.63438223482163947</c:v>
                </c:pt>
              </c:numCache>
            </c:numRef>
          </c:val>
        </c:ser>
        <c:marker val="1"/>
        <c:axId val="142034816"/>
        <c:axId val="142036352"/>
      </c:lineChart>
      <c:catAx>
        <c:axId val="1420348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036352"/>
        <c:crosses val="autoZero"/>
        <c:auto val="1"/>
        <c:lblAlgn val="ctr"/>
        <c:lblOffset val="100"/>
      </c:catAx>
      <c:valAx>
        <c:axId val="14203635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03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7.6680303186141816E-2"/>
          <c:h val="9.462184968814579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37"/>
          <c:w val="0.84946296025352797"/>
          <c:h val="0.79130518778148851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2012'!$F$53:$Y$53</c:f>
              <c:numCache>
                <c:formatCode>0</c:formatCode>
                <c:ptCount val="20"/>
                <c:pt idx="0">
                  <c:v>146700</c:v>
                </c:pt>
                <c:pt idx="1">
                  <c:v>213650</c:v>
                </c:pt>
                <c:pt idx="2">
                  <c:v>203533.33333333331</c:v>
                </c:pt>
                <c:pt idx="3">
                  <c:v>233825</c:v>
                </c:pt>
                <c:pt idx="4">
                  <c:v>278980</c:v>
                </c:pt>
                <c:pt idx="5">
                  <c:v>253433.33333333331</c:v>
                </c:pt>
                <c:pt idx="6">
                  <c:v>245542.85714285713</c:v>
                </c:pt>
                <c:pt idx="7">
                  <c:v>257612.5</c:v>
                </c:pt>
                <c:pt idx="8">
                  <c:v>309211.11111111112</c:v>
                </c:pt>
                <c:pt idx="9">
                  <c:v>278290</c:v>
                </c:pt>
                <c:pt idx="10">
                  <c:v>297136.36363636365</c:v>
                </c:pt>
                <c:pt idx="11">
                  <c:v>286123.33333333331</c:v>
                </c:pt>
                <c:pt idx="12">
                  <c:v>284021.5384615385</c:v>
                </c:pt>
                <c:pt idx="13">
                  <c:v>291248.57142857142</c:v>
                </c:pt>
                <c:pt idx="14">
                  <c:v>322605.33333333331</c:v>
                </c:pt>
                <c:pt idx="15">
                  <c:v>340330</c:v>
                </c:pt>
                <c:pt idx="16">
                  <c:v>335534.1176470588</c:v>
                </c:pt>
                <c:pt idx="17">
                  <c:v>334271.11111111112</c:v>
                </c:pt>
                <c:pt idx="18">
                  <c:v>351832.63157894742</c:v>
                </c:pt>
                <c:pt idx="19">
                  <c:v>334241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2012'!$F$54:$Y$54</c:f>
              <c:numCache>
                <c:formatCode>0</c:formatCode>
                <c:ptCount val="20"/>
                <c:pt idx="0">
                  <c:v>0</c:v>
                </c:pt>
                <c:pt idx="1">
                  <c:v>22900</c:v>
                </c:pt>
                <c:pt idx="2">
                  <c:v>15266.666666666668</c:v>
                </c:pt>
                <c:pt idx="3">
                  <c:v>11450</c:v>
                </c:pt>
                <c:pt idx="4">
                  <c:v>9160</c:v>
                </c:pt>
                <c:pt idx="5">
                  <c:v>7633.3333333333339</c:v>
                </c:pt>
                <c:pt idx="6">
                  <c:v>6542.8571428571431</c:v>
                </c:pt>
                <c:pt idx="7">
                  <c:v>5725</c:v>
                </c:pt>
                <c:pt idx="8">
                  <c:v>5088.8888888888887</c:v>
                </c:pt>
                <c:pt idx="9">
                  <c:v>4580</c:v>
                </c:pt>
                <c:pt idx="10">
                  <c:v>9063.636363636364</c:v>
                </c:pt>
                <c:pt idx="11">
                  <c:v>12800</c:v>
                </c:pt>
                <c:pt idx="12">
                  <c:v>11815.384615384613</c:v>
                </c:pt>
                <c:pt idx="13">
                  <c:v>10971.428571428571</c:v>
                </c:pt>
                <c:pt idx="14">
                  <c:v>10240</c:v>
                </c:pt>
                <c:pt idx="15">
                  <c:v>12462.5</c:v>
                </c:pt>
                <c:pt idx="16">
                  <c:v>11729.411764705883</c:v>
                </c:pt>
                <c:pt idx="17">
                  <c:v>11077.777777777777</c:v>
                </c:pt>
                <c:pt idx="18">
                  <c:v>10494.736842105263</c:v>
                </c:pt>
                <c:pt idx="19">
                  <c:v>9970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2012'!$F$55:$Y$55</c:f>
              <c:numCache>
                <c:formatCode>0</c:formatCode>
                <c:ptCount val="20"/>
                <c:pt idx="0">
                  <c:v>0</c:v>
                </c:pt>
                <c:pt idx="1">
                  <c:v>24000</c:v>
                </c:pt>
                <c:pt idx="2">
                  <c:v>16000</c:v>
                </c:pt>
                <c:pt idx="3">
                  <c:v>12000</c:v>
                </c:pt>
                <c:pt idx="4">
                  <c:v>38380</c:v>
                </c:pt>
                <c:pt idx="5">
                  <c:v>36983.333333333336</c:v>
                </c:pt>
                <c:pt idx="6">
                  <c:v>31700</c:v>
                </c:pt>
                <c:pt idx="7">
                  <c:v>38512.5</c:v>
                </c:pt>
                <c:pt idx="8">
                  <c:v>43122.222222222226</c:v>
                </c:pt>
                <c:pt idx="9">
                  <c:v>49800</c:v>
                </c:pt>
                <c:pt idx="10">
                  <c:v>50172.727272727272</c:v>
                </c:pt>
                <c:pt idx="11">
                  <c:v>45991.666666666672</c:v>
                </c:pt>
                <c:pt idx="12">
                  <c:v>43153.846153846156</c:v>
                </c:pt>
                <c:pt idx="13">
                  <c:v>39985.714285714283</c:v>
                </c:pt>
                <c:pt idx="14">
                  <c:v>44113.333333333328</c:v>
                </c:pt>
                <c:pt idx="15">
                  <c:v>41356.25</c:v>
                </c:pt>
                <c:pt idx="16">
                  <c:v>38923.529411764706</c:v>
                </c:pt>
                <c:pt idx="17">
                  <c:v>38427.777777777781</c:v>
                </c:pt>
                <c:pt idx="18">
                  <c:v>36405.26315789474</c:v>
                </c:pt>
                <c:pt idx="19">
                  <c:v>34585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2012'!$F$56:$Y$56</c:f>
              <c:numCache>
                <c:formatCode>0</c:formatCode>
                <c:ptCount val="20"/>
                <c:pt idx="0">
                  <c:v>0</c:v>
                </c:pt>
                <c:pt idx="1">
                  <c:v>20000</c:v>
                </c:pt>
                <c:pt idx="2">
                  <c:v>86633.333333333343</c:v>
                </c:pt>
                <c:pt idx="3">
                  <c:v>99975</c:v>
                </c:pt>
                <c:pt idx="4">
                  <c:v>147960</c:v>
                </c:pt>
                <c:pt idx="5">
                  <c:v>163266.66666666666</c:v>
                </c:pt>
                <c:pt idx="6">
                  <c:v>165642.85714285713</c:v>
                </c:pt>
                <c:pt idx="7">
                  <c:v>139937.5</c:v>
                </c:pt>
                <c:pt idx="8">
                  <c:v>151055.55555555556</c:v>
                </c:pt>
                <c:pt idx="9">
                  <c:v>145940</c:v>
                </c:pt>
                <c:pt idx="10">
                  <c:v>149918.18181818182</c:v>
                </c:pt>
                <c:pt idx="11">
                  <c:v>142425</c:v>
                </c:pt>
                <c:pt idx="12">
                  <c:v>161438.46153846153</c:v>
                </c:pt>
                <c:pt idx="13">
                  <c:v>164178.57142857142</c:v>
                </c:pt>
                <c:pt idx="14">
                  <c:v>175226.66666666669</c:v>
                </c:pt>
                <c:pt idx="15">
                  <c:v>184250</c:v>
                </c:pt>
                <c:pt idx="16">
                  <c:v>180176.47058823527</c:v>
                </c:pt>
                <c:pt idx="17">
                  <c:v>177111.11111111109</c:v>
                </c:pt>
                <c:pt idx="18">
                  <c:v>184621.05263157893</c:v>
                </c:pt>
                <c:pt idx="19">
                  <c:v>175390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2012'!$F$57:$Y$57</c:f>
              <c:numCache>
                <c:formatCode>0</c:formatCode>
                <c:ptCount val="20"/>
                <c:pt idx="0">
                  <c:v>409700</c:v>
                </c:pt>
                <c:pt idx="1">
                  <c:v>234800</c:v>
                </c:pt>
                <c:pt idx="2">
                  <c:v>176500</c:v>
                </c:pt>
                <c:pt idx="3">
                  <c:v>162325</c:v>
                </c:pt>
                <c:pt idx="4">
                  <c:v>181800</c:v>
                </c:pt>
                <c:pt idx="5">
                  <c:v>161483.33333333334</c:v>
                </c:pt>
                <c:pt idx="6">
                  <c:v>154114.28571428571</c:v>
                </c:pt>
                <c:pt idx="7">
                  <c:v>154200</c:v>
                </c:pt>
                <c:pt idx="8">
                  <c:v>151611.11111111112</c:v>
                </c:pt>
                <c:pt idx="9">
                  <c:v>136450</c:v>
                </c:pt>
                <c:pt idx="10">
                  <c:v>125318.18181818182</c:v>
                </c:pt>
                <c:pt idx="11">
                  <c:v>134116.66666666666</c:v>
                </c:pt>
                <c:pt idx="12">
                  <c:v>133015.38461538462</c:v>
                </c:pt>
                <c:pt idx="13">
                  <c:v>132085.71428571429</c:v>
                </c:pt>
                <c:pt idx="14">
                  <c:v>127273.33333333334</c:v>
                </c:pt>
                <c:pt idx="15">
                  <c:v>131500</c:v>
                </c:pt>
                <c:pt idx="16">
                  <c:v>134335.29411764705</c:v>
                </c:pt>
                <c:pt idx="17">
                  <c:v>130200</c:v>
                </c:pt>
                <c:pt idx="18">
                  <c:v>139585.26315789472</c:v>
                </c:pt>
                <c:pt idx="19">
                  <c:v>132606</c:v>
                </c:pt>
              </c:numCache>
            </c:numRef>
          </c:val>
        </c:ser>
        <c:ser>
          <c:idx val="5"/>
          <c:order val="5"/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2012'!$F$58:$Y$58</c:f>
              <c:numCache>
                <c:formatCode>0</c:formatCode>
                <c:ptCount val="20"/>
                <c:pt idx="0">
                  <c:v>0</c:v>
                </c:pt>
                <c:pt idx="1">
                  <c:v>41350</c:v>
                </c:pt>
                <c:pt idx="2">
                  <c:v>27566.666666666664</c:v>
                </c:pt>
                <c:pt idx="3">
                  <c:v>20675</c:v>
                </c:pt>
                <c:pt idx="4">
                  <c:v>16540</c:v>
                </c:pt>
                <c:pt idx="5">
                  <c:v>13783.333333333332</c:v>
                </c:pt>
                <c:pt idx="6">
                  <c:v>11814.285714285714</c:v>
                </c:pt>
                <c:pt idx="7">
                  <c:v>10337.5</c:v>
                </c:pt>
                <c:pt idx="8">
                  <c:v>9188.8888888888887</c:v>
                </c:pt>
                <c:pt idx="9">
                  <c:v>8270</c:v>
                </c:pt>
                <c:pt idx="10">
                  <c:v>7518.1818181818189</c:v>
                </c:pt>
                <c:pt idx="11">
                  <c:v>6891.6666666666661</c:v>
                </c:pt>
                <c:pt idx="12">
                  <c:v>6361.5384615384619</c:v>
                </c:pt>
                <c:pt idx="13">
                  <c:v>5907.1428571428569</c:v>
                </c:pt>
                <c:pt idx="14">
                  <c:v>5513.3333333333339</c:v>
                </c:pt>
                <c:pt idx="15">
                  <c:v>5168.75</c:v>
                </c:pt>
                <c:pt idx="16">
                  <c:v>6576.4705882352937</c:v>
                </c:pt>
                <c:pt idx="17">
                  <c:v>6211.1111111111113</c:v>
                </c:pt>
                <c:pt idx="18">
                  <c:v>5884.21052631579</c:v>
                </c:pt>
                <c:pt idx="19">
                  <c:v>5590</c:v>
                </c:pt>
              </c:numCache>
            </c:numRef>
          </c:val>
        </c:ser>
        <c:ser>
          <c:idx val="6"/>
          <c:order val="6"/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Nov 2012'!$F$52:$Y$52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2012'!$F$59:$Y$59</c:f>
              <c:numCache>
                <c:formatCode>0</c:formatCode>
                <c:ptCount val="20"/>
                <c:pt idx="0">
                  <c:v>252460</c:v>
                </c:pt>
                <c:pt idx="1">
                  <c:v>358390</c:v>
                </c:pt>
                <c:pt idx="2">
                  <c:v>347820</c:v>
                </c:pt>
                <c:pt idx="3">
                  <c:v>421425</c:v>
                </c:pt>
                <c:pt idx="4">
                  <c:v>425580</c:v>
                </c:pt>
                <c:pt idx="5">
                  <c:v>413013.33333333337</c:v>
                </c:pt>
                <c:pt idx="6">
                  <c:v>385934.28571428574</c:v>
                </c:pt>
                <c:pt idx="7">
                  <c:v>384552.5</c:v>
                </c:pt>
                <c:pt idx="8">
                  <c:v>361135.55555555556</c:v>
                </c:pt>
                <c:pt idx="9">
                  <c:v>338286</c:v>
                </c:pt>
                <c:pt idx="10">
                  <c:v>316320</c:v>
                </c:pt>
                <c:pt idx="11">
                  <c:v>318356.66666666669</c:v>
                </c:pt>
                <c:pt idx="12">
                  <c:v>317640</c:v>
                </c:pt>
                <c:pt idx="13">
                  <c:v>314297.14285714284</c:v>
                </c:pt>
                <c:pt idx="14">
                  <c:v>333900</c:v>
                </c:pt>
                <c:pt idx="15">
                  <c:v>329432.5</c:v>
                </c:pt>
                <c:pt idx="16">
                  <c:v>314505.8823529412</c:v>
                </c:pt>
                <c:pt idx="17">
                  <c:v>315601.11111111112</c:v>
                </c:pt>
                <c:pt idx="18">
                  <c:v>201294.73684210528</c:v>
                </c:pt>
                <c:pt idx="19">
                  <c:v>191230</c:v>
                </c:pt>
              </c:numCache>
            </c:numRef>
          </c:val>
        </c:ser>
        <c:marker val="1"/>
        <c:axId val="100316288"/>
        <c:axId val="100317824"/>
      </c:lineChart>
      <c:catAx>
        <c:axId val="1003162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0317824"/>
        <c:crosses val="autoZero"/>
        <c:auto val="1"/>
        <c:lblAlgn val="ctr"/>
        <c:lblOffset val="100"/>
      </c:catAx>
      <c:valAx>
        <c:axId val="100317824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031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4834180454643534E-2"/>
          <c:y val="7.0139107611548596E-2"/>
          <c:w val="0.88659089365600163"/>
          <c:h val="0.80000162760749582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2012'!$F$37:$Y$37</c:f>
              <c:numCache>
                <c:formatCode>General</c:formatCode>
                <c:ptCount val="20"/>
                <c:pt idx="0">
                  <c:v>40443</c:v>
                </c:pt>
                <c:pt idx="1">
                  <c:v>91509</c:v>
                </c:pt>
                <c:pt idx="2">
                  <c:v>130998</c:v>
                </c:pt>
                <c:pt idx="3">
                  <c:v>192335</c:v>
                </c:pt>
                <c:pt idx="4">
                  <c:v>274600</c:v>
                </c:pt>
                <c:pt idx="5">
                  <c:v>314879</c:v>
                </c:pt>
                <c:pt idx="6">
                  <c:v>350452</c:v>
                </c:pt>
                <c:pt idx="7">
                  <c:v>396351</c:v>
                </c:pt>
                <c:pt idx="8">
                  <c:v>463686</c:v>
                </c:pt>
                <c:pt idx="9">
                  <c:v>480808</c:v>
                </c:pt>
                <c:pt idx="10">
                  <c:v>525496</c:v>
                </c:pt>
                <c:pt idx="11">
                  <c:v>568023</c:v>
                </c:pt>
                <c:pt idx="12">
                  <c:v>622340</c:v>
                </c:pt>
                <c:pt idx="13">
                  <c:v>671072</c:v>
                </c:pt>
                <c:pt idx="14">
                  <c:v>764154</c:v>
                </c:pt>
                <c:pt idx="15">
                  <c:v>835600</c:v>
                </c:pt>
                <c:pt idx="16">
                  <c:v>868514</c:v>
                </c:pt>
                <c:pt idx="17">
                  <c:v>911610</c:v>
                </c:pt>
                <c:pt idx="18">
                  <c:v>883612</c:v>
                </c:pt>
                <c:pt idx="19">
                  <c:v>883612</c:v>
                </c:pt>
              </c:numCache>
            </c:numRef>
          </c:val>
        </c:ser>
        <c:ser>
          <c:idx val="0"/>
          <c:order val="1"/>
          <c:tx>
            <c:strRef>
              <c:f>'Month - Nov 2012'!$C$61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Nov 2012'!$F$63:$Y$63</c:f>
              <c:numCache>
                <c:formatCode>0</c:formatCode>
                <c:ptCount val="20"/>
                <c:pt idx="0">
                  <c:v>80230</c:v>
                </c:pt>
                <c:pt idx="1">
                  <c:v>160460</c:v>
                </c:pt>
                <c:pt idx="2">
                  <c:v>240690</c:v>
                </c:pt>
                <c:pt idx="3">
                  <c:v>320920</c:v>
                </c:pt>
                <c:pt idx="4">
                  <c:v>401150</c:v>
                </c:pt>
                <c:pt idx="5">
                  <c:v>481380</c:v>
                </c:pt>
                <c:pt idx="6">
                  <c:v>561610</c:v>
                </c:pt>
                <c:pt idx="7">
                  <c:v>641840</c:v>
                </c:pt>
                <c:pt idx="8">
                  <c:v>722070</c:v>
                </c:pt>
                <c:pt idx="9">
                  <c:v>802300</c:v>
                </c:pt>
                <c:pt idx="10">
                  <c:v>882530</c:v>
                </c:pt>
                <c:pt idx="11">
                  <c:v>962760</c:v>
                </c:pt>
                <c:pt idx="12">
                  <c:v>1042990</c:v>
                </c:pt>
                <c:pt idx="13">
                  <c:v>1123220</c:v>
                </c:pt>
                <c:pt idx="14">
                  <c:v>1203450</c:v>
                </c:pt>
                <c:pt idx="15">
                  <c:v>1283680</c:v>
                </c:pt>
                <c:pt idx="16">
                  <c:v>1363910</c:v>
                </c:pt>
                <c:pt idx="17">
                  <c:v>1444140</c:v>
                </c:pt>
                <c:pt idx="18">
                  <c:v>1524370</c:v>
                </c:pt>
                <c:pt idx="19">
                  <c:v>1604600</c:v>
                </c:pt>
              </c:numCache>
            </c:numRef>
          </c:val>
        </c:ser>
        <c:marker val="1"/>
        <c:axId val="142420992"/>
        <c:axId val="142426880"/>
      </c:lineChart>
      <c:catAx>
        <c:axId val="1424209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2426880"/>
        <c:crosses val="autoZero"/>
        <c:auto val="1"/>
        <c:lblAlgn val="ctr"/>
        <c:lblOffset val="100"/>
      </c:catAx>
      <c:valAx>
        <c:axId val="1424268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2420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77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92"/>
          <c:w val="0.872857142857143"/>
          <c:h val="0.79355005365856235"/>
        </c:manualLayout>
      </c:layout>
      <c:lineChart>
        <c:grouping val="standard"/>
        <c:ser>
          <c:idx val="0"/>
          <c:order val="0"/>
          <c:tx>
            <c:strRef>
              <c:f>'Month - Nov 2012'!$B$42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2012'!$F$42:$Y$42</c:f>
              <c:numCache>
                <c:formatCode>0.0%</c:formatCode>
                <c:ptCount val="20"/>
                <c:pt idx="0">
                  <c:v>0.43147058823529411</c:v>
                </c:pt>
                <c:pt idx="1">
                  <c:v>0.6283823529411765</c:v>
                </c:pt>
                <c:pt idx="2">
                  <c:v>0.59862745098039205</c:v>
                </c:pt>
                <c:pt idx="3">
                  <c:v>0.68772058823529414</c:v>
                </c:pt>
                <c:pt idx="4">
                  <c:v>0.82052941176470584</c:v>
                </c:pt>
                <c:pt idx="5">
                  <c:v>0.74539215686274507</c:v>
                </c:pt>
                <c:pt idx="6">
                  <c:v>0.72218487394957975</c:v>
                </c:pt>
                <c:pt idx="7">
                  <c:v>0.75768382352941177</c:v>
                </c:pt>
                <c:pt idx="8">
                  <c:v>0.9094444444444445</c:v>
                </c:pt>
                <c:pt idx="9">
                  <c:v>0.81850000000000001</c:v>
                </c:pt>
                <c:pt idx="10">
                  <c:v>0.87393048128342254</c:v>
                </c:pt>
                <c:pt idx="11">
                  <c:v>0.84153921568627443</c:v>
                </c:pt>
                <c:pt idx="12">
                  <c:v>0.83535746606334849</c:v>
                </c:pt>
                <c:pt idx="13">
                  <c:v>0.85661344537815121</c:v>
                </c:pt>
                <c:pt idx="14">
                  <c:v>0.9488392156862745</c:v>
                </c:pt>
                <c:pt idx="15">
                  <c:v>1.0009705882352942</c:v>
                </c:pt>
                <c:pt idx="16">
                  <c:v>0.98686505190311413</c:v>
                </c:pt>
                <c:pt idx="17">
                  <c:v>0.98315032679738568</c:v>
                </c:pt>
                <c:pt idx="18">
                  <c:v>1.0348018575851394</c:v>
                </c:pt>
                <c:pt idx="19">
                  <c:v>0.98306176470588236</c:v>
                </c:pt>
              </c:numCache>
            </c:numRef>
          </c:val>
        </c:ser>
        <c:ser>
          <c:idx val="6"/>
          <c:order val="1"/>
          <c:tx>
            <c:strRef>
              <c:f>'Month - Nov 2012'!$B$43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2012'!$F$43:$Y$43</c:f>
              <c:numCache>
                <c:formatCode>0.0%</c:formatCode>
                <c:ptCount val="20"/>
                <c:pt idx="0">
                  <c:v>0</c:v>
                </c:pt>
                <c:pt idx="1">
                  <c:v>0.12722222222222221</c:v>
                </c:pt>
                <c:pt idx="2">
                  <c:v>8.4814814814814815E-2</c:v>
                </c:pt>
                <c:pt idx="3">
                  <c:v>6.3611111111111104E-2</c:v>
                </c:pt>
                <c:pt idx="4">
                  <c:v>5.0888888888888886E-2</c:v>
                </c:pt>
                <c:pt idx="5">
                  <c:v>4.2407407407407408E-2</c:v>
                </c:pt>
                <c:pt idx="6">
                  <c:v>3.6349206349206353E-2</c:v>
                </c:pt>
                <c:pt idx="7">
                  <c:v>3.1805555555555552E-2</c:v>
                </c:pt>
                <c:pt idx="8">
                  <c:v>2.8271604938271605E-2</c:v>
                </c:pt>
                <c:pt idx="9">
                  <c:v>2.5444444444444443E-2</c:v>
                </c:pt>
                <c:pt idx="10">
                  <c:v>5.0353535353535359E-2</c:v>
                </c:pt>
                <c:pt idx="11">
                  <c:v>7.1111111111111111E-2</c:v>
                </c:pt>
                <c:pt idx="12">
                  <c:v>6.5641025641025627E-2</c:v>
                </c:pt>
                <c:pt idx="13">
                  <c:v>6.0952380952380945E-2</c:v>
                </c:pt>
                <c:pt idx="14">
                  <c:v>5.6888888888888892E-2</c:v>
                </c:pt>
                <c:pt idx="15">
                  <c:v>6.9236111111111109E-2</c:v>
                </c:pt>
                <c:pt idx="16">
                  <c:v>6.5163398692810459E-2</c:v>
                </c:pt>
                <c:pt idx="17">
                  <c:v>6.1543209876543208E-2</c:v>
                </c:pt>
                <c:pt idx="18">
                  <c:v>5.8304093567251462E-2</c:v>
                </c:pt>
                <c:pt idx="19">
                  <c:v>5.538888888888889E-2</c:v>
                </c:pt>
              </c:numCache>
            </c:numRef>
          </c:val>
        </c:ser>
        <c:ser>
          <c:idx val="1"/>
          <c:order val="2"/>
          <c:tx>
            <c:strRef>
              <c:f>'Month - Nov 2012'!$B$44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2012'!$F$44:$Y$44</c:f>
              <c:numCache>
                <c:formatCode>0.0%</c:formatCode>
                <c:ptCount val="20"/>
                <c:pt idx="0">
                  <c:v>0</c:v>
                </c:pt>
                <c:pt idx="1">
                  <c:v>0.13333333333333333</c:v>
                </c:pt>
                <c:pt idx="2">
                  <c:v>8.8888888888888892E-2</c:v>
                </c:pt>
                <c:pt idx="3">
                  <c:v>6.6666666666666666E-2</c:v>
                </c:pt>
                <c:pt idx="4">
                  <c:v>0.21322222222222223</c:v>
                </c:pt>
                <c:pt idx="5">
                  <c:v>0.20546296296296299</c:v>
                </c:pt>
                <c:pt idx="6">
                  <c:v>0.17611111111111111</c:v>
                </c:pt>
                <c:pt idx="7">
                  <c:v>0.21395833333333333</c:v>
                </c:pt>
                <c:pt idx="8">
                  <c:v>0.23956790123456792</c:v>
                </c:pt>
                <c:pt idx="9">
                  <c:v>0.27666666666666667</c:v>
                </c:pt>
                <c:pt idx="10">
                  <c:v>0.27873737373737373</c:v>
                </c:pt>
                <c:pt idx="11">
                  <c:v>0.25550925925925927</c:v>
                </c:pt>
                <c:pt idx="12">
                  <c:v>0.23974358974358975</c:v>
                </c:pt>
                <c:pt idx="13">
                  <c:v>0.22214285714285711</c:v>
                </c:pt>
                <c:pt idx="14">
                  <c:v>0.24507407407407406</c:v>
                </c:pt>
                <c:pt idx="15">
                  <c:v>0.22975694444444444</c:v>
                </c:pt>
                <c:pt idx="16">
                  <c:v>0.21624183006535949</c:v>
                </c:pt>
                <c:pt idx="17">
                  <c:v>0.21348765432098768</c:v>
                </c:pt>
                <c:pt idx="18">
                  <c:v>0.20225146198830413</c:v>
                </c:pt>
                <c:pt idx="19">
                  <c:v>0.19213888888888889</c:v>
                </c:pt>
              </c:numCache>
            </c:numRef>
          </c:val>
        </c:ser>
        <c:ser>
          <c:idx val="7"/>
          <c:order val="3"/>
          <c:tx>
            <c:strRef>
              <c:f>'Month - Nov 2012'!$B$45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2012'!$F$45:$Y$45</c:f>
              <c:numCache>
                <c:formatCode>0.0%</c:formatCode>
                <c:ptCount val="20"/>
                <c:pt idx="0">
                  <c:v>0</c:v>
                </c:pt>
                <c:pt idx="1">
                  <c:v>7.2727272727272724E-2</c:v>
                </c:pt>
                <c:pt idx="2">
                  <c:v>0.31503030303030305</c:v>
                </c:pt>
                <c:pt idx="3">
                  <c:v>0.36354545454545456</c:v>
                </c:pt>
                <c:pt idx="4">
                  <c:v>0.53803636363636365</c:v>
                </c:pt>
                <c:pt idx="5">
                  <c:v>0.59369696969696961</c:v>
                </c:pt>
                <c:pt idx="6">
                  <c:v>0.60233766233766228</c:v>
                </c:pt>
                <c:pt idx="7">
                  <c:v>0.50886363636363641</c:v>
                </c:pt>
                <c:pt idx="8">
                  <c:v>0.54929292929292928</c:v>
                </c:pt>
                <c:pt idx="9">
                  <c:v>0.5306909090909091</c:v>
                </c:pt>
                <c:pt idx="10">
                  <c:v>0.54515702479338846</c:v>
                </c:pt>
                <c:pt idx="11">
                  <c:v>0.51790909090909087</c:v>
                </c:pt>
                <c:pt idx="12">
                  <c:v>0.58704895104895105</c:v>
                </c:pt>
                <c:pt idx="13">
                  <c:v>0.597012987012987</c:v>
                </c:pt>
                <c:pt idx="14">
                  <c:v>0.63718787878787886</c:v>
                </c:pt>
                <c:pt idx="15">
                  <c:v>0.67</c:v>
                </c:pt>
                <c:pt idx="16">
                  <c:v>0.65518716577540104</c:v>
                </c:pt>
                <c:pt idx="17">
                  <c:v>0.64404040404040397</c:v>
                </c:pt>
                <c:pt idx="18">
                  <c:v>0.6713492822966507</c:v>
                </c:pt>
                <c:pt idx="19">
                  <c:v>0.63778181818181823</c:v>
                </c:pt>
              </c:numCache>
            </c:numRef>
          </c:val>
        </c:ser>
        <c:ser>
          <c:idx val="2"/>
          <c:order val="4"/>
          <c:tx>
            <c:strRef>
              <c:f>'Month - Nov 2012'!$B$46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2012'!$F$46:$Y$46</c:f>
              <c:numCache>
                <c:formatCode>0.0%</c:formatCode>
                <c:ptCount val="20"/>
                <c:pt idx="0">
                  <c:v>2.1338541666666666</c:v>
                </c:pt>
                <c:pt idx="1">
                  <c:v>1.2229166666666667</c:v>
                </c:pt>
                <c:pt idx="2">
                  <c:v>0.91927083333333337</c:v>
                </c:pt>
                <c:pt idx="3">
                  <c:v>0.84544270833333335</c:v>
                </c:pt>
                <c:pt idx="4">
                  <c:v>0.94687500000000002</c:v>
                </c:pt>
                <c:pt idx="5">
                  <c:v>0.84105902777777786</c:v>
                </c:pt>
                <c:pt idx="6">
                  <c:v>0.80267857142857135</c:v>
                </c:pt>
                <c:pt idx="7">
                  <c:v>0.80312499999999998</c:v>
                </c:pt>
                <c:pt idx="8">
                  <c:v>0.78964120370370372</c:v>
                </c:pt>
                <c:pt idx="9">
                  <c:v>0.71067708333333335</c:v>
                </c:pt>
                <c:pt idx="10">
                  <c:v>0.65269886363636365</c:v>
                </c:pt>
                <c:pt idx="11">
                  <c:v>0.69852430555555556</c:v>
                </c:pt>
                <c:pt idx="12">
                  <c:v>0.69278846153846163</c:v>
                </c:pt>
                <c:pt idx="13">
                  <c:v>0.68794642857142863</c:v>
                </c:pt>
                <c:pt idx="14">
                  <c:v>0.66288194444444448</c:v>
                </c:pt>
                <c:pt idx="15">
                  <c:v>0.68489583333333337</c:v>
                </c:pt>
                <c:pt idx="16">
                  <c:v>0.69966299019607836</c:v>
                </c:pt>
                <c:pt idx="17">
                  <c:v>0.67812499999999998</c:v>
                </c:pt>
                <c:pt idx="18">
                  <c:v>0.72700657894736831</c:v>
                </c:pt>
                <c:pt idx="19">
                  <c:v>0.69065624999999997</c:v>
                </c:pt>
              </c:numCache>
            </c:numRef>
          </c:val>
        </c:ser>
        <c:ser>
          <c:idx val="5"/>
          <c:order val="5"/>
          <c:tx>
            <c:strRef>
              <c:f>'Month - Nov 2012'!$B$47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2012'!$F$47:$Y$47</c:f>
              <c:numCache>
                <c:formatCode>0.0%</c:formatCode>
                <c:ptCount val="20"/>
                <c:pt idx="0">
                  <c:v>0</c:v>
                </c:pt>
                <c:pt idx="1">
                  <c:v>0.21536458333333333</c:v>
                </c:pt>
                <c:pt idx="2">
                  <c:v>0.14357638888888888</c:v>
                </c:pt>
                <c:pt idx="3">
                  <c:v>0.10768229166666667</c:v>
                </c:pt>
                <c:pt idx="4">
                  <c:v>8.6145833333333338E-2</c:v>
                </c:pt>
                <c:pt idx="5">
                  <c:v>7.1788194444444439E-2</c:v>
                </c:pt>
                <c:pt idx="6">
                  <c:v>6.1532738095238092E-2</c:v>
                </c:pt>
                <c:pt idx="7">
                  <c:v>5.3841145833333333E-2</c:v>
                </c:pt>
                <c:pt idx="8">
                  <c:v>4.7858796296296295E-2</c:v>
                </c:pt>
                <c:pt idx="9">
                  <c:v>4.3072916666666669E-2</c:v>
                </c:pt>
                <c:pt idx="10">
                  <c:v>3.9157196969696974E-2</c:v>
                </c:pt>
                <c:pt idx="11">
                  <c:v>3.589409722222222E-2</c:v>
                </c:pt>
                <c:pt idx="12">
                  <c:v>3.3133012820512821E-2</c:v>
                </c:pt>
                <c:pt idx="13">
                  <c:v>3.0766369047619046E-2</c:v>
                </c:pt>
                <c:pt idx="14">
                  <c:v>2.8715277777777781E-2</c:v>
                </c:pt>
                <c:pt idx="15">
                  <c:v>2.6920572916666666E-2</c:v>
                </c:pt>
                <c:pt idx="16">
                  <c:v>3.4252450980392153E-2</c:v>
                </c:pt>
                <c:pt idx="17">
                  <c:v>3.2349537037037038E-2</c:v>
                </c:pt>
                <c:pt idx="18">
                  <c:v>3.0646929824561405E-2</c:v>
                </c:pt>
                <c:pt idx="19">
                  <c:v>2.9114583333333333E-2</c:v>
                </c:pt>
              </c:numCache>
            </c:numRef>
          </c:val>
        </c:ser>
        <c:ser>
          <c:idx val="3"/>
          <c:order val="6"/>
          <c:tx>
            <c:strRef>
              <c:f>'Month - Nov 2012'!$B$48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2012'!$F$48:$Y$48</c:f>
              <c:numCache>
                <c:formatCode>0.0%</c:formatCode>
                <c:ptCount val="20"/>
                <c:pt idx="0">
                  <c:v>0.71599546228020416</c:v>
                </c:pt>
                <c:pt idx="1">
                  <c:v>1.0164208735110607</c:v>
                </c:pt>
                <c:pt idx="2">
                  <c:v>0.9864435621100397</c:v>
                </c:pt>
                <c:pt idx="3">
                  <c:v>1.1951928530913216</c:v>
                </c:pt>
                <c:pt idx="4">
                  <c:v>1.2069767441860466</c:v>
                </c:pt>
                <c:pt idx="5">
                  <c:v>1.1713367366231804</c:v>
                </c:pt>
                <c:pt idx="6">
                  <c:v>1.0945385301029091</c:v>
                </c:pt>
                <c:pt idx="7">
                  <c:v>1.0906196823596144</c:v>
                </c:pt>
                <c:pt idx="8">
                  <c:v>1.024207474632886</c:v>
                </c:pt>
                <c:pt idx="9">
                  <c:v>0.95940442427680095</c:v>
                </c:pt>
                <c:pt idx="10">
                  <c:v>0.89710720363017582</c:v>
                </c:pt>
                <c:pt idx="11">
                  <c:v>0.90288334278691629</c:v>
                </c:pt>
                <c:pt idx="12">
                  <c:v>0.900850822461713</c:v>
                </c:pt>
                <c:pt idx="13">
                  <c:v>0.89137022931691101</c:v>
                </c:pt>
                <c:pt idx="14">
                  <c:v>0.94696539988655704</c:v>
                </c:pt>
                <c:pt idx="15">
                  <c:v>0.93429523539421444</c:v>
                </c:pt>
                <c:pt idx="16">
                  <c:v>0.89196223015581733</c:v>
                </c:pt>
                <c:pt idx="17">
                  <c:v>0.89506838091636731</c:v>
                </c:pt>
                <c:pt idx="18">
                  <c:v>0.57088694509956117</c:v>
                </c:pt>
                <c:pt idx="19">
                  <c:v>0.54234259784458305</c:v>
                </c:pt>
              </c:numCache>
            </c:numRef>
          </c:val>
        </c:ser>
        <c:ser>
          <c:idx val="4"/>
          <c:order val="7"/>
          <c:tx>
            <c:strRef>
              <c:f>'Month - Nov 2012'!$B$49</c:f>
              <c:strCache>
                <c:ptCount val="1"/>
                <c:pt idx="0">
                  <c:v>Group</c:v>
                </c:pt>
              </c:strCache>
            </c:strRef>
          </c:tx>
          <c:marker>
            <c:symbol val="none"/>
          </c:marker>
          <c:cat>
            <c:strRef>
              <c:f>'Month - Nov 2012'!$F$41:$Y$41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2012'!$F$49:$Y$49</c:f>
              <c:numCache>
                <c:formatCode>0.0%</c:formatCode>
                <c:ptCount val="20"/>
                <c:pt idx="0">
                  <c:v>0.50408824629191074</c:v>
                </c:pt>
                <c:pt idx="1">
                  <c:v>0.57029166147326438</c:v>
                </c:pt>
                <c:pt idx="2">
                  <c:v>0.54426025177614357</c:v>
                </c:pt>
                <c:pt idx="3">
                  <c:v>0.59932381902031662</c:v>
                </c:pt>
                <c:pt idx="4">
                  <c:v>0.68453197058456938</c:v>
                </c:pt>
                <c:pt idx="5">
                  <c:v>0.65411732934480038</c:v>
                </c:pt>
                <c:pt idx="6">
                  <c:v>0.62401310517975095</c:v>
                </c:pt>
                <c:pt idx="7">
                  <c:v>0.6175230587062196</c:v>
                </c:pt>
                <c:pt idx="8">
                  <c:v>0.6421621172462505</c:v>
                </c:pt>
                <c:pt idx="9">
                  <c:v>0.5992870497320204</c:v>
                </c:pt>
                <c:pt idx="10">
                  <c:v>0.59544264784199974</c:v>
                </c:pt>
                <c:pt idx="11">
                  <c:v>0.58999439112551411</c:v>
                </c:pt>
                <c:pt idx="12">
                  <c:v>0.5966883670984382</c:v>
                </c:pt>
                <c:pt idx="13">
                  <c:v>0.59745374904293014</c:v>
                </c:pt>
                <c:pt idx="14">
                  <c:v>0.63496946279446587</c:v>
                </c:pt>
                <c:pt idx="15">
                  <c:v>0.65094104449707091</c:v>
                </c:pt>
                <c:pt idx="16">
                  <c:v>0.63678248564788009</c:v>
                </c:pt>
                <c:pt idx="17">
                  <c:v>0.63124766296896417</c:v>
                </c:pt>
                <c:pt idx="18">
                  <c:v>0.5796571698472156</c:v>
                </c:pt>
                <c:pt idx="19">
                  <c:v>0.55067431135485478</c:v>
                </c:pt>
              </c:numCache>
            </c:numRef>
          </c:val>
        </c:ser>
        <c:marker val="1"/>
        <c:axId val="142366592"/>
        <c:axId val="142368128"/>
      </c:lineChart>
      <c:catAx>
        <c:axId val="142366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368128"/>
        <c:crosses val="autoZero"/>
        <c:auto val="1"/>
        <c:lblAlgn val="ctr"/>
        <c:lblOffset val="100"/>
      </c:catAx>
      <c:valAx>
        <c:axId val="14236812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36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7.6680303186141816E-2"/>
          <c:h val="9.462184968814579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46"/>
          <c:w val="0.84946296025352797"/>
          <c:h val="0.79130518778148851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2013'!$F$53:$Y$53</c:f>
              <c:numCache>
                <c:formatCode>0</c:formatCode>
                <c:ptCount val="20"/>
                <c:pt idx="0">
                  <c:v>149820</c:v>
                </c:pt>
                <c:pt idx="1">
                  <c:v>107260</c:v>
                </c:pt>
                <c:pt idx="2">
                  <c:v>154206.66666666666</c:v>
                </c:pt>
                <c:pt idx="3">
                  <c:v>175005</c:v>
                </c:pt>
                <c:pt idx="4">
                  <c:v>214268</c:v>
                </c:pt>
                <c:pt idx="5">
                  <c:v>210906.66666666669</c:v>
                </c:pt>
                <c:pt idx="6">
                  <c:v>199291.42857142858</c:v>
                </c:pt>
                <c:pt idx="7">
                  <c:v>204055</c:v>
                </c:pt>
                <c:pt idx="8">
                  <c:v>200571.11111111109</c:v>
                </c:pt>
                <c:pt idx="9">
                  <c:v>204254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2013'!$F$54:$Y$54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2013'!$F$55:$Y$55</c:f>
              <c:numCache>
                <c:formatCode>0</c:formatCode>
                <c:ptCount val="20"/>
                <c:pt idx="0">
                  <c:v>115900</c:v>
                </c:pt>
                <c:pt idx="1">
                  <c:v>57950</c:v>
                </c:pt>
                <c:pt idx="2">
                  <c:v>70600</c:v>
                </c:pt>
                <c:pt idx="3">
                  <c:v>61450</c:v>
                </c:pt>
                <c:pt idx="4">
                  <c:v>49160</c:v>
                </c:pt>
                <c:pt idx="5">
                  <c:v>40966.666666666672</c:v>
                </c:pt>
                <c:pt idx="6">
                  <c:v>42814.285714285717</c:v>
                </c:pt>
                <c:pt idx="7">
                  <c:v>68357.5</c:v>
                </c:pt>
                <c:pt idx="8">
                  <c:v>66751.111111111109</c:v>
                </c:pt>
                <c:pt idx="9">
                  <c:v>64656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2013'!$F$56:$Y$56</c:f>
              <c:numCache>
                <c:formatCode>0</c:formatCode>
                <c:ptCount val="20"/>
                <c:pt idx="0">
                  <c:v>0</c:v>
                </c:pt>
                <c:pt idx="1">
                  <c:v>134900</c:v>
                </c:pt>
                <c:pt idx="2">
                  <c:v>161600</c:v>
                </c:pt>
                <c:pt idx="3">
                  <c:v>198650</c:v>
                </c:pt>
                <c:pt idx="4">
                  <c:v>158920</c:v>
                </c:pt>
                <c:pt idx="5">
                  <c:v>137416.66666666666</c:v>
                </c:pt>
                <c:pt idx="6">
                  <c:v>117785.71428571429</c:v>
                </c:pt>
                <c:pt idx="7">
                  <c:v>151150</c:v>
                </c:pt>
                <c:pt idx="8">
                  <c:v>143233.33333333334</c:v>
                </c:pt>
                <c:pt idx="9">
                  <c:v>128910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2013'!$F$57:$Y$57</c:f>
              <c:numCache>
                <c:formatCode>0</c:formatCode>
                <c:ptCount val="20"/>
                <c:pt idx="0">
                  <c:v>153300</c:v>
                </c:pt>
                <c:pt idx="1">
                  <c:v>129050</c:v>
                </c:pt>
                <c:pt idx="2">
                  <c:v>125966.66666666666</c:v>
                </c:pt>
                <c:pt idx="3">
                  <c:v>136925</c:v>
                </c:pt>
                <c:pt idx="4">
                  <c:v>143200</c:v>
                </c:pt>
                <c:pt idx="5">
                  <c:v>150983.33333333334</c:v>
                </c:pt>
                <c:pt idx="6">
                  <c:v>147114.28571428571</c:v>
                </c:pt>
                <c:pt idx="7">
                  <c:v>146187.5</c:v>
                </c:pt>
                <c:pt idx="8">
                  <c:v>129944.44444444445</c:v>
                </c:pt>
                <c:pt idx="9">
                  <c:v>128192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2013'!$F$58:$Y$58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3236</c:v>
                </c:pt>
                <c:pt idx="5">
                  <c:v>2696.666666666667</c:v>
                </c:pt>
                <c:pt idx="6">
                  <c:v>2311.4285714285716</c:v>
                </c:pt>
                <c:pt idx="7">
                  <c:v>2022.5</c:v>
                </c:pt>
                <c:pt idx="8">
                  <c:v>1797.7777777777778</c:v>
                </c:pt>
                <c:pt idx="9">
                  <c:v>1618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Jan 2013'!$F$52:$Y$52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2013'!$F$59:$Y$59</c:f>
              <c:numCache>
                <c:formatCode>0</c:formatCode>
                <c:ptCount val="20"/>
                <c:pt idx="0">
                  <c:v>308340</c:v>
                </c:pt>
                <c:pt idx="1">
                  <c:v>380100</c:v>
                </c:pt>
                <c:pt idx="2">
                  <c:v>285100</c:v>
                </c:pt>
                <c:pt idx="3">
                  <c:v>342335</c:v>
                </c:pt>
                <c:pt idx="4">
                  <c:v>395784</c:v>
                </c:pt>
                <c:pt idx="5">
                  <c:v>350346.66666666663</c:v>
                </c:pt>
                <c:pt idx="6">
                  <c:v>322855.08571428573</c:v>
                </c:pt>
                <c:pt idx="7">
                  <c:v>321752.5</c:v>
                </c:pt>
                <c:pt idx="8">
                  <c:v>323540</c:v>
                </c:pt>
                <c:pt idx="9">
                  <c:v>312590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42513664"/>
        <c:axId val="142515200"/>
      </c:lineChart>
      <c:catAx>
        <c:axId val="142513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515200"/>
        <c:crosses val="autoZero"/>
        <c:auto val="1"/>
        <c:lblAlgn val="ctr"/>
        <c:lblOffset val="100"/>
      </c:catAx>
      <c:valAx>
        <c:axId val="14251520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51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4834180454643562E-2"/>
          <c:y val="7.0139107611548596E-2"/>
          <c:w val="0.88659089365600163"/>
          <c:h val="0.80000162760749605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2013'!$F$37:$Y$37</c:f>
              <c:numCache>
                <c:formatCode>General</c:formatCode>
                <c:ptCount val="20"/>
                <c:pt idx="0">
                  <c:v>39603</c:v>
                </c:pt>
                <c:pt idx="1">
                  <c:v>80926</c:v>
                </c:pt>
                <c:pt idx="2">
                  <c:v>119621</c:v>
                </c:pt>
                <c:pt idx="3">
                  <c:v>182873</c:v>
                </c:pt>
                <c:pt idx="4">
                  <c:v>241142</c:v>
                </c:pt>
                <c:pt idx="5">
                  <c:v>267995</c:v>
                </c:pt>
                <c:pt idx="6">
                  <c:v>291260</c:v>
                </c:pt>
                <c:pt idx="7">
                  <c:v>357410</c:v>
                </c:pt>
                <c:pt idx="8">
                  <c:v>389627</c:v>
                </c:pt>
                <c:pt idx="9">
                  <c:v>420110</c:v>
                </c:pt>
              </c:numCache>
            </c:numRef>
          </c:val>
        </c:ser>
        <c:ser>
          <c:idx val="0"/>
          <c:order val="1"/>
          <c:tx>
            <c:strRef>
              <c:f>'Month - Jan 2013'!$C$61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Jan 2013'!$F$63:$Y$63</c:f>
              <c:numCache>
                <c:formatCode>0</c:formatCode>
                <c:ptCount val="20"/>
                <c:pt idx="0">
                  <c:v>80230</c:v>
                </c:pt>
                <c:pt idx="1">
                  <c:v>160460</c:v>
                </c:pt>
                <c:pt idx="2">
                  <c:v>240690</c:v>
                </c:pt>
                <c:pt idx="3">
                  <c:v>320920</c:v>
                </c:pt>
                <c:pt idx="4">
                  <c:v>401150</c:v>
                </c:pt>
                <c:pt idx="5">
                  <c:v>481380</c:v>
                </c:pt>
                <c:pt idx="6">
                  <c:v>561610</c:v>
                </c:pt>
                <c:pt idx="7">
                  <c:v>641840</c:v>
                </c:pt>
                <c:pt idx="8">
                  <c:v>722070</c:v>
                </c:pt>
                <c:pt idx="9">
                  <c:v>802300</c:v>
                </c:pt>
                <c:pt idx="10">
                  <c:v>882530</c:v>
                </c:pt>
                <c:pt idx="11">
                  <c:v>962760</c:v>
                </c:pt>
                <c:pt idx="12">
                  <c:v>1042990</c:v>
                </c:pt>
                <c:pt idx="13">
                  <c:v>1123220</c:v>
                </c:pt>
                <c:pt idx="14">
                  <c:v>1203450</c:v>
                </c:pt>
                <c:pt idx="15">
                  <c:v>1283680</c:v>
                </c:pt>
                <c:pt idx="16">
                  <c:v>1363910</c:v>
                </c:pt>
                <c:pt idx="17">
                  <c:v>1444140</c:v>
                </c:pt>
                <c:pt idx="18">
                  <c:v>1524370</c:v>
                </c:pt>
                <c:pt idx="19">
                  <c:v>1604600</c:v>
                </c:pt>
              </c:numCache>
            </c:numRef>
          </c:val>
        </c:ser>
        <c:marker val="1"/>
        <c:axId val="142531968"/>
        <c:axId val="140723328"/>
      </c:lineChart>
      <c:catAx>
        <c:axId val="14253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0723328"/>
        <c:crosses val="autoZero"/>
        <c:auto val="1"/>
        <c:lblAlgn val="ctr"/>
        <c:lblOffset val="100"/>
      </c:catAx>
      <c:valAx>
        <c:axId val="1407233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253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93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98"/>
          <c:w val="0.872857142857143"/>
          <c:h val="0.79355005365856268"/>
        </c:manualLayout>
      </c:layout>
      <c:lineChart>
        <c:grouping val="standard"/>
        <c:ser>
          <c:idx val="0"/>
          <c:order val="0"/>
          <c:tx>
            <c:strRef>
              <c:f>'Month - Jan 2013'!$B$42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2013'!$F$42:$Y$42</c:f>
              <c:numCache>
                <c:formatCode>0.0%</c:formatCode>
                <c:ptCount val="20"/>
                <c:pt idx="0">
                  <c:v>0.44064705882352939</c:v>
                </c:pt>
                <c:pt idx="1">
                  <c:v>0.31547058823529411</c:v>
                </c:pt>
                <c:pt idx="2">
                  <c:v>0.45354901960784311</c:v>
                </c:pt>
                <c:pt idx="3">
                  <c:v>0.5147205882352941</c:v>
                </c:pt>
                <c:pt idx="4">
                  <c:v>0.63019999999999998</c:v>
                </c:pt>
                <c:pt idx="5">
                  <c:v>0.62031372549019614</c:v>
                </c:pt>
                <c:pt idx="6">
                  <c:v>0.58615126050420174</c:v>
                </c:pt>
                <c:pt idx="7">
                  <c:v>0.60016176470588234</c:v>
                </c:pt>
                <c:pt idx="8">
                  <c:v>0.58991503267973855</c:v>
                </c:pt>
                <c:pt idx="9">
                  <c:v>0.60074705882352941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1"/>
          <c:tx>
            <c:strRef>
              <c:f>'Month - Jan 2013'!$B$43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2013'!$F$43:$Y$43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2"/>
          <c:tx>
            <c:strRef>
              <c:f>'Month - Jan 2013'!$B$44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2013'!$F$44:$Y$44</c:f>
              <c:numCache>
                <c:formatCode>0.0%</c:formatCode>
                <c:ptCount val="20"/>
                <c:pt idx="0">
                  <c:v>0.64388888888888884</c:v>
                </c:pt>
                <c:pt idx="1">
                  <c:v>0.32194444444444442</c:v>
                </c:pt>
                <c:pt idx="2">
                  <c:v>0.39222222222222225</c:v>
                </c:pt>
                <c:pt idx="3">
                  <c:v>0.34138888888888891</c:v>
                </c:pt>
                <c:pt idx="4">
                  <c:v>0.27311111111111114</c:v>
                </c:pt>
                <c:pt idx="5">
                  <c:v>0.22759259259259262</c:v>
                </c:pt>
                <c:pt idx="6">
                  <c:v>0.23785714285714288</c:v>
                </c:pt>
                <c:pt idx="7">
                  <c:v>0.3797638888888889</c:v>
                </c:pt>
                <c:pt idx="8">
                  <c:v>0.37083950617283951</c:v>
                </c:pt>
                <c:pt idx="9">
                  <c:v>0.35920000000000002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3"/>
          <c:tx>
            <c:strRef>
              <c:f>'Month - Jan 2013'!$B$45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2013'!$F$45:$Y$45</c:f>
              <c:numCache>
                <c:formatCode>0.0%</c:formatCode>
                <c:ptCount val="20"/>
                <c:pt idx="0">
                  <c:v>0</c:v>
                </c:pt>
                <c:pt idx="1">
                  <c:v>0.49054545454545456</c:v>
                </c:pt>
                <c:pt idx="2">
                  <c:v>0.58763636363636362</c:v>
                </c:pt>
                <c:pt idx="3">
                  <c:v>0.72236363636363632</c:v>
                </c:pt>
                <c:pt idx="4">
                  <c:v>0.57789090909090912</c:v>
                </c:pt>
                <c:pt idx="5">
                  <c:v>0.49969696969696964</c:v>
                </c:pt>
                <c:pt idx="6">
                  <c:v>0.42831168831168831</c:v>
                </c:pt>
                <c:pt idx="7">
                  <c:v>0.54963636363636359</c:v>
                </c:pt>
                <c:pt idx="8">
                  <c:v>0.52084848484848489</c:v>
                </c:pt>
                <c:pt idx="9">
                  <c:v>0.46876363636363638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4"/>
          <c:tx>
            <c:strRef>
              <c:f>'Month - Jan 2013'!$B$46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2013'!$F$46:$Y$46</c:f>
              <c:numCache>
                <c:formatCode>0.0%</c:formatCode>
                <c:ptCount val="20"/>
                <c:pt idx="0">
                  <c:v>0.79843750000000002</c:v>
                </c:pt>
                <c:pt idx="1">
                  <c:v>0.67213541666666665</c:v>
                </c:pt>
                <c:pt idx="2">
                  <c:v>0.65607638888888886</c:v>
                </c:pt>
                <c:pt idx="3">
                  <c:v>0.71315104166666665</c:v>
                </c:pt>
                <c:pt idx="4">
                  <c:v>0.74583333333333335</c:v>
                </c:pt>
                <c:pt idx="5">
                  <c:v>0.78637152777777786</c:v>
                </c:pt>
                <c:pt idx="6">
                  <c:v>0.76622023809523809</c:v>
                </c:pt>
                <c:pt idx="7">
                  <c:v>0.76139322916666663</c:v>
                </c:pt>
                <c:pt idx="8">
                  <c:v>0.67679398148148151</c:v>
                </c:pt>
                <c:pt idx="9">
                  <c:v>0.66766666666666663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'Month - Jan 2013'!$B$47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2013'!$F$47:$Y$47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1.6854166666666667E-2</c:v>
                </c:pt>
                <c:pt idx="5">
                  <c:v>1.404513888888889E-2</c:v>
                </c:pt>
                <c:pt idx="6">
                  <c:v>1.2038690476190477E-2</c:v>
                </c:pt>
                <c:pt idx="7">
                  <c:v>1.0533854166666667E-2</c:v>
                </c:pt>
                <c:pt idx="8">
                  <c:v>9.3634259259259261E-3</c:v>
                </c:pt>
                <c:pt idx="9">
                  <c:v>8.4270833333333333E-3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6"/>
          <c:tx>
            <c:strRef>
              <c:f>'Month - Jan 2013'!$B$48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2013'!$F$48:$Y$48</c:f>
              <c:numCache>
                <c:formatCode>0.0%</c:formatCode>
                <c:ptCount val="20"/>
                <c:pt idx="0">
                  <c:v>0.87447532614861034</c:v>
                </c:pt>
                <c:pt idx="1">
                  <c:v>1.0779920589903573</c:v>
                </c:pt>
                <c:pt idx="2">
                  <c:v>0.80856494611457741</c:v>
                </c:pt>
                <c:pt idx="3">
                  <c:v>0.97088769143505393</c:v>
                </c:pt>
                <c:pt idx="4">
                  <c:v>1.1224730572887125</c:v>
                </c:pt>
                <c:pt idx="5">
                  <c:v>0.99360937795424453</c:v>
                </c:pt>
                <c:pt idx="6">
                  <c:v>0.91564119601328908</c:v>
                </c:pt>
                <c:pt idx="7">
                  <c:v>0.91251418037436194</c:v>
                </c:pt>
                <c:pt idx="8">
                  <c:v>0.91758366420873516</c:v>
                </c:pt>
                <c:pt idx="9">
                  <c:v>0.88652864435621104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7"/>
          <c:tx>
            <c:strRef>
              <c:f>'Month - Jan 2013'!$B$49</c:f>
              <c:strCache>
                <c:ptCount val="1"/>
                <c:pt idx="0">
                  <c:v>Group</c:v>
                </c:pt>
              </c:strCache>
            </c:strRef>
          </c:tx>
          <c:marker>
            <c:symbol val="none"/>
          </c:marker>
          <c:cat>
            <c:strRef>
              <c:f>'Month - Jan 2013'!$F$41:$Y$41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2013'!$F$49:$Y$49</c:f>
              <c:numCache>
                <c:formatCode>0.0%</c:formatCode>
                <c:ptCount val="20"/>
                <c:pt idx="0">
                  <c:v>0.45329677178112926</c:v>
                </c:pt>
                <c:pt idx="1">
                  <c:v>0.50433752960239309</c:v>
                </c:pt>
                <c:pt idx="2">
                  <c:v>0.49699198138684608</c:v>
                </c:pt>
                <c:pt idx="3">
                  <c:v>0.56983983547301509</c:v>
                </c:pt>
                <c:pt idx="4">
                  <c:v>0.60112676056338032</c:v>
                </c:pt>
                <c:pt idx="5">
                  <c:v>0.55672233993934106</c:v>
                </c:pt>
                <c:pt idx="6">
                  <c:v>0.51861662007442899</c:v>
                </c:pt>
                <c:pt idx="7">
                  <c:v>0.556852174996884</c:v>
                </c:pt>
                <c:pt idx="8">
                  <c:v>0.53959726896284288</c:v>
                </c:pt>
                <c:pt idx="9">
                  <c:v>0.52363205783372802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35993600"/>
        <c:axId val="136007680"/>
      </c:lineChart>
      <c:catAx>
        <c:axId val="1359936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007680"/>
        <c:crosses val="autoZero"/>
        <c:auto val="1"/>
        <c:lblAlgn val="ctr"/>
        <c:lblOffset val="100"/>
      </c:catAx>
      <c:valAx>
        <c:axId val="136007680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99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7.6680303186141816E-2"/>
          <c:h val="9.462184968814579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April Daily Performance % vs Budget 2010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floor>
      <c:spPr>
        <a:solidFill>
          <a:srgbClr val="000000"/>
        </a:solidFill>
        <a:ln w="3175">
          <a:solidFill>
            <a:srgbClr val="80808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610465116279216E-2"/>
          <c:y val="0.25217418072157399"/>
          <c:w val="0.95130813953489834"/>
          <c:h val="0.65217460531443439"/>
        </c:manualLayout>
      </c:layout>
      <c:bar3DChart>
        <c:barDir val="col"/>
        <c:grouping val="clustered"/>
        <c:ser>
          <c:idx val="0"/>
          <c:order val="0"/>
          <c:tx>
            <c:strRef>
              <c:f>'Apr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2.4466134157087501E-4"/>
                  <c:y val="0.27959551179307701"/>
                </c:manualLayout>
              </c:layout>
              <c:showSerName val="1"/>
            </c:dLbl>
            <c:dLbl>
              <c:idx val="1"/>
              <c:layout>
                <c:manualLayout>
                  <c:x val="-1.3897953950891698E-3"/>
                  <c:y val="0.16628431269673521"/>
                </c:manualLayout>
              </c:layout>
              <c:showSerName val="1"/>
            </c:dLbl>
            <c:dLbl>
              <c:idx val="2"/>
              <c:layout>
                <c:manualLayout>
                  <c:x val="1.1126447357162285E-3"/>
                  <c:y val="0.367020718441395"/>
                </c:manualLayout>
              </c:layout>
              <c:showSerName val="1"/>
            </c:dLbl>
            <c:dLbl>
              <c:idx val="3"/>
              <c:layout>
                <c:manualLayout>
                  <c:x val="-2.0980015103721052E-3"/>
                  <c:y val="0.340372532788139"/>
                </c:manualLayout>
              </c:layout>
              <c:showSerName val="1"/>
            </c:dLbl>
            <c:dLbl>
              <c:idx val="4"/>
              <c:layout>
                <c:manualLayout>
                  <c:x val="9.3952090611334744E-4"/>
                  <c:y val="5.2791824094769811E-2"/>
                </c:manualLayout>
              </c:layout>
              <c:showSerName val="1"/>
            </c:dLbl>
            <c:dLbl>
              <c:idx val="5"/>
              <c:layout>
                <c:manualLayout>
                  <c:x val="0"/>
                  <c:y val="-2.5583995680145567E-3"/>
                </c:manualLayout>
              </c:layout>
              <c:showSerName val="1"/>
            </c:dLbl>
            <c:dLbl>
              <c:idx val="6"/>
              <c:layout>
                <c:manualLayout>
                  <c:x val="-1.0249388308513781E-3"/>
                  <c:y val="0.63618419653892211"/>
                </c:manualLayout>
              </c:layout>
              <c:showSerName val="1"/>
            </c:dLbl>
            <c:dLbl>
              <c:idx val="7"/>
              <c:layout>
                <c:manualLayout>
                  <c:x val="-1.0627667689495502E-3"/>
                  <c:y val="0.32808073852730096"/>
                </c:manualLayout>
              </c:layout>
              <c:showSerName val="1"/>
            </c:dLbl>
            <c:dLbl>
              <c:idx val="8"/>
              <c:layout>
                <c:manualLayout>
                  <c:x val="-1.2134683933086598E-3"/>
                  <c:y val="0.33047156532407385"/>
                </c:manualLayout>
              </c:layout>
              <c:showSerName val="1"/>
            </c:dLbl>
            <c:dLbl>
              <c:idx val="9"/>
              <c:layout>
                <c:manualLayout>
                  <c:x val="8.8697362919891388E-4"/>
                  <c:y val="0.12826106786148644"/>
                </c:manualLayout>
              </c:layout>
              <c:showSerName val="1"/>
            </c:dLbl>
            <c:dLbl>
              <c:idx val="10"/>
              <c:layout>
                <c:manualLayout>
                  <c:x val="-1.0501828782517359E-3"/>
                  <c:y val="0.70552023115441065"/>
                </c:manualLayout>
              </c:layout>
              <c:showSerName val="1"/>
            </c:dLbl>
            <c:dLbl>
              <c:idx val="11"/>
              <c:layout>
                <c:manualLayout>
                  <c:x val="-2.01220225561276E-3"/>
                  <c:y val="0.24799924283629829"/>
                </c:manualLayout>
              </c:layout>
              <c:showSerName val="1"/>
            </c:dLbl>
            <c:dLbl>
              <c:idx val="12"/>
              <c:layout>
                <c:manualLayout>
                  <c:x val="-1.0879345503455504E-3"/>
                  <c:y val="0.33170584280302401"/>
                </c:manualLayout>
              </c:layout>
              <c:showSerName val="1"/>
            </c:dLbl>
            <c:dLbl>
              <c:idx val="13"/>
              <c:layout>
                <c:manualLayout>
                  <c:x val="1.0997557810013988E-4"/>
                  <c:y val="0.24738153256615641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0.25259366300589908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24797066630637404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270013915626995"/>
                </c:manualLayout>
              </c:layout>
              <c:showSerName val="1"/>
            </c:dLbl>
            <c:dLbl>
              <c:idx val="17"/>
              <c:layout>
                <c:manualLayout>
                  <c:x val="-2.9031017482636268E-3"/>
                  <c:y val="0.10907067067286802"/>
                </c:manualLayout>
              </c:layout>
              <c:showSerName val="1"/>
            </c:dLbl>
            <c:dLbl>
              <c:idx val="18"/>
              <c:layout>
                <c:manualLayout>
                  <c:x val="9.691291908732753E-4"/>
                  <c:y val="0.15958094462121145"/>
                </c:manualLayout>
              </c:layout>
              <c:showSerName val="1"/>
            </c:dLbl>
            <c:dLbl>
              <c:idx val="19"/>
              <c:layout>
                <c:manualLayout>
                  <c:x val="-1.0161362528454398E-3"/>
                  <c:y val="0.2373196220856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10'!$F$15:$Y$15</c:f>
              <c:numCache>
                <c:formatCode>0.0%</c:formatCode>
                <c:ptCount val="20"/>
                <c:pt idx="0">
                  <c:v>1.0557692307692308</c:v>
                </c:pt>
                <c:pt idx="1">
                  <c:v>0.60723076923076924</c:v>
                </c:pt>
                <c:pt idx="2">
                  <c:v>1.3928461538461538</c:v>
                </c:pt>
                <c:pt idx="3">
                  <c:v>1.3213076923076923</c:v>
                </c:pt>
                <c:pt idx="4">
                  <c:v>0.2073076923076923</c:v>
                </c:pt>
                <c:pt idx="5">
                  <c:v>0</c:v>
                </c:pt>
                <c:pt idx="6">
                  <c:v>2.5289999999999999</c:v>
                </c:pt>
                <c:pt idx="7">
                  <c:v>1.357</c:v>
                </c:pt>
                <c:pt idx="8">
                  <c:v>1.2903846153846155</c:v>
                </c:pt>
                <c:pt idx="9">
                  <c:v>0.47130769230769232</c:v>
                </c:pt>
                <c:pt idx="10">
                  <c:v>2.8113846153846156</c:v>
                </c:pt>
                <c:pt idx="11">
                  <c:v>0.97607692307692306</c:v>
                </c:pt>
                <c:pt idx="12">
                  <c:v>1.2882307692307693</c:v>
                </c:pt>
                <c:pt idx="13">
                  <c:v>0.99330769230769234</c:v>
                </c:pt>
                <c:pt idx="14">
                  <c:v>0.98453846153846158</c:v>
                </c:pt>
                <c:pt idx="15">
                  <c:v>0.9643846153846154</c:v>
                </c:pt>
                <c:pt idx="16">
                  <c:v>1.0642307692307693</c:v>
                </c:pt>
                <c:pt idx="17">
                  <c:v>0.41461538461538461</c:v>
                </c:pt>
                <c:pt idx="18">
                  <c:v>0.60030769230769232</c:v>
                </c:pt>
                <c:pt idx="19">
                  <c:v>0.94807692307692304</c:v>
                </c:pt>
              </c:numCache>
            </c:numRef>
          </c:val>
        </c:ser>
        <c:ser>
          <c:idx val="1"/>
          <c:order val="1"/>
          <c:tx>
            <c:strRef>
              <c:f>'Apr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2031721776740486E-5"/>
                  <c:y val="8.9733733038972238E-2"/>
                </c:manualLayout>
              </c:layout>
              <c:showSerName val="1"/>
            </c:dLbl>
            <c:dLbl>
              <c:idx val="1"/>
              <c:layout>
                <c:manualLayout>
                  <c:x val="-9.570620870864476E-4"/>
                  <c:y val="5.9574977841759122E-2"/>
                </c:manualLayout>
              </c:layout>
              <c:showSerName val="1"/>
            </c:dLbl>
            <c:dLbl>
              <c:idx val="2"/>
              <c:layout>
                <c:manualLayout>
                  <c:x val="-8.6683940408184838E-4"/>
                  <c:y val="0.149216122923887"/>
                </c:manualLayout>
              </c:layout>
              <c:showSerName val="1"/>
            </c:dLbl>
            <c:dLbl>
              <c:idx val="3"/>
              <c:layout>
                <c:manualLayout>
                  <c:x val="-1.1783097653586537E-4"/>
                  <c:y val="7.8595516136709329E-2"/>
                </c:manualLayout>
              </c:layout>
              <c:showSerName val="1"/>
            </c:dLbl>
            <c:dLbl>
              <c:idx val="4"/>
              <c:layout>
                <c:manualLayout>
                  <c:x val="8.3686686441933203E-4"/>
                  <c:y val="1.7281027767471209E-2"/>
                </c:manualLayout>
              </c:layout>
              <c:showSerName val="1"/>
            </c:dLbl>
            <c:dLbl>
              <c:idx val="5"/>
              <c:layout>
                <c:manualLayout>
                  <c:x val="-1.00388941368374E-3"/>
                  <c:y val="8.6722452625257226E-2"/>
                </c:manualLayout>
              </c:layout>
              <c:showSerName val="1"/>
            </c:dLbl>
            <c:dLbl>
              <c:idx val="6"/>
              <c:layout>
                <c:manualLayout>
                  <c:x val="9.6850198772103959E-4"/>
                  <c:y val="7.5175019814965799E-2"/>
                </c:manualLayout>
              </c:layout>
              <c:showSerName val="1"/>
            </c:dLbl>
            <c:dLbl>
              <c:idx val="7"/>
              <c:layout>
                <c:manualLayout>
                  <c:x val="-9.6857825372527809E-4"/>
                  <c:y val="0.10909467495799029"/>
                </c:manualLayout>
              </c:layout>
              <c:showSerName val="1"/>
            </c:dLbl>
            <c:dLbl>
              <c:idx val="8"/>
              <c:layout>
                <c:manualLayout>
                  <c:x val="-1.9371565074503827E-3"/>
                  <c:y val="0.15955191086684478"/>
                </c:manualLayout>
              </c:layout>
              <c:showSerName val="1"/>
            </c:dLbl>
            <c:dLbl>
              <c:idx val="9"/>
              <c:layout>
                <c:manualLayout>
                  <c:x val="8.0529273866798028E-4"/>
                  <c:y val="0.18475823912796899"/>
                </c:manualLayout>
              </c:layout>
              <c:showSerName val="1"/>
            </c:dLbl>
            <c:dLbl>
              <c:idx val="10"/>
              <c:layout>
                <c:manualLayout>
                  <c:x val="8.1902061942943597E-4"/>
                  <c:y val="0.19157728499647644"/>
                </c:manualLayout>
              </c:layout>
              <c:showSerName val="1"/>
            </c:dLbl>
            <c:dLbl>
              <c:idx val="11"/>
              <c:layout>
                <c:manualLayout>
                  <c:x val="-9.6865451972925865E-4"/>
                  <c:y val="0.15678227358988178"/>
                </c:manualLayout>
              </c:layout>
              <c:showSerName val="1"/>
            </c:dLbl>
            <c:dLbl>
              <c:idx val="12"/>
              <c:layout>
                <c:manualLayout>
                  <c:x val="-1.0363024654817927E-3"/>
                  <c:y val="9.0349614411161489E-2"/>
                </c:manualLayout>
              </c:layout>
              <c:showSerName val="1"/>
            </c:dLbl>
            <c:dLbl>
              <c:idx val="13"/>
              <c:layout>
                <c:manualLayout>
                  <c:x val="1.1699205048933264E-4"/>
                  <c:y val="0.20145287650206944"/>
                </c:manualLayout>
              </c:layout>
              <c:showSerName val="1"/>
            </c:dLbl>
            <c:dLbl>
              <c:idx val="14"/>
              <c:layout>
                <c:manualLayout>
                  <c:x val="1.9371565074503736E-3"/>
                  <c:y val="0.16549239990043293"/>
                </c:manualLayout>
              </c:layout>
              <c:showSerName val="1"/>
            </c:dLbl>
            <c:dLbl>
              <c:idx val="15"/>
              <c:layout>
                <c:manualLayout>
                  <c:x val="-9.6855490647190909E-4"/>
                  <c:y val="0.18871940339523999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17420252621096488"/>
                </c:manualLayout>
              </c:layout>
              <c:showSerName val="1"/>
            </c:dLbl>
            <c:dLbl>
              <c:idx val="17"/>
              <c:layout>
                <c:manualLayout>
                  <c:x val="0"/>
                  <c:y val="0.24388353669535101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18291265252152836"/>
                </c:manualLayout>
              </c:layout>
              <c:showSerName val="1"/>
            </c:dLbl>
            <c:dLbl>
              <c:idx val="19"/>
              <c:layout>
                <c:manualLayout>
                  <c:x val="9.4425233132805248E-4"/>
                  <c:y val="0.195332241024055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10'!$F$16:$Y$16</c:f>
              <c:numCache>
                <c:formatCode>0.0%</c:formatCode>
                <c:ptCount val="20"/>
                <c:pt idx="0">
                  <c:v>0.35630769230769233</c:v>
                </c:pt>
                <c:pt idx="1">
                  <c:v>0.2153846153846154</c:v>
                </c:pt>
                <c:pt idx="2">
                  <c:v>0.53476923076923077</c:v>
                </c:pt>
                <c:pt idx="3">
                  <c:v>0.29507692307692313</c:v>
                </c:pt>
                <c:pt idx="4">
                  <c:v>0</c:v>
                </c:pt>
                <c:pt idx="5">
                  <c:v>0.30676923076923079</c:v>
                </c:pt>
                <c:pt idx="6">
                  <c:v>0.29507692307692313</c:v>
                </c:pt>
                <c:pt idx="7">
                  <c:v>0.43046153846153845</c:v>
                </c:pt>
                <c:pt idx="8">
                  <c:v>0.62676923076923075</c:v>
                </c:pt>
                <c:pt idx="9">
                  <c:v>0.74092307692307691</c:v>
                </c:pt>
                <c:pt idx="10">
                  <c:v>0.80492307692307696</c:v>
                </c:pt>
                <c:pt idx="11">
                  <c:v>0.62676923076923075</c:v>
                </c:pt>
                <c:pt idx="12">
                  <c:v>0.35046153846153849</c:v>
                </c:pt>
                <c:pt idx="13">
                  <c:v>0.70399999999999996</c:v>
                </c:pt>
                <c:pt idx="14">
                  <c:v>0.65815384615384609</c:v>
                </c:pt>
                <c:pt idx="15">
                  <c:v>0.76215384615384618</c:v>
                </c:pt>
                <c:pt idx="16">
                  <c:v>0.8298461538461539</c:v>
                </c:pt>
                <c:pt idx="17">
                  <c:v>0.96215384615384614</c:v>
                </c:pt>
                <c:pt idx="18">
                  <c:v>0.67267692307692306</c:v>
                </c:pt>
                <c:pt idx="19">
                  <c:v>0.75446153846153852</c:v>
                </c:pt>
              </c:numCache>
            </c:numRef>
          </c:val>
        </c:ser>
        <c:ser>
          <c:idx val="2"/>
          <c:order val="2"/>
          <c:tx>
            <c:strRef>
              <c:f>'Apr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1607685843856483E-3"/>
                  <c:y val="1.1958477616234503E-2"/>
                </c:manualLayout>
              </c:layout>
              <c:showSerName val="1"/>
            </c:dLbl>
            <c:dLbl>
              <c:idx val="1"/>
              <c:layout>
                <c:manualLayout>
                  <c:x val="-3.4708658525222052E-4"/>
                  <c:y val="0.17825102035357587"/>
                </c:manualLayout>
              </c:layout>
              <c:showSerName val="1"/>
            </c:dLbl>
            <c:dLbl>
              <c:idx val="2"/>
              <c:layout>
                <c:manualLayout>
                  <c:x val="-1.0594873307676561E-3"/>
                  <c:y val="0.21398585667521541"/>
                </c:manualLayout>
              </c:layout>
              <c:showSerName val="1"/>
            </c:dLbl>
            <c:dLbl>
              <c:idx val="3"/>
              <c:layout>
                <c:manualLayout>
                  <c:x val="5.7046971164288063E-5"/>
                  <c:y val="0.37343992150370231"/>
                </c:manualLayout>
              </c:layout>
              <c:showSerName val="1"/>
            </c:dLbl>
            <c:dLbl>
              <c:idx val="4"/>
              <c:layout>
                <c:manualLayout>
                  <c:x val="8.0552153668068764E-4"/>
                  <c:y val="3.2483513056848616E-3"/>
                </c:manualLayout>
              </c:layout>
              <c:showSerName val="1"/>
            </c:dLbl>
            <c:dLbl>
              <c:idx val="5"/>
              <c:layout>
                <c:manualLayout>
                  <c:x val="-2.1507013192952016E-5"/>
                  <c:y val="0.13037733135903801"/>
                </c:manualLayout>
              </c:layout>
              <c:showSerName val="1"/>
            </c:dLbl>
            <c:dLbl>
              <c:idx val="6"/>
              <c:layout>
                <c:manualLayout>
                  <c:x val="-2.9141240216409576E-4"/>
                  <c:y val="0.39176456414280608"/>
                </c:manualLayout>
              </c:layout>
              <c:showSerName val="1"/>
            </c:dLbl>
            <c:dLbl>
              <c:idx val="7"/>
              <c:layout>
                <c:manualLayout>
                  <c:x val="7.6487175642590724E-4"/>
                  <c:y val="0.15751314691834944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47905671846791431"/>
                </c:manualLayout>
              </c:layout>
              <c:showSerName val="1"/>
            </c:dLbl>
            <c:dLbl>
              <c:idx val="9"/>
              <c:layout>
                <c:manualLayout>
                  <c:x val="-9.6857825372527635E-4"/>
                  <c:y val="0.23227003494795301"/>
                </c:manualLayout>
              </c:layout>
              <c:showSerName val="1"/>
            </c:dLbl>
            <c:dLbl>
              <c:idx val="10"/>
              <c:layout>
                <c:manualLayout>
                  <c:x val="9.3456361583866047E-4"/>
                  <c:y val="0.40356872849759001"/>
                </c:manualLayout>
              </c:layout>
              <c:showSerName val="1"/>
            </c:dLbl>
            <c:dLbl>
              <c:idx val="11"/>
              <c:layout>
                <c:manualLayout>
                  <c:x val="-1.0436240018877403E-3"/>
                  <c:y val="0.19450969418770545"/>
                </c:manualLayout>
              </c:layout>
              <c:showSerName val="1"/>
            </c:dLbl>
            <c:dLbl>
              <c:idx val="12"/>
              <c:layout>
                <c:manualLayout>
                  <c:x val="8.7629638860641066E-4"/>
                  <c:y val="0.22355990863740521"/>
                </c:manualLayout>
              </c:layout>
              <c:showSerName val="1"/>
            </c:dLbl>
            <c:dLbl>
              <c:idx val="13"/>
              <c:layout>
                <c:manualLayout>
                  <c:x val="6.6122625667689819E-5"/>
                  <c:y val="0.27360335639345001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68E-3"/>
                  <c:y val="0.12230160401205302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11317654648750142"/>
                </c:manualLayout>
              </c:layout>
              <c:showSerName val="1"/>
            </c:dLbl>
            <c:dLbl>
              <c:idx val="16"/>
              <c:layout>
                <c:manualLayout>
                  <c:x val="-3.7192871102164271E-5"/>
                  <c:y val="9.0583027507310423E-3"/>
                </c:manualLayout>
              </c:layout>
              <c:showSerName val="1"/>
            </c:dLbl>
            <c:dLbl>
              <c:idx val="17"/>
              <c:layout>
                <c:manualLayout>
                  <c:x val="3.117189401800322E-5"/>
                  <c:y val="0.33098479980090584"/>
                </c:manualLayout>
              </c:layout>
              <c:showSerName val="1"/>
            </c:dLbl>
            <c:dLbl>
              <c:idx val="18"/>
              <c:layout>
                <c:manualLayout>
                  <c:x val="-9.6840240215647223E-4"/>
                  <c:y val="0.52551095406974357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106972467542206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10'!$F$17:$Y$17</c:f>
              <c:numCache>
                <c:formatCode>0.0%</c:formatCode>
                <c:ptCount val="20"/>
                <c:pt idx="0">
                  <c:v>0</c:v>
                </c:pt>
                <c:pt idx="1">
                  <c:v>0.66318181818181821</c:v>
                </c:pt>
                <c:pt idx="2">
                  <c:v>0.81727272727272726</c:v>
                </c:pt>
                <c:pt idx="3">
                  <c:v>1.4531818181818181</c:v>
                </c:pt>
                <c:pt idx="4">
                  <c:v>0</c:v>
                </c:pt>
                <c:pt idx="5">
                  <c:v>0.48383838383838385</c:v>
                </c:pt>
                <c:pt idx="6">
                  <c:v>1.5527272727272727</c:v>
                </c:pt>
                <c:pt idx="7">
                  <c:v>0.60363636363636364</c:v>
                </c:pt>
                <c:pt idx="8">
                  <c:v>1.8936363636363636</c:v>
                </c:pt>
                <c:pt idx="9">
                  <c:v>0.9259090909090909</c:v>
                </c:pt>
                <c:pt idx="10">
                  <c:v>1.6077272727272729</c:v>
                </c:pt>
                <c:pt idx="11">
                  <c:v>0.78590909090909089</c:v>
                </c:pt>
                <c:pt idx="12">
                  <c:v>0.88090909090909086</c:v>
                </c:pt>
                <c:pt idx="13">
                  <c:v>1.0674545454545457</c:v>
                </c:pt>
                <c:pt idx="14">
                  <c:v>0.49545454545454548</c:v>
                </c:pt>
                <c:pt idx="15">
                  <c:v>0.42681818181818176</c:v>
                </c:pt>
                <c:pt idx="16">
                  <c:v>0</c:v>
                </c:pt>
                <c:pt idx="17">
                  <c:v>1.2990909090909091</c:v>
                </c:pt>
                <c:pt idx="18">
                  <c:v>2.0586363636363636</c:v>
                </c:pt>
                <c:pt idx="19">
                  <c:v>0.39050505050505047</c:v>
                </c:pt>
              </c:numCache>
            </c:numRef>
          </c:val>
        </c:ser>
        <c:ser>
          <c:idx val="3"/>
          <c:order val="3"/>
          <c:tx>
            <c:strRef>
              <c:f>'Apr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17375E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1.0004574434934901E-3"/>
                  <c:y val="0.32074640067175408"/>
                </c:manualLayout>
              </c:layout>
              <c:showSerName val="1"/>
            </c:dLbl>
            <c:dLbl>
              <c:idx val="1"/>
              <c:layout>
                <c:manualLayout>
                  <c:x val="5.2676929121884023E-4"/>
                  <c:y val="0.35077941913747918"/>
                </c:manualLayout>
              </c:layout>
              <c:showSerName val="1"/>
            </c:dLbl>
            <c:dLbl>
              <c:idx val="2"/>
              <c:layout>
                <c:manualLayout>
                  <c:x val="9.685782537252808E-4"/>
                  <c:y val="0.40356689959971814"/>
                </c:manualLayout>
              </c:layout>
              <c:showSerName val="1"/>
            </c:dLbl>
            <c:dLbl>
              <c:idx val="3"/>
              <c:layout>
                <c:manualLayout>
                  <c:x val="9.0756545034106907E-6"/>
                  <c:y val="0.43833036251731178"/>
                </c:manualLayout>
              </c:layout>
              <c:showSerName val="1"/>
            </c:dLbl>
            <c:dLbl>
              <c:idx val="4"/>
              <c:layout>
                <c:manualLayout>
                  <c:x val="0"/>
                  <c:y val="6.1517267425339524E-3"/>
                </c:manualLayout>
              </c:layout>
              <c:showSerName val="1"/>
            </c:dLbl>
            <c:dLbl>
              <c:idx val="5"/>
              <c:layout>
                <c:manualLayout>
                  <c:x val="1.8351888597943845E-3"/>
                  <c:y val="3.2483513056848616E-3"/>
                </c:manualLayout>
              </c:layout>
              <c:showSerName val="1"/>
            </c:dLbl>
            <c:dLbl>
              <c:idx val="6"/>
              <c:layout>
                <c:manualLayout>
                  <c:x val="9.6857825372527939E-4"/>
                  <c:y val="0.33829833394261838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23326769875948244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46730970717291226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18541412764200293"/>
                </c:manualLayout>
              </c:layout>
              <c:showSerName val="1"/>
            </c:dLbl>
            <c:dLbl>
              <c:idx val="10"/>
              <c:layout>
                <c:manualLayout>
                  <c:x val="2.0186848659726692E-3"/>
                  <c:y val="0.10809998310555602"/>
                </c:manualLayout>
              </c:layout>
              <c:showSerName val="1"/>
            </c:dLbl>
            <c:dLbl>
              <c:idx val="11"/>
              <c:layout>
                <c:manualLayout>
                  <c:x val="-7.626600415931E-8"/>
                  <c:y val="0.27203759116770332"/>
                </c:manualLayout>
              </c:layout>
              <c:showSerName val="1"/>
            </c:dLbl>
            <c:dLbl>
              <c:idx val="12"/>
              <c:layout>
                <c:manualLayout>
                  <c:x val="1.9370039754420078E-3"/>
                  <c:y val="0.28992489859332632"/>
                </c:manualLayout>
              </c:layout>
              <c:showSerName val="1"/>
            </c:dLbl>
            <c:dLbl>
              <c:idx val="13"/>
              <c:layout>
                <c:manualLayout>
                  <c:x val="6.6122625667689819E-5"/>
                  <c:y val="0.23853423891214878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68E-3"/>
                  <c:y val="0.37109596021600288"/>
                </c:manualLayout>
              </c:layout>
              <c:showSerName val="1"/>
            </c:dLbl>
            <c:dLbl>
              <c:idx val="15"/>
              <c:layout>
                <c:manualLayout>
                  <c:x val="9.6840240215647223E-4"/>
                  <c:y val="0.26164876518530561"/>
                </c:manualLayout>
              </c:layout>
              <c:showSerName val="1"/>
            </c:dLbl>
            <c:dLbl>
              <c:idx val="16"/>
              <c:layout>
                <c:manualLayout>
                  <c:x val="1.0108027493468741E-3"/>
                  <c:y val="0.36374744840164575"/>
                </c:manualLayout>
              </c:layout>
              <c:showSerName val="1"/>
            </c:dLbl>
            <c:dLbl>
              <c:idx val="17"/>
              <c:layout>
                <c:manualLayout>
                  <c:x val="1.9365443890058797E-3"/>
                  <c:y val="0.26633257274041638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19521221959851601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2654732193335593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10'!$F$18:$Y$18</c:f>
              <c:numCache>
                <c:formatCode>0.0%</c:formatCode>
                <c:ptCount val="20"/>
                <c:pt idx="0">
                  <c:v>1.1901276595744681</c:v>
                </c:pt>
                <c:pt idx="1">
                  <c:v>1.3069787234042554</c:v>
                </c:pt>
                <c:pt idx="2">
                  <c:v>1.523659574468085</c:v>
                </c:pt>
                <c:pt idx="3">
                  <c:v>1.6702127659574466</c:v>
                </c:pt>
                <c:pt idx="4">
                  <c:v>0</c:v>
                </c:pt>
                <c:pt idx="5">
                  <c:v>0</c:v>
                </c:pt>
                <c:pt idx="6">
                  <c:v>1.2759999999999998</c:v>
                </c:pt>
                <c:pt idx="7">
                  <c:v>0.91182978723404251</c:v>
                </c:pt>
                <c:pt idx="8">
                  <c:v>1.7959999999999998</c:v>
                </c:pt>
                <c:pt idx="9">
                  <c:v>0.70876595744680859</c:v>
                </c:pt>
                <c:pt idx="10">
                  <c:v>0.38536170212765952</c:v>
                </c:pt>
                <c:pt idx="11">
                  <c:v>1.0014468085106381</c:v>
                </c:pt>
                <c:pt idx="12">
                  <c:v>1.0561702127659574</c:v>
                </c:pt>
                <c:pt idx="13">
                  <c:v>0.89285106382978707</c:v>
                </c:pt>
                <c:pt idx="14">
                  <c:v>1.4199148936170212</c:v>
                </c:pt>
                <c:pt idx="15">
                  <c:v>0.99685106382978717</c:v>
                </c:pt>
                <c:pt idx="16">
                  <c:v>1.39131914893617</c:v>
                </c:pt>
                <c:pt idx="17">
                  <c:v>0.99565957446808517</c:v>
                </c:pt>
                <c:pt idx="18">
                  <c:v>0.7017021276595744</c:v>
                </c:pt>
                <c:pt idx="19">
                  <c:v>1.0309787234042553</c:v>
                </c:pt>
              </c:numCache>
            </c:numRef>
          </c:val>
        </c:ser>
        <c:ser>
          <c:idx val="4"/>
          <c:order val="4"/>
          <c:tx>
            <c:strRef>
              <c:f>'Apr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2.1294993701190699E-3"/>
                  <c:y val="0.18982748691824144"/>
                </c:manualLayout>
              </c:layout>
              <c:showSerName val="1"/>
            </c:dLbl>
            <c:dLbl>
              <c:idx val="1"/>
              <c:layout>
                <c:manualLayout>
                  <c:x val="1.9219033066041321E-4"/>
                  <c:y val="0.32139520220638201"/>
                </c:manualLayout>
              </c:layout>
              <c:showSerName val="1"/>
            </c:dLbl>
            <c:dLbl>
              <c:idx val="2"/>
              <c:layout>
                <c:manualLayout>
                  <c:x val="2.0594871782356411E-3"/>
                  <c:y val="0.28125340775118879"/>
                </c:manualLayout>
              </c:layout>
              <c:showSerName val="1"/>
            </c:dLbl>
            <c:dLbl>
              <c:idx val="3"/>
              <c:layout>
                <c:manualLayout>
                  <c:x val="3.0565889175428809E-3"/>
                  <c:y val="0.49495692831110238"/>
                </c:manualLayout>
              </c:layout>
              <c:showSerName val="1"/>
            </c:dLbl>
            <c:dLbl>
              <c:idx val="4"/>
              <c:layout>
                <c:manualLayout>
                  <c:x val="2.0289045105392812E-3"/>
                  <c:y val="1.410034568456690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SerName val="1"/>
            </c:dLbl>
            <c:dLbl>
              <c:idx val="5"/>
              <c:layout>
                <c:manualLayout>
                  <c:x val="3.1702252638460852E-3"/>
                  <c:y val="0.18090726595994044"/>
                </c:manualLayout>
              </c:layout>
              <c:showSerName val="1"/>
            </c:dLbl>
            <c:dLbl>
              <c:idx val="6"/>
              <c:layout>
                <c:manualLayout>
                  <c:x val="2.1266012619585452E-3"/>
                  <c:y val="0.26853250831748532"/>
                </c:manualLayout>
              </c:layout>
              <c:showSerName val="1"/>
            </c:dLbl>
            <c:dLbl>
              <c:idx val="7"/>
              <c:layout>
                <c:manualLayout>
                  <c:x val="1.1179833560123005E-3"/>
                  <c:y val="0.21432831780941924"/>
                </c:manualLayout>
              </c:layout>
              <c:showSerName val="1"/>
            </c:dLbl>
            <c:dLbl>
              <c:idx val="8"/>
              <c:layout>
                <c:manualLayout>
                  <c:x val="2.0383614950638313E-3"/>
                  <c:y val="0.30221120616046032"/>
                </c:manualLayout>
              </c:layout>
              <c:showSerName val="1"/>
            </c:dLbl>
            <c:dLbl>
              <c:idx val="9"/>
              <c:layout>
                <c:manualLayout>
                  <c:x val="2.0186848659726492E-3"/>
                  <c:y val="0.18061807147746145"/>
                </c:manualLayout>
              </c:layout>
              <c:showSerName val="1"/>
            </c:dLbl>
            <c:dLbl>
              <c:idx val="10"/>
              <c:layout>
                <c:manualLayout>
                  <c:x val="3.1505486347546308E-3"/>
                  <c:y val="0.31555438810909392"/>
                </c:manualLayout>
              </c:layout>
              <c:showSerName val="1"/>
            </c:dLbl>
            <c:dLbl>
              <c:idx val="11"/>
              <c:layout>
                <c:manualLayout>
                  <c:x val="2.1370497045378805E-3"/>
                  <c:y val="0.20890929329328473"/>
                </c:manualLayout>
              </c:layout>
              <c:showSerName val="1"/>
            </c:dLbl>
            <c:dLbl>
              <c:idx val="12"/>
              <c:layout>
                <c:manualLayout>
                  <c:x val="2.9895510998245011E-3"/>
                  <c:y val="0.22251149290879121"/>
                </c:manualLayout>
              </c:layout>
              <c:showSerName val="1"/>
            </c:dLbl>
            <c:dLbl>
              <c:idx val="13"/>
              <c:layout>
                <c:manualLayout>
                  <c:x val="2.0999844264819652E-3"/>
                  <c:y val="0.22879764364794145"/>
                </c:manualLayout>
              </c:layout>
              <c:showSerName val="1"/>
            </c:dLbl>
            <c:dLbl>
              <c:idx val="14"/>
              <c:layout>
                <c:manualLayout>
                  <c:x val="1.989017390327006E-3"/>
                  <c:y val="0.24678691213221723"/>
                </c:manualLayout>
              </c:layout>
              <c:showSerName val="1"/>
            </c:dLbl>
            <c:dLbl>
              <c:idx val="15"/>
              <c:layout>
                <c:manualLayout>
                  <c:x val="3.0047925243605212E-3"/>
                  <c:y val="0.21427893756578278"/>
                </c:manualLayout>
              </c:layout>
              <c:showSerName val="1"/>
            </c:dLbl>
            <c:dLbl>
              <c:idx val="16"/>
              <c:layout>
                <c:manualLayout>
                  <c:x val="1.9783863689959102E-3"/>
                  <c:y val="0.23428616628477"/>
                </c:manualLayout>
              </c:layout>
              <c:showSerName val="1"/>
            </c:dLbl>
            <c:dLbl>
              <c:idx val="17"/>
              <c:layout>
                <c:manualLayout>
                  <c:x val="1.9989643919416321E-3"/>
                  <c:y val="0.23807655720941287"/>
                </c:manualLayout>
              </c:layout>
              <c:showSerName val="1"/>
            </c:dLbl>
            <c:dLbl>
              <c:idx val="18"/>
              <c:layout>
                <c:manualLayout>
                  <c:x val="9.6893616726002527E-4"/>
                  <c:y val="0.23444322289305244"/>
                </c:manualLayout>
              </c:layout>
              <c:showSerName val="1"/>
            </c:dLbl>
            <c:dLbl>
              <c:idx val="19"/>
              <c:layout>
                <c:manualLayout>
                  <c:x val="1.0165173190254321E-3"/>
                  <c:y val="0.20820013812753019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10'!$F$19:$Y$19</c:f>
              <c:numCache>
                <c:formatCode>0.0%</c:formatCode>
                <c:ptCount val="20"/>
                <c:pt idx="0">
                  <c:v>0.72661348853132479</c:v>
                </c:pt>
                <c:pt idx="1">
                  <c:v>0.73853098254022587</c:v>
                </c:pt>
                <c:pt idx="2">
                  <c:v>1.0997761040739473</c:v>
                </c:pt>
                <c:pt idx="3">
                  <c:v>1.1732882574460801</c:v>
                </c:pt>
                <c:pt idx="4">
                  <c:v>4.6131461828141096E-2</c:v>
                </c:pt>
                <c:pt idx="5">
                  <c:v>0.16732283464566933</c:v>
                </c:pt>
                <c:pt idx="6">
                  <c:v>1.3288688805203694</c:v>
                </c:pt>
                <c:pt idx="7">
                  <c:v>0.82476823005819921</c:v>
                </c:pt>
                <c:pt idx="8">
                  <c:v>1.3748017802122561</c:v>
                </c:pt>
                <c:pt idx="9">
                  <c:v>0.70166757959602877</c:v>
                </c:pt>
                <c:pt idx="10">
                  <c:v>1.2490657309140705</c:v>
                </c:pt>
                <c:pt idx="11">
                  <c:v>0.85505614515576855</c:v>
                </c:pt>
                <c:pt idx="12">
                  <c:v>0.88181102362204711</c:v>
                </c:pt>
                <c:pt idx="13">
                  <c:v>0.89226360835330365</c:v>
                </c:pt>
                <c:pt idx="14">
                  <c:v>0.95448065730914067</c:v>
                </c:pt>
                <c:pt idx="15">
                  <c:v>0.8277442656624443</c:v>
                </c:pt>
                <c:pt idx="16">
                  <c:v>0.92657856898322488</c:v>
                </c:pt>
                <c:pt idx="17">
                  <c:v>0.90846217048955835</c:v>
                </c:pt>
                <c:pt idx="18">
                  <c:v>0.90101506333447456</c:v>
                </c:pt>
                <c:pt idx="19">
                  <c:v>0.82707908250599105</c:v>
                </c:pt>
              </c:numCache>
            </c:numRef>
          </c:val>
        </c:ser>
        <c:gapWidth val="75"/>
        <c:shape val="box"/>
        <c:axId val="110665088"/>
        <c:axId val="110539904"/>
        <c:axId val="0"/>
      </c:bar3DChart>
      <c:catAx>
        <c:axId val="1106650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10539904"/>
        <c:crosses val="autoZero"/>
        <c:auto val="1"/>
        <c:lblAlgn val="ctr"/>
        <c:lblOffset val="100"/>
      </c:catAx>
      <c:valAx>
        <c:axId val="1105399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66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April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8.3871143882610744E-2"/>
          <c:w val="0.93299344501092496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'Apr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'Apr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10'!$F$32:$Y$32</c:f>
              <c:numCache>
                <c:formatCode>0.0%</c:formatCode>
                <c:ptCount val="20"/>
                <c:pt idx="0">
                  <c:v>8.5501538461538455</c:v>
                </c:pt>
                <c:pt idx="1">
                  <c:v>4.5786923076923074</c:v>
                </c:pt>
                <c:pt idx="2">
                  <c:v>3.5095384615384617</c:v>
                </c:pt>
                <c:pt idx="3">
                  <c:v>2.9624807692307691</c:v>
                </c:pt>
                <c:pt idx="4">
                  <c:v>2.4114461538461538</c:v>
                </c:pt>
                <c:pt idx="5">
                  <c:v>2.4310384615384617</c:v>
                </c:pt>
                <c:pt idx="6">
                  <c:v>2.2776043956043956</c:v>
                </c:pt>
                <c:pt idx="7">
                  <c:v>2.1435865384615385</c:v>
                </c:pt>
                <c:pt idx="8">
                  <c:v>1.9406837606837608</c:v>
                </c:pt>
                <c:pt idx="9">
                  <c:v>1.7466153846153847</c:v>
                </c:pt>
                <c:pt idx="10">
                  <c:v>1.6832517482517484</c:v>
                </c:pt>
                <c:pt idx="11">
                  <c:v>1.6243205128205129</c:v>
                </c:pt>
                <c:pt idx="12">
                  <c:v>1.5819881656804733</c:v>
                </c:pt>
                <c:pt idx="13">
                  <c:v>1.4970604395604394</c:v>
                </c:pt>
                <c:pt idx="14">
                  <c:v>1.4372769230769231</c:v>
                </c:pt>
                <c:pt idx="15">
                  <c:v>1.3720096153846153</c:v>
                </c:pt>
                <c:pt idx="16">
                  <c:v>1.2913031674208144</c:v>
                </c:pt>
                <c:pt idx="17">
                  <c:v>1.2195641025641026</c:v>
                </c:pt>
                <c:pt idx="18">
                  <c:v>1.1553765182186233</c:v>
                </c:pt>
                <c:pt idx="19">
                  <c:v>1.0868961538461539</c:v>
                </c:pt>
              </c:numCache>
            </c:numRef>
          </c:val>
        </c:ser>
        <c:ser>
          <c:idx val="1"/>
          <c:order val="1"/>
          <c:tx>
            <c:strRef>
              <c:f>'Apr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'Apr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10'!$F$33:$Y$33</c:f>
              <c:numCache>
                <c:formatCode>0.0%</c:formatCode>
                <c:ptCount val="20"/>
                <c:pt idx="0">
                  <c:v>3.1295384615384614</c:v>
                </c:pt>
                <c:pt idx="1">
                  <c:v>1.7553846153846153</c:v>
                </c:pt>
                <c:pt idx="2">
                  <c:v>1.3485128205128203</c:v>
                </c:pt>
                <c:pt idx="3">
                  <c:v>1.079</c:v>
                </c:pt>
                <c:pt idx="4">
                  <c:v>0.86319999999999997</c:v>
                </c:pt>
                <c:pt idx="5">
                  <c:v>0.77456410256410246</c:v>
                </c:pt>
                <c:pt idx="6">
                  <c:v>0.7060659340659341</c:v>
                </c:pt>
                <c:pt idx="7">
                  <c:v>0.67161538461538461</c:v>
                </c:pt>
                <c:pt idx="8">
                  <c:v>0.66663247863247865</c:v>
                </c:pt>
                <c:pt idx="9">
                  <c:v>0.67406153846153849</c:v>
                </c:pt>
                <c:pt idx="10">
                  <c:v>0.68822377622377628</c:v>
                </c:pt>
                <c:pt idx="11">
                  <c:v>0.681025641025641</c:v>
                </c:pt>
                <c:pt idx="12">
                  <c:v>0.65559763313609476</c:v>
                </c:pt>
                <c:pt idx="13">
                  <c:v>0.659054945054945</c:v>
                </c:pt>
                <c:pt idx="14">
                  <c:v>0.65899487179487171</c:v>
                </c:pt>
                <c:pt idx="15">
                  <c:v>0.66544230769230772</c:v>
                </c:pt>
                <c:pt idx="16">
                  <c:v>0.67511312217194575</c:v>
                </c:pt>
                <c:pt idx="17">
                  <c:v>0.69105982905982899</c:v>
                </c:pt>
                <c:pt idx="18">
                  <c:v>0.69009230769230767</c:v>
                </c:pt>
                <c:pt idx="19">
                  <c:v>0.66154153846153851</c:v>
                </c:pt>
              </c:numCache>
            </c:numRef>
          </c:val>
        </c:ser>
        <c:ser>
          <c:idx val="2"/>
          <c:order val="2"/>
          <c:tx>
            <c:strRef>
              <c:f>'Apr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'Apr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10'!$F$34:$Y$34</c:f>
              <c:numCache>
                <c:formatCode>0.0%</c:formatCode>
                <c:ptCount val="20"/>
                <c:pt idx="0">
                  <c:v>4.0172727272727276</c:v>
                </c:pt>
                <c:pt idx="1">
                  <c:v>2.3402272727272728</c:v>
                </c:pt>
                <c:pt idx="2">
                  <c:v>1.8325757575757575</c:v>
                </c:pt>
                <c:pt idx="3">
                  <c:v>1.7377272727272728</c:v>
                </c:pt>
                <c:pt idx="4">
                  <c:v>1.3901818181818182</c:v>
                </c:pt>
                <c:pt idx="5">
                  <c:v>1.231060606060606</c:v>
                </c:pt>
                <c:pt idx="6">
                  <c:v>1.3120129870129871</c:v>
                </c:pt>
                <c:pt idx="7">
                  <c:v>1.223465909090909</c:v>
                </c:pt>
                <c:pt idx="8">
                  <c:v>1.2979292929292929</c:v>
                </c:pt>
                <c:pt idx="9">
                  <c:v>1.2607272727272727</c:v>
                </c:pt>
                <c:pt idx="10">
                  <c:v>1.2922727272727272</c:v>
                </c:pt>
                <c:pt idx="11">
                  <c:v>1.2500757575757575</c:v>
                </c:pt>
                <c:pt idx="12">
                  <c:v>1.2167832167832167</c:v>
                </c:pt>
                <c:pt idx="13">
                  <c:v>1.2108571428571431</c:v>
                </c:pt>
                <c:pt idx="14">
                  <c:v>1.1631696969696972</c:v>
                </c:pt>
                <c:pt idx="15">
                  <c:v>1.1018352272727272</c:v>
                </c:pt>
                <c:pt idx="16">
                  <c:v>1.0370213903743315</c:v>
                </c:pt>
                <c:pt idx="17">
                  <c:v>1.0515808080808082</c:v>
                </c:pt>
                <c:pt idx="18">
                  <c:v>1.0687464114832537</c:v>
                </c:pt>
                <c:pt idx="19">
                  <c:v>1.0470818181818182</c:v>
                </c:pt>
              </c:numCache>
            </c:numRef>
          </c:val>
        </c:ser>
        <c:ser>
          <c:idx val="3"/>
          <c:order val="3"/>
          <c:tx>
            <c:strRef>
              <c:f>'Apr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'Apr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10'!$F$35:$Y$35</c:f>
              <c:numCache>
                <c:formatCode>0.0%</c:formatCode>
                <c:ptCount val="20"/>
                <c:pt idx="0">
                  <c:v>7.7534468085106365</c:v>
                </c:pt>
                <c:pt idx="1">
                  <c:v>4.5830638297872346</c:v>
                </c:pt>
                <c:pt idx="2">
                  <c:v>3.5632624113475173</c:v>
                </c:pt>
                <c:pt idx="3">
                  <c:v>3.09</c:v>
                </c:pt>
                <c:pt idx="4">
                  <c:v>2.472</c:v>
                </c:pt>
                <c:pt idx="5">
                  <c:v>2.06</c:v>
                </c:pt>
                <c:pt idx="6">
                  <c:v>1.948</c:v>
                </c:pt>
                <c:pt idx="7">
                  <c:v>1.8184787234042552</c:v>
                </c:pt>
                <c:pt idx="8">
                  <c:v>1.8159810874704492</c:v>
                </c:pt>
                <c:pt idx="9">
                  <c:v>1.7052616502335236</c:v>
                </c:pt>
                <c:pt idx="10">
                  <c:v>1.5199767891682783</c:v>
                </c:pt>
                <c:pt idx="11">
                  <c:v>1.4767659574468084</c:v>
                </c:pt>
                <c:pt idx="12">
                  <c:v>1.3878887070376431</c:v>
                </c:pt>
                <c:pt idx="13">
                  <c:v>1.4046382978723404</c:v>
                </c:pt>
                <c:pt idx="14">
                  <c:v>1.3441078014184396</c:v>
                </c:pt>
                <c:pt idx="15">
                  <c:v>1.2941382978723404</c:v>
                </c:pt>
                <c:pt idx="16">
                  <c:v>1.2127659574468086</c:v>
                </c:pt>
                <c:pt idx="17">
                  <c:v>1.1593191489361703</c:v>
                </c:pt>
                <c:pt idx="18">
                  <c:v>1.116622620380739</c:v>
                </c:pt>
                <c:pt idx="19">
                  <c:v>1.0677148936170211</c:v>
                </c:pt>
              </c:numCache>
            </c:numRef>
          </c:val>
        </c:ser>
        <c:ser>
          <c:idx val="4"/>
          <c:order val="4"/>
          <c:tx>
            <c:strRef>
              <c:f>'Apr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'Apr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'Apr 10'!$F$36:$Y$36</c:f>
              <c:numCache>
                <c:formatCode>0.0%</c:formatCode>
                <c:ptCount val="20"/>
                <c:pt idx="0">
                  <c:v>6.0114159534406024</c:v>
                </c:pt>
                <c:pt idx="1">
                  <c:v>3.4154722697706261</c:v>
                </c:pt>
                <c:pt idx="2">
                  <c:v>2.6419702156795619</c:v>
                </c:pt>
                <c:pt idx="3">
                  <c:v>2.2730879835672715</c:v>
                </c:pt>
                <c:pt idx="4">
                  <c:v>1.8276966792194453</c:v>
                </c:pt>
                <c:pt idx="5">
                  <c:v>1.6445372589295904</c:v>
                </c:pt>
                <c:pt idx="6">
                  <c:v>1.5681156648897148</c:v>
                </c:pt>
                <c:pt idx="7">
                  <c:v>1.4709820694967477</c:v>
                </c:pt>
                <c:pt idx="8">
                  <c:v>1.4362396819962722</c:v>
                </c:pt>
                <c:pt idx="9">
                  <c:v>1.352295309825402</c:v>
                </c:pt>
                <c:pt idx="10">
                  <c:v>1.2863636052410445</c:v>
                </c:pt>
                <c:pt idx="11">
                  <c:v>1.2498436037886569</c:v>
                </c:pt>
                <c:pt idx="12">
                  <c:v>1.1983922787243568</c:v>
                </c:pt>
                <c:pt idx="13">
                  <c:v>1.1849759377903848</c:v>
                </c:pt>
                <c:pt idx="14">
                  <c:v>1.1436084217733653</c:v>
                </c:pt>
                <c:pt idx="15">
                  <c:v>1.1040016475522081</c:v>
                </c:pt>
                <c:pt idx="16">
                  <c:v>1.0509079283887468</c:v>
                </c:pt>
                <c:pt idx="17">
                  <c:v>1.0242174864011564</c:v>
                </c:pt>
                <c:pt idx="18">
                  <c:v>0.99849027910412791</c:v>
                </c:pt>
                <c:pt idx="19">
                  <c:v>0.95550626497774738</c:v>
                </c:pt>
              </c:numCache>
            </c:numRef>
          </c:val>
        </c:ser>
        <c:marker val="1"/>
        <c:axId val="110747008"/>
        <c:axId val="110756992"/>
      </c:lineChart>
      <c:catAx>
        <c:axId val="1107470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756992"/>
        <c:crosses val="autoZero"/>
        <c:auto val="1"/>
        <c:lblAlgn val="ctr"/>
        <c:lblOffset val="100"/>
      </c:catAx>
      <c:valAx>
        <c:axId val="11075699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747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11944646758901"/>
          <c:y val="0.9225826771653535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May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479573910057696E-2"/>
          <c:y val="0.14130449781812823"/>
          <c:w val="0.85891874180397199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'May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'May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10'!$F$40:$Y$40</c:f>
              <c:numCache>
                <c:formatCode>0</c:formatCode>
                <c:ptCount val="20"/>
                <c:pt idx="0">
                  <c:v>1705380</c:v>
                </c:pt>
                <c:pt idx="1">
                  <c:v>907490</c:v>
                </c:pt>
                <c:pt idx="2">
                  <c:v>675586.66666666674</c:v>
                </c:pt>
                <c:pt idx="3">
                  <c:v>629240</c:v>
                </c:pt>
                <c:pt idx="4">
                  <c:v>534968</c:v>
                </c:pt>
                <c:pt idx="5">
                  <c:v>455090</c:v>
                </c:pt>
                <c:pt idx="6">
                  <c:v>412631.42857142852</c:v>
                </c:pt>
                <c:pt idx="7">
                  <c:v>423185</c:v>
                </c:pt>
                <c:pt idx="8">
                  <c:v>428780</c:v>
                </c:pt>
                <c:pt idx="9">
                  <c:v>417182</c:v>
                </c:pt>
                <c:pt idx="10">
                  <c:v>394294.54545454541</c:v>
                </c:pt>
                <c:pt idx="11">
                  <c:v>379853.33333333337</c:v>
                </c:pt>
                <c:pt idx="12">
                  <c:v>371783.07692307694</c:v>
                </c:pt>
                <c:pt idx="13">
                  <c:v>362891.42857142852</c:v>
                </c:pt>
                <c:pt idx="14">
                  <c:v>342292</c:v>
                </c:pt>
                <c:pt idx="15">
                  <c:v>360836.25</c:v>
                </c:pt>
                <c:pt idx="16">
                  <c:v>348292.94117647054</c:v>
                </c:pt>
                <c:pt idx="17">
                  <c:v>358244.44444444444</c:v>
                </c:pt>
                <c:pt idx="18">
                  <c:v>370344.21052631579</c:v>
                </c:pt>
                <c:pt idx="19">
                  <c:v>375377</c:v>
                </c:pt>
              </c:numCache>
            </c:numRef>
          </c:val>
        </c:ser>
        <c:ser>
          <c:idx val="1"/>
          <c:order val="1"/>
          <c:tx>
            <c:strRef>
              <c:f>'May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'May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10'!$F$41:$Y$41</c:f>
              <c:numCache>
                <c:formatCode>0</c:formatCode>
                <c:ptCount val="20"/>
                <c:pt idx="0">
                  <c:v>315400</c:v>
                </c:pt>
                <c:pt idx="1">
                  <c:v>450910</c:v>
                </c:pt>
                <c:pt idx="2">
                  <c:v>375140</c:v>
                </c:pt>
                <c:pt idx="3">
                  <c:v>351305</c:v>
                </c:pt>
                <c:pt idx="4">
                  <c:v>404704</c:v>
                </c:pt>
                <c:pt idx="5">
                  <c:v>346236.66666666663</c:v>
                </c:pt>
                <c:pt idx="6">
                  <c:v>296774.28571428574</c:v>
                </c:pt>
                <c:pt idx="7">
                  <c:v>283902.5</c:v>
                </c:pt>
                <c:pt idx="8">
                  <c:v>275002.22222222225</c:v>
                </c:pt>
                <c:pt idx="9">
                  <c:v>262482</c:v>
                </c:pt>
                <c:pt idx="10">
                  <c:v>238620</c:v>
                </c:pt>
                <c:pt idx="11">
                  <c:v>221235</c:v>
                </c:pt>
                <c:pt idx="12">
                  <c:v>204216.92307692309</c:v>
                </c:pt>
                <c:pt idx="13">
                  <c:v>200322.85714285713</c:v>
                </c:pt>
                <c:pt idx="14">
                  <c:v>208201.33333333334</c:v>
                </c:pt>
                <c:pt idx="15">
                  <c:v>208357.5</c:v>
                </c:pt>
                <c:pt idx="16">
                  <c:v>200807.0588235294</c:v>
                </c:pt>
                <c:pt idx="17">
                  <c:v>189651.11111111109</c:v>
                </c:pt>
                <c:pt idx="18">
                  <c:v>184716.84210526317</c:v>
                </c:pt>
                <c:pt idx="19">
                  <c:v>176481</c:v>
                </c:pt>
              </c:numCache>
            </c:numRef>
          </c:val>
        </c:ser>
        <c:ser>
          <c:idx val="2"/>
          <c:order val="2"/>
          <c:tx>
            <c:strRef>
              <c:f>'May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'May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10'!$F$42:$Y$42</c:f>
              <c:numCache>
                <c:formatCode>0</c:formatCode>
                <c:ptCount val="20"/>
                <c:pt idx="0">
                  <c:v>309240</c:v>
                </c:pt>
                <c:pt idx="1">
                  <c:v>178875</c:v>
                </c:pt>
                <c:pt idx="2">
                  <c:v>129150</c:v>
                </c:pt>
                <c:pt idx="3">
                  <c:v>145395</c:v>
                </c:pt>
                <c:pt idx="4">
                  <c:v>116316</c:v>
                </c:pt>
                <c:pt idx="5">
                  <c:v>109965</c:v>
                </c:pt>
                <c:pt idx="6">
                  <c:v>106585.71428571429</c:v>
                </c:pt>
                <c:pt idx="7">
                  <c:v>119340</c:v>
                </c:pt>
                <c:pt idx="8">
                  <c:v>114770</c:v>
                </c:pt>
                <c:pt idx="9">
                  <c:v>109861.19999999998</c:v>
                </c:pt>
                <c:pt idx="10">
                  <c:v>104283.81818181819</c:v>
                </c:pt>
                <c:pt idx="11">
                  <c:v>114913.5</c:v>
                </c:pt>
                <c:pt idx="12">
                  <c:v>108358.61538461539</c:v>
                </c:pt>
                <c:pt idx="13">
                  <c:v>113659.71428571429</c:v>
                </c:pt>
                <c:pt idx="14">
                  <c:v>116330.40000000001</c:v>
                </c:pt>
                <c:pt idx="15">
                  <c:v>114684.75</c:v>
                </c:pt>
                <c:pt idx="16">
                  <c:v>129517.41176470589</c:v>
                </c:pt>
                <c:pt idx="17">
                  <c:v>130812</c:v>
                </c:pt>
                <c:pt idx="18">
                  <c:v>136081.89473684211</c:v>
                </c:pt>
                <c:pt idx="19">
                  <c:v>130807.8</c:v>
                </c:pt>
              </c:numCache>
            </c:numRef>
          </c:val>
        </c:ser>
        <c:ser>
          <c:idx val="3"/>
          <c:order val="3"/>
          <c:tx>
            <c:strRef>
              <c:f>'May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'May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10'!$F$43:$Y$43</c:f>
              <c:numCache>
                <c:formatCode>0</c:formatCode>
                <c:ptCount val="20"/>
                <c:pt idx="0">
                  <c:v>1204908</c:v>
                </c:pt>
                <c:pt idx="1">
                  <c:v>739656.4</c:v>
                </c:pt>
                <c:pt idx="2">
                  <c:v>605673.8666666667</c:v>
                </c:pt>
                <c:pt idx="3">
                  <c:v>682420.39999999991</c:v>
                </c:pt>
                <c:pt idx="4">
                  <c:v>734739.67999999993</c:v>
                </c:pt>
                <c:pt idx="5">
                  <c:v>612283.06666666665</c:v>
                </c:pt>
                <c:pt idx="6">
                  <c:v>630617.48571428575</c:v>
                </c:pt>
                <c:pt idx="7">
                  <c:v>598919.79999999993</c:v>
                </c:pt>
                <c:pt idx="8">
                  <c:v>570176.97777777771</c:v>
                </c:pt>
                <c:pt idx="9">
                  <c:v>561260.48</c:v>
                </c:pt>
                <c:pt idx="10">
                  <c:v>549501.38181818184</c:v>
                </c:pt>
                <c:pt idx="11">
                  <c:v>520232.60000000003</c:v>
                </c:pt>
                <c:pt idx="12">
                  <c:v>525057.35384615383</c:v>
                </c:pt>
                <c:pt idx="13">
                  <c:v>527712.17142857134</c:v>
                </c:pt>
                <c:pt idx="14">
                  <c:v>515060.58666666667</c:v>
                </c:pt>
                <c:pt idx="15">
                  <c:v>512053.1</c:v>
                </c:pt>
                <c:pt idx="16">
                  <c:v>488158.54117647052</c:v>
                </c:pt>
                <c:pt idx="17">
                  <c:v>468389.46666666662</c:v>
                </c:pt>
                <c:pt idx="18">
                  <c:v>460137.38947368413</c:v>
                </c:pt>
                <c:pt idx="19">
                  <c:v>421962.16000000003</c:v>
                </c:pt>
              </c:numCache>
            </c:numRef>
          </c:val>
        </c:ser>
        <c:ser>
          <c:idx val="4"/>
          <c:order val="4"/>
          <c:tx>
            <c:strRef>
              <c:f>'May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'May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10'!$F$44:$Y$44</c:f>
              <c:numCache>
                <c:formatCode>0</c:formatCode>
                <c:ptCount val="20"/>
                <c:pt idx="0">
                  <c:v>3534928</c:v>
                </c:pt>
                <c:pt idx="1">
                  <c:v>2276931.4</c:v>
                </c:pt>
                <c:pt idx="2">
                  <c:v>1785550.5333333334</c:v>
                </c:pt>
                <c:pt idx="3">
                  <c:v>1808360.4</c:v>
                </c:pt>
                <c:pt idx="4">
                  <c:v>1790727.68</c:v>
                </c:pt>
                <c:pt idx="5">
                  <c:v>1523574.7333333334</c:v>
                </c:pt>
                <c:pt idx="6">
                  <c:v>1446608.9142857143</c:v>
                </c:pt>
                <c:pt idx="7">
                  <c:v>1425347.2999999998</c:v>
                </c:pt>
                <c:pt idx="8">
                  <c:v>1388729.2</c:v>
                </c:pt>
                <c:pt idx="9">
                  <c:v>1350785.68</c:v>
                </c:pt>
                <c:pt idx="10">
                  <c:v>1286699.7454545456</c:v>
                </c:pt>
                <c:pt idx="11">
                  <c:v>1236234.4333333333</c:v>
                </c:pt>
                <c:pt idx="12">
                  <c:v>1209415.9692307692</c:v>
                </c:pt>
                <c:pt idx="13">
                  <c:v>1204586.1714285715</c:v>
                </c:pt>
                <c:pt idx="14">
                  <c:v>1181884.32</c:v>
                </c:pt>
                <c:pt idx="15">
                  <c:v>1195931.6000000001</c:v>
                </c:pt>
                <c:pt idx="16">
                  <c:v>1166775.9529411765</c:v>
                </c:pt>
                <c:pt idx="17">
                  <c:v>1147097.0222222221</c:v>
                </c:pt>
                <c:pt idx="18">
                  <c:v>1151280.3368421053</c:v>
                </c:pt>
                <c:pt idx="19">
                  <c:v>1104627.96</c:v>
                </c:pt>
              </c:numCache>
            </c:numRef>
          </c:val>
        </c:ser>
        <c:marker val="1"/>
        <c:axId val="110956928"/>
        <c:axId val="110958464"/>
      </c:lineChart>
      <c:catAx>
        <c:axId val="110956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958464"/>
        <c:crosses val="autoZero"/>
        <c:auto val="1"/>
        <c:lblAlgn val="ctr"/>
        <c:lblOffset val="100"/>
      </c:catAx>
      <c:valAx>
        <c:axId val="110958464"/>
        <c:scaling>
          <c:orientation val="minMax"/>
          <c:max val="250000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095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98853432796383"/>
          <c:y val="0.90434873901631796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May Daily Performance % vs Budget 2010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floor>
      <c:spPr>
        <a:solidFill>
          <a:srgbClr val="000000"/>
        </a:solidFill>
        <a:ln w="3175">
          <a:solidFill>
            <a:srgbClr val="80808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610465116279216E-2"/>
          <c:y val="0.25217418072157399"/>
          <c:w val="0.95130813953489834"/>
          <c:h val="0.65217460531443439"/>
        </c:manualLayout>
      </c:layout>
      <c:bar3DChart>
        <c:barDir val="col"/>
        <c:grouping val="clustered"/>
        <c:ser>
          <c:idx val="0"/>
          <c:order val="0"/>
          <c:tx>
            <c:strRef>
              <c:f>'May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2116404167469201E-3"/>
                  <c:y val="9.0628749955135226E-3"/>
                </c:manualLayout>
              </c:layout>
              <c:showSerName val="1"/>
            </c:dLbl>
            <c:dLbl>
              <c:idx val="1"/>
              <c:layout>
                <c:manualLayout>
                  <c:x val="-4.2121714136407424E-4"/>
                  <c:y val="8.4989800464951512E-2"/>
                </c:manualLayout>
              </c:layout>
              <c:showSerName val="1"/>
            </c:dLbl>
            <c:dLbl>
              <c:idx val="2"/>
              <c:layout>
                <c:manualLayout>
                  <c:x val="1.1131785977457741E-3"/>
                  <c:y val="0.14485831642174304"/>
                </c:manualLayout>
              </c:layout>
              <c:showSerName val="1"/>
            </c:dLbl>
            <c:dLbl>
              <c:idx val="3"/>
              <c:layout>
                <c:manualLayout>
                  <c:x val="-1.1294232566468505E-3"/>
                  <c:y val="0.33683498700001946"/>
                </c:manualLayout>
              </c:layout>
              <c:showSerName val="1"/>
            </c:dLbl>
            <c:dLbl>
              <c:idx val="4"/>
              <c:layout>
                <c:manualLayout>
                  <c:x val="-9.9635738507900798E-4"/>
                  <c:y val="0.12247260596692597"/>
                </c:manualLayout>
              </c:layout>
              <c:showSerName val="1"/>
            </c:dLbl>
            <c:dLbl>
              <c:idx val="5"/>
              <c:layout>
                <c:manualLayout>
                  <c:x val="-9.6857825372526215E-4"/>
                  <c:y val="4.0992231984735186E-2"/>
                </c:manualLayout>
              </c:layout>
              <c:showSerName val="1"/>
            </c:dLbl>
            <c:dLbl>
              <c:idx val="6"/>
              <c:layout>
                <c:manualLayout>
                  <c:x val="-5.6360577126216238E-5"/>
                  <c:y val="0.11462411918562022"/>
                </c:manualLayout>
              </c:layout>
              <c:showSerName val="1"/>
            </c:dLbl>
            <c:dLbl>
              <c:idx val="7"/>
              <c:layout>
                <c:manualLayout>
                  <c:x val="8.7438973850065E-4"/>
                  <c:y val="0.23807609998493401"/>
                </c:manualLayout>
              </c:layout>
              <c:showSerName val="1"/>
            </c:dLbl>
            <c:dLbl>
              <c:idx val="8"/>
              <c:layout>
                <c:manualLayout>
                  <c:x val="-1.2134683933086598E-3"/>
                  <c:y val="0.33047156532407385"/>
                </c:manualLayout>
              </c:layout>
              <c:showSerName val="1"/>
            </c:dLbl>
            <c:dLbl>
              <c:idx val="9"/>
              <c:layout>
                <c:manualLayout>
                  <c:x val="8.8697362919888645E-4"/>
                  <c:y val="0.20665220465642278"/>
                </c:manualLayout>
              </c:layout>
              <c:showSerName val="1"/>
            </c:dLbl>
            <c:dLbl>
              <c:idx val="10"/>
              <c:layout>
                <c:manualLayout>
                  <c:x val="-8.1604624526457526E-5"/>
                  <c:y val="0.11958546199904498"/>
                </c:manualLayout>
              </c:layout>
              <c:showSerName val="1"/>
            </c:dLbl>
            <c:dLbl>
              <c:idx val="11"/>
              <c:layout>
                <c:manualLayout>
                  <c:x val="8.9353250556254565E-4"/>
                  <c:y val="0.14347772710968487"/>
                </c:manualLayout>
              </c:layout>
              <c:showSerName val="1"/>
            </c:dLbl>
            <c:dLbl>
              <c:idx val="12"/>
              <c:layout>
                <c:manualLayout>
                  <c:x val="8.4922195710477114E-4"/>
                  <c:y val="0.18418785159135023"/>
                </c:manualLayout>
              </c:layout>
              <c:showSerName val="1"/>
            </c:dLbl>
            <c:dLbl>
              <c:idx val="13"/>
              <c:layout>
                <c:manualLayout>
                  <c:x val="-8.5860267562500264E-4"/>
                  <c:y val="0.17189377120807187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4.5096050289206532E-2"/>
                </c:manualLayout>
              </c:layout>
              <c:showSerName val="1"/>
            </c:dLbl>
            <c:dLbl>
              <c:idx val="15"/>
              <c:layout>
                <c:manualLayout>
                  <c:x val="-1.9371565074503552E-3"/>
                  <c:y val="0.43378669426477839"/>
                </c:manualLayout>
              </c:layout>
              <c:showSerName val="1"/>
            </c:dLbl>
            <c:dLbl>
              <c:idx val="16"/>
              <c:layout>
                <c:manualLayout>
                  <c:x val="9.6857825372525163E-4"/>
                  <c:y val="0.12333424549617525"/>
                </c:manualLayout>
              </c:layout>
              <c:showSerName val="1"/>
            </c:dLbl>
            <c:dLbl>
              <c:idx val="17"/>
              <c:layout>
                <c:manualLayout>
                  <c:x val="2.6693101480618444E-6"/>
                  <c:y val="0.36456770911564346"/>
                </c:manualLayout>
              </c:layout>
              <c:showSerName val="1"/>
            </c:dLbl>
            <c:dLbl>
              <c:idx val="18"/>
              <c:layout>
                <c:manualLayout>
                  <c:x val="-9.6804439169558768E-4"/>
                  <c:y val="0.45282163513077317"/>
                </c:manualLayout>
              </c:layout>
              <c:showSerName val="1"/>
            </c:dLbl>
            <c:dLbl>
              <c:idx val="19"/>
              <c:layout>
                <c:manualLayout>
                  <c:x val="-1.0161682403648199E-3"/>
                  <c:y val="0.20247888823124804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10'!$F$15:$Y$15</c:f>
              <c:numCache>
                <c:formatCode>0.0%</c:formatCode>
                <c:ptCount val="20"/>
                <c:pt idx="0">
                  <c:v>0</c:v>
                </c:pt>
                <c:pt idx="1">
                  <c:v>0.29226666666666667</c:v>
                </c:pt>
                <c:pt idx="2">
                  <c:v>0.56474666666666673</c:v>
                </c:pt>
                <c:pt idx="3">
                  <c:v>1.3071999999999999</c:v>
                </c:pt>
                <c:pt idx="4">
                  <c:v>0.42101333333333335</c:v>
                </c:pt>
                <c:pt idx="5">
                  <c:v>0.1485333333333333</c:v>
                </c:pt>
                <c:pt idx="6">
                  <c:v>0.42101333333333335</c:v>
                </c:pt>
                <c:pt idx="7">
                  <c:v>0.90447999999999995</c:v>
                </c:pt>
                <c:pt idx="8">
                  <c:v>1.2627733333333333</c:v>
                </c:pt>
                <c:pt idx="9">
                  <c:v>0.83445333333333327</c:v>
                </c:pt>
                <c:pt idx="10">
                  <c:v>0.44079999999999997</c:v>
                </c:pt>
                <c:pt idx="11">
                  <c:v>0.58933333333333326</c:v>
                </c:pt>
                <c:pt idx="12">
                  <c:v>0.73317333333333334</c:v>
                </c:pt>
                <c:pt idx="13">
                  <c:v>0.65946666666666665</c:v>
                </c:pt>
                <c:pt idx="14">
                  <c:v>0.14373333333333338</c:v>
                </c:pt>
                <c:pt idx="15">
                  <c:v>1.704</c:v>
                </c:pt>
                <c:pt idx="16">
                  <c:v>0.42101333333333335</c:v>
                </c:pt>
                <c:pt idx="17">
                  <c:v>1.4064533333333333</c:v>
                </c:pt>
                <c:pt idx="18">
                  <c:v>1.7912533333333334</c:v>
                </c:pt>
                <c:pt idx="19">
                  <c:v>0.77818666666666669</c:v>
                </c:pt>
              </c:numCache>
            </c:numRef>
          </c:val>
        </c:ser>
        <c:ser>
          <c:idx val="1"/>
          <c:order val="1"/>
          <c:tx>
            <c:strRef>
              <c:f>'May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1.0005337094976003E-3"/>
                  <c:y val="0.33433511216516631"/>
                </c:manualLayout>
              </c:layout>
              <c:showSerName val="1"/>
            </c:dLbl>
            <c:dLbl>
              <c:idx val="1"/>
              <c:layout>
                <c:manualLayout>
                  <c:x val="1.9486726740891318E-3"/>
                  <c:y val="0.217321309244004"/>
                </c:manualLayout>
              </c:layout>
              <c:showSerName val="1"/>
            </c:dLbl>
            <c:dLbl>
              <c:idx val="2"/>
              <c:layout>
                <c:manualLayout>
                  <c:x val="1.0709272314021903E-3"/>
                  <c:y val="0.172860572367319"/>
                </c:manualLayout>
              </c:layout>
              <c:showSerName val="1"/>
            </c:dLbl>
            <c:dLbl>
              <c:idx val="3"/>
              <c:layout>
                <c:manualLayout>
                  <c:x val="-1.1783097653586346E-4"/>
                  <c:y val="0.2179575371054992"/>
                </c:manualLayout>
              </c:layout>
              <c:showSerName val="1"/>
            </c:dLbl>
            <c:dLbl>
              <c:idx val="4"/>
              <c:layout>
                <c:manualLayout>
                  <c:x val="-1.1009760370689404E-3"/>
                  <c:y val="0.48472401587577696"/>
                </c:manualLayout>
              </c:layout>
              <c:showSerName val="1"/>
            </c:dLbl>
            <c:dLbl>
              <c:idx val="5"/>
              <c:layout>
                <c:manualLayout>
                  <c:x val="-1.00388941368374E-3"/>
                  <c:y val="5.4785322819914134E-2"/>
                </c:manualLayout>
              </c:layout>
              <c:showSerName val="1"/>
            </c:dLbl>
            <c:dLbl>
              <c:idx val="6"/>
              <c:layout>
                <c:manualLayout>
                  <c:x val="-7.6266004230336942E-8"/>
                  <c:y val="5.4940093305799334E-3"/>
                </c:manualLayout>
              </c:layout>
              <c:showSerName val="1"/>
            </c:dLbl>
            <c:dLbl>
              <c:idx val="7"/>
              <c:layout>
                <c:manualLayout>
                  <c:x val="-1.9371565074503645E-3"/>
                  <c:y val="0.15264530651073308"/>
                </c:manualLayout>
              </c:layout>
              <c:showSerName val="1"/>
            </c:dLbl>
            <c:dLbl>
              <c:idx val="8"/>
              <c:layout>
                <c:manualLayout>
                  <c:x val="-1.9371565074503827E-3"/>
                  <c:y val="0.15955191086684478"/>
                </c:manualLayout>
              </c:layout>
              <c:showSerName val="1"/>
            </c:dLbl>
            <c:dLbl>
              <c:idx val="9"/>
              <c:layout>
                <c:manualLayout>
                  <c:x val="1.7738709923930821E-3"/>
                  <c:y val="0.107769867032263"/>
                </c:manualLayout>
              </c:layout>
              <c:showSerName val="1"/>
            </c:dLbl>
            <c:dLbl>
              <c:idx val="10"/>
              <c:layout>
                <c:manualLayout>
                  <c:x val="8.1902061942943597E-4"/>
                  <c:y val="3.2483513056848251E-3"/>
                </c:manualLayout>
              </c:layout>
              <c:showSerName val="1"/>
            </c:dLbl>
            <c:dLbl>
              <c:idx val="11"/>
              <c:layout>
                <c:manualLayout>
                  <c:x val="-7.6266004159308637E-8"/>
                  <c:y val="2.9297801504680001E-2"/>
                </c:manualLayout>
              </c:layout>
              <c:showSerName val="1"/>
            </c:dLbl>
            <c:dLbl>
              <c:idx val="12"/>
              <c:layout>
                <c:manualLayout>
                  <c:x val="9.0085404196868664E-4"/>
                  <c:y val="4.3895607421576534E-2"/>
                </c:manualLayout>
              </c:layout>
              <c:showSerName val="1"/>
            </c:dLbl>
            <c:dLbl>
              <c:idx val="13"/>
              <c:layout>
                <c:manualLayout>
                  <c:x val="1.0855703042144105E-3"/>
                  <c:y val="8.587178648348423E-2"/>
                </c:manualLayout>
              </c:layout>
              <c:showSerName val="1"/>
            </c:dLbl>
            <c:dLbl>
              <c:idx val="14"/>
              <c:layout>
                <c:manualLayout>
                  <c:x val="1.9371565074503552E-3"/>
                  <c:y val="0.24969028756906136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17129915077413019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7.2584385921235534E-2"/>
                </c:manualLayout>
              </c:layout>
              <c:showSerName val="1"/>
            </c:dLbl>
            <c:dLbl>
              <c:idx val="17"/>
              <c:layout>
                <c:manualLayout>
                  <c:x val="-9.6857825372525033E-4"/>
                  <c:y val="9.0551021793845842E-3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8.7101263105482746E-2"/>
                </c:manualLayout>
              </c:layout>
              <c:showSerName val="1"/>
            </c:dLbl>
            <c:dLbl>
              <c:idx val="19"/>
              <c:layout>
                <c:manualLayout>
                  <c:x val="9.4424939837563747E-4"/>
                  <c:y val="8.1006232198250747E-2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10'!$F$16:$Y$16</c:f>
              <c:numCache>
                <c:formatCode>0.0%</c:formatCode>
                <c:ptCount val="20"/>
                <c:pt idx="0">
                  <c:v>1.2972307692307692</c:v>
                </c:pt>
                <c:pt idx="1">
                  <c:v>0.84215384615384614</c:v>
                </c:pt>
                <c:pt idx="2">
                  <c:v>0.68799999999999994</c:v>
                </c:pt>
                <c:pt idx="3">
                  <c:v>0.8609230769230769</c:v>
                </c:pt>
                <c:pt idx="4">
                  <c:v>1.9024615384615384</c:v>
                </c:pt>
                <c:pt idx="5">
                  <c:v>0.16584615384615387</c:v>
                </c:pt>
                <c:pt idx="6">
                  <c:v>0</c:v>
                </c:pt>
                <c:pt idx="7">
                  <c:v>0.59630769230769232</c:v>
                </c:pt>
                <c:pt idx="8">
                  <c:v>0.62707692307692309</c:v>
                </c:pt>
                <c:pt idx="9">
                  <c:v>0.46092307692307688</c:v>
                </c:pt>
                <c:pt idx="10">
                  <c:v>0</c:v>
                </c:pt>
                <c:pt idx="11">
                  <c:v>9.2307692307692313E-2</c:v>
                </c:pt>
                <c:pt idx="12">
                  <c:v>0.16584615384615387</c:v>
                </c:pt>
                <c:pt idx="13">
                  <c:v>0.29476923076923078</c:v>
                </c:pt>
                <c:pt idx="14">
                  <c:v>0.9824615384615385</c:v>
                </c:pt>
                <c:pt idx="15">
                  <c:v>0.64584615384615385</c:v>
                </c:pt>
                <c:pt idx="16">
                  <c:v>0.24615384615384617</c:v>
                </c:pt>
                <c:pt idx="17">
                  <c:v>0</c:v>
                </c:pt>
                <c:pt idx="18">
                  <c:v>0.29507692307692313</c:v>
                </c:pt>
                <c:pt idx="19">
                  <c:v>0.29852307692307689</c:v>
                </c:pt>
              </c:numCache>
            </c:numRef>
          </c:val>
        </c:ser>
        <c:ser>
          <c:idx val="2"/>
          <c:order val="2"/>
          <c:tx>
            <c:strRef>
              <c:f>'May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7.7638792306469404E-4"/>
                  <c:y val="0.24972297911924404"/>
                </c:manualLayout>
              </c:layout>
              <c:showSerName val="1"/>
            </c:dLbl>
            <c:dLbl>
              <c:idx val="1"/>
              <c:layout>
                <c:manualLayout>
                  <c:x val="-3.4708658525222052E-4"/>
                  <c:y val="5.9212627442757633E-2"/>
                </c:manualLayout>
              </c:layout>
              <c:showSerName val="1"/>
            </c:dLbl>
            <c:dLbl>
              <c:idx val="2"/>
              <c:layout>
                <c:manualLayout>
                  <c:x val="8.7637265461075508E-4"/>
                  <c:y val="4.3752267547649534E-2"/>
                </c:manualLayout>
              </c:layout>
              <c:showSerName val="1"/>
            </c:dLbl>
            <c:dLbl>
              <c:idx val="3"/>
              <c:layout>
                <c:manualLayout>
                  <c:x val="1.0256252248893804E-3"/>
                  <c:y val="0.22115970873886287"/>
                </c:manualLayout>
              </c:layout>
              <c:showSerName val="1"/>
            </c:dLbl>
            <c:dLbl>
              <c:idx val="4"/>
              <c:layout>
                <c:manualLayout>
                  <c:x val="8.0551527598105748E-4"/>
                  <c:y val="6.1517267425339524E-3"/>
                </c:manualLayout>
              </c:layout>
              <c:showSerName val="1"/>
            </c:dLbl>
            <c:dLbl>
              <c:idx val="5"/>
              <c:layout>
                <c:manualLayout>
                  <c:x val="-2.1507013192952016E-5"/>
                  <c:y val="8.6826699806297244E-2"/>
                </c:manualLayout>
              </c:layout>
              <c:showSerName val="1"/>
            </c:dLbl>
            <c:dLbl>
              <c:idx val="6"/>
              <c:layout>
                <c:manualLayout>
                  <c:x val="6.771658515611395E-4"/>
                  <c:y val="0.10045313231916295"/>
                </c:manualLayout>
              </c:layout>
              <c:showSerName val="1"/>
            </c:dLbl>
            <c:dLbl>
              <c:idx val="7"/>
              <c:layout>
                <c:manualLayout>
                  <c:x val="-1.1722847510243061E-3"/>
                  <c:y val="0.26203466264492031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9.450669936736493E-2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7.2929361790070396E-2"/>
                </c:manualLayout>
              </c:layout>
              <c:showSerName val="1"/>
            </c:dLbl>
            <c:dLbl>
              <c:idx val="10"/>
              <c:layout>
                <c:manualLayout>
                  <c:x val="9.3456361583864214E-4"/>
                  <c:y val="6.2056563697428103E-2"/>
                </c:manualLayout>
              </c:layout>
              <c:showSerName val="1"/>
            </c:dLbl>
            <c:dLbl>
              <c:idx val="11"/>
              <c:layout>
                <c:manualLayout>
                  <c:x val="-1.0436240018877403E-3"/>
                  <c:y val="0.25548057836153232"/>
                </c:manualLayout>
              </c:layout>
              <c:showSerName val="1"/>
            </c:dLbl>
            <c:dLbl>
              <c:idx val="12"/>
              <c:layout>
                <c:manualLayout>
                  <c:x val="8.7629638860641066E-4"/>
                  <c:y val="4.0992231984734888E-2"/>
                </c:manualLayout>
              </c:layout>
              <c:showSerName val="1"/>
            </c:dLbl>
            <c:dLbl>
              <c:idx val="13"/>
              <c:layout>
                <c:manualLayout>
                  <c:x val="6.6122625667689819E-5"/>
                  <c:y val="0.24747297746180524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585E-3"/>
                  <c:y val="0.13972185663314987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11317654648750142"/>
                </c:manualLayout>
              </c:layout>
              <c:showSerName val="1"/>
            </c:dLbl>
            <c:dLbl>
              <c:idx val="16"/>
              <c:layout>
                <c:manualLayout>
                  <c:x val="9.3136044366085924E-4"/>
                  <c:y val="0.40682073759912696"/>
                </c:manualLayout>
              </c:layout>
              <c:showSerName val="1"/>
            </c:dLbl>
            <c:dLbl>
              <c:idx val="17"/>
              <c:layout>
                <c:manualLayout>
                  <c:x val="3.1192795730202001E-5"/>
                  <c:y val="0.176024794369006"/>
                </c:manualLayout>
              </c:layout>
              <c:showSerName val="1"/>
            </c:dLbl>
            <c:dLbl>
              <c:idx val="18"/>
              <c:layout>
                <c:manualLayout>
                  <c:x val="1.5253200846066486E-7"/>
                  <c:y val="0.35567949387082026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257947990258375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10'!$F$17:$Y$17</c:f>
              <c:numCache>
                <c:formatCode>0.0%</c:formatCode>
                <c:ptCount val="20"/>
                <c:pt idx="0">
                  <c:v>0.97137254901960779</c:v>
                </c:pt>
                <c:pt idx="1">
                  <c:v>0.21137254901960789</c:v>
                </c:pt>
                <c:pt idx="2">
                  <c:v>0.12941176470588234</c:v>
                </c:pt>
                <c:pt idx="3">
                  <c:v>0.84588235294117653</c:v>
                </c:pt>
                <c:pt idx="4">
                  <c:v>0</c:v>
                </c:pt>
                <c:pt idx="5">
                  <c:v>0.34078431372549023</c:v>
                </c:pt>
                <c:pt idx="6">
                  <c:v>0.37607843137254904</c:v>
                </c:pt>
                <c:pt idx="7">
                  <c:v>1.0384313725490195</c:v>
                </c:pt>
                <c:pt idx="8">
                  <c:v>0.34078431372549023</c:v>
                </c:pt>
                <c:pt idx="9">
                  <c:v>0.28619607843137262</c:v>
                </c:pt>
                <c:pt idx="10">
                  <c:v>0.21137254901960789</c:v>
                </c:pt>
                <c:pt idx="11">
                  <c:v>1.0101960784313726</c:v>
                </c:pt>
                <c:pt idx="12">
                  <c:v>0.12941176470588234</c:v>
                </c:pt>
                <c:pt idx="13">
                  <c:v>0.94070588235294117</c:v>
                </c:pt>
                <c:pt idx="14">
                  <c:v>0.55215686274509812</c:v>
                </c:pt>
                <c:pt idx="15">
                  <c:v>0.38784313725490194</c:v>
                </c:pt>
                <c:pt idx="16">
                  <c:v>1.5984313725490196</c:v>
                </c:pt>
                <c:pt idx="17">
                  <c:v>0.66588235294117648</c:v>
                </c:pt>
                <c:pt idx="18">
                  <c:v>1.3823529411764706</c:v>
                </c:pt>
                <c:pt idx="19">
                  <c:v>1.0262745098039217</c:v>
                </c:pt>
              </c:numCache>
            </c:numRef>
          </c:val>
        </c:ser>
        <c:ser>
          <c:idx val="3"/>
          <c:order val="3"/>
          <c:tx>
            <c:strRef>
              <c:f>'May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17375E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3404509852881405E-5"/>
                  <c:y val="7.4256913062651919E-2"/>
                </c:manualLayout>
              </c:layout>
              <c:showSerName val="1"/>
            </c:dLbl>
            <c:dLbl>
              <c:idx val="1"/>
              <c:layout>
                <c:manualLayout>
                  <c:x val="5.2676929121884023E-4"/>
                  <c:y val="0.187588687260514"/>
                </c:manualLayout>
              </c:layout>
              <c:showSerName val="1"/>
            </c:dLbl>
            <c:dLbl>
              <c:idx val="2"/>
              <c:layout>
                <c:manualLayout>
                  <c:x val="9.6857825372526367E-4"/>
                  <c:y val="0.26403319083932475"/>
                </c:manualLayout>
              </c:layout>
              <c:showSerName val="1"/>
            </c:dLbl>
            <c:dLbl>
              <c:idx val="3"/>
              <c:layout>
                <c:manualLayout>
                  <c:x val="9.7765390822858629E-4"/>
                  <c:y val="0.65898689571784097"/>
                </c:manualLayout>
              </c:layout>
              <c:showSerName val="1"/>
            </c:dLbl>
            <c:dLbl>
              <c:idx val="4"/>
              <c:layout>
                <c:manualLayout>
                  <c:x val="9.6857825372526215E-4"/>
                  <c:y val="0.56069643518082291"/>
                </c:manualLayout>
              </c:layout>
              <c:showSerName val="1"/>
            </c:dLbl>
            <c:dLbl>
              <c:idx val="5"/>
              <c:layout>
                <c:manualLayout>
                  <c:x val="1.8351888597943657E-3"/>
                  <c:y val="6.1517267425339524E-3"/>
                </c:manualLayout>
              </c:layout>
              <c:showSerName val="1"/>
            </c:dLbl>
            <c:dLbl>
              <c:idx val="6"/>
              <c:layout>
                <c:manualLayout>
                  <c:x val="9.6857825372526031E-4"/>
                  <c:y val="0.49217723209560432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23326769875948244"/>
                </c:manualLayout>
              </c:layout>
              <c:showSerName val="1"/>
            </c:dLbl>
            <c:dLbl>
              <c:idx val="8"/>
              <c:layout>
                <c:manualLayout>
                  <c:x val="9.685782537252589E-4"/>
                  <c:y val="0.23332233708463201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33929302579500531"/>
                </c:manualLayout>
              </c:layout>
              <c:showSerName val="1"/>
            </c:dLbl>
            <c:dLbl>
              <c:idx val="10"/>
              <c:layout>
                <c:manualLayout>
                  <c:x val="1.0501066122473798E-3"/>
                  <c:y val="0.28520588475337"/>
                </c:manualLayout>
              </c:layout>
              <c:showSerName val="1"/>
            </c:dLbl>
            <c:dLbl>
              <c:idx val="11"/>
              <c:layout>
                <c:manualLayout>
                  <c:x val="-7.6266004159308637E-8"/>
                  <c:y val="0.14386453901828"/>
                </c:manualLayout>
              </c:layout>
              <c:showSerName val="1"/>
            </c:dLbl>
            <c:dLbl>
              <c:idx val="12"/>
              <c:layout>
                <c:manualLayout>
                  <c:x val="9.6842572171682484E-4"/>
                  <c:y val="0.45251369444466238"/>
                </c:manualLayout>
              </c:layout>
              <c:showSerName val="1"/>
            </c:dLbl>
            <c:dLbl>
              <c:idx val="13"/>
              <c:layout>
                <c:manualLayout>
                  <c:x val="2.0032791331178906E-3"/>
                  <c:y val="0.39821988793890045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585E-3"/>
                  <c:y val="0.22602183384051"/>
                </c:manualLayout>
              </c:layout>
              <c:showSerName val="1"/>
            </c:dLbl>
            <c:dLbl>
              <c:idx val="15"/>
              <c:layout>
                <c:manualLayout>
                  <c:x val="9.6842572171674743E-4"/>
                  <c:y val="0.36907365634871031"/>
                </c:manualLayout>
              </c:layout>
              <c:showSerName val="1"/>
            </c:dLbl>
            <c:dLbl>
              <c:idx val="16"/>
              <c:layout>
                <c:manualLayout>
                  <c:x val="1.0108296200687001E-3"/>
                  <c:y val="9.4269399863152747E-2"/>
                </c:manualLayout>
              </c:layout>
              <c:showSerName val="1"/>
            </c:dLbl>
            <c:dLbl>
              <c:idx val="17"/>
              <c:layout>
                <c:manualLayout>
                  <c:x val="-9.6918838175900728E-4"/>
                  <c:y val="0.24310556924560967"/>
                </c:manualLayout>
              </c:layout>
              <c:showSerName val="1"/>
            </c:dLbl>
            <c:dLbl>
              <c:idx val="18"/>
              <c:layout>
                <c:manualLayout>
                  <c:x val="1.9371565074503552E-3"/>
                  <c:y val="0.23005272484070888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2654732193335593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10'!$F$18:$Y$18</c:f>
              <c:numCache>
                <c:formatCode>0.0%</c:formatCode>
                <c:ptCount val="20"/>
                <c:pt idx="0">
                  <c:v>0.26723404255319139</c:v>
                </c:pt>
                <c:pt idx="1">
                  <c:v>0.71199999999999997</c:v>
                </c:pt>
                <c:pt idx="2">
                  <c:v>0.98212765957446801</c:v>
                </c:pt>
                <c:pt idx="3">
                  <c:v>2.6046808510638297</c:v>
                </c:pt>
                <c:pt idx="4">
                  <c:v>2.2478297872340427</c:v>
                </c:pt>
                <c:pt idx="5">
                  <c:v>0</c:v>
                </c:pt>
                <c:pt idx="6">
                  <c:v>1.9217021276595743</c:v>
                </c:pt>
                <c:pt idx="7">
                  <c:v>0.97829787234042553</c:v>
                </c:pt>
                <c:pt idx="8">
                  <c:v>0.88280851063829768</c:v>
                </c:pt>
                <c:pt idx="9">
                  <c:v>1.3539574468085105</c:v>
                </c:pt>
                <c:pt idx="10">
                  <c:v>1.120595744680851</c:v>
                </c:pt>
                <c:pt idx="11">
                  <c:v>0.51446808510638298</c:v>
                </c:pt>
                <c:pt idx="12">
                  <c:v>1.7674042553191489</c:v>
                </c:pt>
                <c:pt idx="13">
                  <c:v>1.5646808510638297</c:v>
                </c:pt>
                <c:pt idx="14">
                  <c:v>0.87685106382978717</c:v>
                </c:pt>
                <c:pt idx="15">
                  <c:v>1.4233191489361701</c:v>
                </c:pt>
                <c:pt idx="16">
                  <c:v>0.3166808510638297</c:v>
                </c:pt>
                <c:pt idx="17">
                  <c:v>0.93217021276595735</c:v>
                </c:pt>
                <c:pt idx="18">
                  <c:v>0.88953191489361694</c:v>
                </c:pt>
                <c:pt idx="19">
                  <c:v>0.98204255319148936</c:v>
                </c:pt>
              </c:numCache>
            </c:numRef>
          </c:val>
        </c:ser>
        <c:ser>
          <c:idx val="4"/>
          <c:order val="4"/>
          <c:tx>
            <c:strRef>
              <c:f>'May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2.1294993701190699E-3"/>
                  <c:y val="0.15450986793300001"/>
                </c:manualLayout>
              </c:layout>
              <c:showSerName val="1"/>
            </c:dLbl>
            <c:dLbl>
              <c:idx val="1"/>
              <c:layout>
                <c:manualLayout>
                  <c:x val="2.1292705721066953E-3"/>
                  <c:y val="0.14663257600956867"/>
                </c:manualLayout>
              </c:layout>
              <c:showSerName val="1"/>
            </c:dLbl>
            <c:dLbl>
              <c:idx val="2"/>
              <c:layout>
                <c:manualLayout>
                  <c:x val="1.0915190525443799E-3"/>
                  <c:y val="0.16992679150267873"/>
                </c:manualLayout>
              </c:layout>
              <c:showSerName val="1"/>
            </c:dLbl>
            <c:dLbl>
              <c:idx val="3"/>
              <c:layout>
                <c:manualLayout>
                  <c:x val="2.0880106638177806E-3"/>
                  <c:y val="0.37776617951687796"/>
                </c:manualLayout>
              </c:layout>
              <c:showSerName val="1"/>
            </c:dLbl>
            <c:dLbl>
              <c:idx val="4"/>
              <c:layout>
                <c:manualLayout>
                  <c:x val="1.0603262568141699E-3"/>
                  <c:y val="0.31314801568007761"/>
                </c:manualLayout>
              </c:layout>
              <c:showSerName val="1"/>
            </c:dLbl>
            <c:dLbl>
              <c:idx val="5"/>
              <c:layout>
                <c:manualLayout>
                  <c:x val="2.6449050267080042E-4"/>
                  <c:y val="4.1966805960103985E-2"/>
                </c:manualLayout>
              </c:layout>
              <c:showSerName val="1"/>
            </c:dLbl>
            <c:dLbl>
              <c:idx val="6"/>
              <c:layout>
                <c:manualLayout>
                  <c:x val="2.1266012619585452E-3"/>
                  <c:y val="0.18723799608571587"/>
                </c:manualLayout>
              </c:layout>
              <c:showSerName val="1"/>
            </c:dLbl>
            <c:dLbl>
              <c:idx val="7"/>
              <c:layout>
                <c:manualLayout>
                  <c:x val="1.1179833560123005E-3"/>
                  <c:y val="0.22180828166125224"/>
                </c:manualLayout>
              </c:layout>
              <c:showSerName val="1"/>
            </c:dLbl>
            <c:dLbl>
              <c:idx val="8"/>
              <c:layout>
                <c:manualLayout>
                  <c:x val="2.0383614950638313E-3"/>
                  <c:y val="0.2034964413075962"/>
                </c:manualLayout>
              </c:layout>
              <c:showSerName val="1"/>
            </c:dLbl>
            <c:dLbl>
              <c:idx val="9"/>
              <c:layout>
                <c:manualLayout>
                  <c:x val="2.0186848659726492E-3"/>
                  <c:y val="0.16319759024410987"/>
                </c:manualLayout>
              </c:layout>
              <c:showSerName val="1"/>
            </c:dLbl>
            <c:dLbl>
              <c:idx val="10"/>
              <c:layout>
                <c:manualLayout>
                  <c:x val="1.2133921273044302E-3"/>
                  <c:y val="0.1234766709211509"/>
                </c:manualLayout>
              </c:layout>
              <c:showSerName val="1"/>
            </c:dLbl>
            <c:dLbl>
              <c:idx val="11"/>
              <c:layout>
                <c:manualLayout>
                  <c:x val="1.9989319708770044E-4"/>
                  <c:y val="0.12959067664421867"/>
                </c:manualLayout>
              </c:layout>
              <c:showSerName val="1"/>
            </c:dLbl>
            <c:dLbl>
              <c:idx val="12"/>
              <c:layout>
                <c:manualLayout>
                  <c:x val="8.3816338649207823E-5"/>
                  <c:y val="0.18767098766659801"/>
                </c:manualLayout>
              </c:layout>
              <c:showSerName val="1"/>
            </c:dLbl>
            <c:dLbl>
              <c:idx val="13"/>
              <c:layout>
                <c:manualLayout>
                  <c:x val="1.1314061727568621E-3"/>
                  <c:y val="0.224610610488409"/>
                </c:manualLayout>
              </c:layout>
              <c:showSerName val="1"/>
            </c:dLbl>
            <c:dLbl>
              <c:idx val="14"/>
              <c:layout>
                <c:manualLayout>
                  <c:x val="1.9890173903269865E-3"/>
                  <c:y val="0.15097552271616901"/>
                </c:manualLayout>
              </c:layout>
              <c:showSerName val="1"/>
            </c:dLbl>
            <c:dLbl>
              <c:idx val="15"/>
              <c:layout>
                <c:manualLayout>
                  <c:x val="2.0362260469454492E-3"/>
                  <c:y val="0.29267007436072617"/>
                </c:manualLayout>
              </c:layout>
              <c:showSerName val="1"/>
            </c:dLbl>
            <c:dLbl>
              <c:idx val="16"/>
              <c:layout>
                <c:manualLayout>
                  <c:x val="1.9784164157389665E-3"/>
                  <c:y val="0.14718490317928801"/>
                </c:manualLayout>
              </c:layout>
              <c:showSerName val="1"/>
            </c:dLbl>
            <c:dLbl>
              <c:idx val="17"/>
              <c:layout>
                <c:manualLayout>
                  <c:x val="1.998931970876952E-3"/>
                  <c:y val="0.19162255021980618"/>
                </c:manualLayout>
              </c:layout>
              <c:showSerName val="1"/>
            </c:dLbl>
            <c:dLbl>
              <c:idx val="18"/>
              <c:layout>
                <c:manualLayout>
                  <c:x val="1.9375378374714904E-3"/>
                  <c:y val="0.27509047900893802"/>
                </c:manualLayout>
              </c:layout>
              <c:showSerName val="1"/>
            </c:dLbl>
            <c:dLbl>
              <c:idx val="19"/>
              <c:layout>
                <c:manualLayout>
                  <c:x val="1.0165173190254321E-3"/>
                  <c:y val="0.20820013812753019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10'!$F$19:$Y$19</c:f>
              <c:numCache>
                <c:formatCode>0.0%</c:formatCode>
                <c:ptCount val="20"/>
                <c:pt idx="0">
                  <c:v>0.56850102669404512</c:v>
                </c:pt>
                <c:pt idx="1">
                  <c:v>0.53708631835120535</c:v>
                </c:pt>
                <c:pt idx="2">
                  <c:v>0.64156361700509534</c:v>
                </c:pt>
                <c:pt idx="3">
                  <c:v>1.4966719902654193</c:v>
                </c:pt>
                <c:pt idx="4">
                  <c:v>1.2491395543387329</c:v>
                </c:pt>
                <c:pt idx="5">
                  <c:v>0.14283215453646669</c:v>
                </c:pt>
                <c:pt idx="6">
                  <c:v>0.74896494029964256</c:v>
                </c:pt>
                <c:pt idx="7">
                  <c:v>0.87332572819225796</c:v>
                </c:pt>
                <c:pt idx="8">
                  <c:v>0.8333594950186326</c:v>
                </c:pt>
                <c:pt idx="9">
                  <c:v>0.79870499657768657</c:v>
                </c:pt>
                <c:pt idx="10">
                  <c:v>0.49105452886151035</c:v>
                </c:pt>
                <c:pt idx="11">
                  <c:v>0.51799832686896341</c:v>
                </c:pt>
                <c:pt idx="12">
                  <c:v>0.79070469237204344</c:v>
                </c:pt>
                <c:pt idx="13">
                  <c:v>0.88373260323979008</c:v>
                </c:pt>
                <c:pt idx="14">
                  <c:v>0.63720313331812295</c:v>
                </c:pt>
                <c:pt idx="15">
                  <c:v>1.1304716708494942</c:v>
                </c:pt>
                <c:pt idx="16">
                  <c:v>0.55271792531751474</c:v>
                </c:pt>
                <c:pt idx="17">
                  <c:v>0.79055319796182211</c:v>
                </c:pt>
                <c:pt idx="18">
                  <c:v>1.0857826450680661</c:v>
                </c:pt>
                <c:pt idx="19">
                  <c:v>0.76268096433188837</c:v>
                </c:pt>
              </c:numCache>
            </c:numRef>
          </c:val>
        </c:ser>
        <c:gapWidth val="75"/>
        <c:shape val="box"/>
        <c:axId val="111037440"/>
        <c:axId val="111416064"/>
        <c:axId val="0"/>
      </c:bar3DChart>
      <c:catAx>
        <c:axId val="1110374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11416064"/>
        <c:crosses val="autoZero"/>
        <c:auto val="1"/>
        <c:lblAlgn val="ctr"/>
        <c:lblOffset val="100"/>
      </c:catAx>
      <c:valAx>
        <c:axId val="1114160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03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May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8.3871143882610744E-2"/>
          <c:w val="0.93299344501092496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'May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'May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10'!$F$32:$Y$32</c:f>
              <c:numCache>
                <c:formatCode>0.0%</c:formatCode>
                <c:ptCount val="20"/>
                <c:pt idx="0">
                  <c:v>4.5476799999999997</c:v>
                </c:pt>
                <c:pt idx="1">
                  <c:v>2.4199733333333335</c:v>
                </c:pt>
                <c:pt idx="2">
                  <c:v>1.8015644444444447</c:v>
                </c:pt>
                <c:pt idx="3">
                  <c:v>1.6779733333333333</c:v>
                </c:pt>
                <c:pt idx="4">
                  <c:v>1.4265813333333333</c:v>
                </c:pt>
                <c:pt idx="5">
                  <c:v>1.2135733333333334</c:v>
                </c:pt>
                <c:pt idx="6">
                  <c:v>1.1003504761904761</c:v>
                </c:pt>
                <c:pt idx="7">
                  <c:v>1.1284933333333333</c:v>
                </c:pt>
                <c:pt idx="8">
                  <c:v>1.1434133333333334</c:v>
                </c:pt>
                <c:pt idx="9">
                  <c:v>1.1124853333333333</c:v>
                </c:pt>
                <c:pt idx="10">
                  <c:v>1.0514521212121211</c:v>
                </c:pt>
                <c:pt idx="11">
                  <c:v>1.0129422222222224</c:v>
                </c:pt>
                <c:pt idx="12">
                  <c:v>0.99142153846153847</c:v>
                </c:pt>
                <c:pt idx="13">
                  <c:v>0.96771047619047601</c:v>
                </c:pt>
                <c:pt idx="14">
                  <c:v>0.91277866666666663</c:v>
                </c:pt>
                <c:pt idx="15">
                  <c:v>0.96223000000000003</c:v>
                </c:pt>
                <c:pt idx="16">
                  <c:v>0.92878117647058811</c:v>
                </c:pt>
                <c:pt idx="17">
                  <c:v>0.95531851851851846</c:v>
                </c:pt>
                <c:pt idx="18">
                  <c:v>0.98758456140350881</c:v>
                </c:pt>
                <c:pt idx="19">
                  <c:v>1.0010053333333333</c:v>
                </c:pt>
              </c:numCache>
            </c:numRef>
          </c:val>
        </c:ser>
        <c:ser>
          <c:idx val="1"/>
          <c:order val="1"/>
          <c:tx>
            <c:strRef>
              <c:f>'May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'May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10'!$F$33:$Y$33</c:f>
              <c:numCache>
                <c:formatCode>0.0%</c:formatCode>
                <c:ptCount val="20"/>
                <c:pt idx="0">
                  <c:v>0.97046153846153849</c:v>
                </c:pt>
                <c:pt idx="1">
                  <c:v>1.3874153846153847</c:v>
                </c:pt>
                <c:pt idx="2">
                  <c:v>1.154276923076923</c:v>
                </c:pt>
                <c:pt idx="3">
                  <c:v>1.0809384615384616</c:v>
                </c:pt>
                <c:pt idx="4">
                  <c:v>1.2452430769230769</c:v>
                </c:pt>
                <c:pt idx="5">
                  <c:v>1.0653435897435897</c:v>
                </c:pt>
                <c:pt idx="6">
                  <c:v>0.91315164835164842</c:v>
                </c:pt>
                <c:pt idx="7">
                  <c:v>0.87354615384615386</c:v>
                </c:pt>
                <c:pt idx="8">
                  <c:v>0.84616068376068387</c:v>
                </c:pt>
                <c:pt idx="9">
                  <c:v>0.80763692307692303</c:v>
                </c:pt>
                <c:pt idx="10">
                  <c:v>0.7342153846153846</c:v>
                </c:pt>
                <c:pt idx="11">
                  <c:v>0.68072307692307688</c:v>
                </c:pt>
                <c:pt idx="12">
                  <c:v>0.62835976331360954</c:v>
                </c:pt>
                <c:pt idx="13">
                  <c:v>0.61637802197802194</c:v>
                </c:pt>
                <c:pt idx="14">
                  <c:v>0.64061948717948725</c:v>
                </c:pt>
                <c:pt idx="15">
                  <c:v>0.6411</c:v>
                </c:pt>
                <c:pt idx="16">
                  <c:v>0.61786787330316739</c:v>
                </c:pt>
                <c:pt idx="17">
                  <c:v>0.58354188034188026</c:v>
                </c:pt>
                <c:pt idx="18">
                  <c:v>0.56835951417004049</c:v>
                </c:pt>
                <c:pt idx="19">
                  <c:v>0.54301846153846156</c:v>
                </c:pt>
              </c:numCache>
            </c:numRef>
          </c:val>
        </c:ser>
        <c:ser>
          <c:idx val="2"/>
          <c:order val="2"/>
          <c:tx>
            <c:strRef>
              <c:f>'May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'May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10'!$F$34:$Y$34</c:f>
              <c:numCache>
                <c:formatCode>0.0%</c:formatCode>
                <c:ptCount val="20"/>
                <c:pt idx="0">
                  <c:v>1.3474509803921568</c:v>
                </c:pt>
                <c:pt idx="1">
                  <c:v>0.77941176470588236</c:v>
                </c:pt>
                <c:pt idx="2">
                  <c:v>0.56274509803921569</c:v>
                </c:pt>
                <c:pt idx="3">
                  <c:v>0.6335294117647059</c:v>
                </c:pt>
                <c:pt idx="4">
                  <c:v>0.50682352941176467</c:v>
                </c:pt>
                <c:pt idx="5">
                  <c:v>0.47915032679738562</c:v>
                </c:pt>
                <c:pt idx="6">
                  <c:v>0.46442577030812326</c:v>
                </c:pt>
                <c:pt idx="7">
                  <c:v>0.52</c:v>
                </c:pt>
                <c:pt idx="8">
                  <c:v>0.50008714596949888</c:v>
                </c:pt>
                <c:pt idx="9">
                  <c:v>0.47869803921568621</c:v>
                </c:pt>
                <c:pt idx="10">
                  <c:v>0.45439572192513372</c:v>
                </c:pt>
                <c:pt idx="11">
                  <c:v>0.50071241830065361</c:v>
                </c:pt>
                <c:pt idx="12">
                  <c:v>0.4721508295625943</c:v>
                </c:pt>
                <c:pt idx="13">
                  <c:v>0.49524929971988796</c:v>
                </c:pt>
                <c:pt idx="14">
                  <c:v>0.50688627450980395</c:v>
                </c:pt>
                <c:pt idx="15">
                  <c:v>0.4997156862745098</c:v>
                </c:pt>
                <c:pt idx="16">
                  <c:v>0.56434602076124574</c:v>
                </c:pt>
                <c:pt idx="17">
                  <c:v>0.56998692810457519</c:v>
                </c:pt>
                <c:pt idx="18">
                  <c:v>0.59294943240454079</c:v>
                </c:pt>
                <c:pt idx="19">
                  <c:v>0.56996862745098043</c:v>
                </c:pt>
              </c:numCache>
            </c:numRef>
          </c:val>
        </c:ser>
        <c:ser>
          <c:idx val="3"/>
          <c:order val="3"/>
          <c:tx>
            <c:strRef>
              <c:f>'May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'May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10'!$F$35:$Y$35</c:f>
              <c:numCache>
                <c:formatCode>0.0%</c:formatCode>
                <c:ptCount val="20"/>
                <c:pt idx="0">
                  <c:v>3.1263829787234041</c:v>
                </c:pt>
                <c:pt idx="1">
                  <c:v>1.9191914893617021</c:v>
                </c:pt>
                <c:pt idx="2">
                  <c:v>1.5715460992907802</c:v>
                </c:pt>
                <c:pt idx="3">
                  <c:v>1.7706808510638294</c:v>
                </c:pt>
                <c:pt idx="4">
                  <c:v>1.9064340425531914</c:v>
                </c:pt>
                <c:pt idx="5">
                  <c:v>1.5886950354609928</c:v>
                </c:pt>
                <c:pt idx="6">
                  <c:v>1.6362674772036474</c:v>
                </c:pt>
                <c:pt idx="7">
                  <c:v>1.5540212765957444</c:v>
                </c:pt>
                <c:pt idx="8">
                  <c:v>1.4794420803782504</c:v>
                </c:pt>
                <c:pt idx="9">
                  <c:v>1.4563063829787233</c:v>
                </c:pt>
                <c:pt idx="10">
                  <c:v>1.4257949709864604</c:v>
                </c:pt>
                <c:pt idx="11">
                  <c:v>1.3498510638297874</c:v>
                </c:pt>
                <c:pt idx="12">
                  <c:v>1.3623698854337152</c:v>
                </c:pt>
                <c:pt idx="13">
                  <c:v>1.3692583586626137</c:v>
                </c:pt>
                <c:pt idx="14">
                  <c:v>1.3364312056737588</c:v>
                </c:pt>
                <c:pt idx="15">
                  <c:v>1.3286276595744679</c:v>
                </c:pt>
                <c:pt idx="16">
                  <c:v>1.2666282853566957</c:v>
                </c:pt>
                <c:pt idx="17">
                  <c:v>1.2153333333333332</c:v>
                </c:pt>
                <c:pt idx="18">
                  <c:v>1.1939216125419931</c:v>
                </c:pt>
                <c:pt idx="19">
                  <c:v>1.094868085106383</c:v>
                </c:pt>
              </c:numCache>
            </c:numRef>
          </c:val>
        </c:ser>
        <c:ser>
          <c:idx val="4"/>
          <c:order val="4"/>
          <c:tx>
            <c:strRef>
              <c:f>'May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'May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'May 10'!$F$36:$Y$36</c:f>
              <c:numCache>
                <c:formatCode>0.0%</c:formatCode>
                <c:ptCount val="20"/>
                <c:pt idx="0">
                  <c:v>2.6883626131264733</c:v>
                </c:pt>
                <c:pt idx="1">
                  <c:v>1.731638451593277</c:v>
                </c:pt>
                <c:pt idx="2">
                  <c:v>1.3579363703196694</c:v>
                </c:pt>
                <c:pt idx="3">
                  <c:v>1.3752835957107004</c:v>
                </c:pt>
                <c:pt idx="4">
                  <c:v>1.3618736633964559</c:v>
                </c:pt>
                <c:pt idx="5">
                  <c:v>1.1587000785864578</c:v>
                </c:pt>
                <c:pt idx="6">
                  <c:v>1.1001664874026271</c:v>
                </c:pt>
                <c:pt idx="7">
                  <c:v>1.0839967297893374</c:v>
                </c:pt>
                <c:pt idx="8">
                  <c:v>1.0561481481481481</c:v>
                </c:pt>
                <c:pt idx="9">
                  <c:v>1.0272915658985473</c:v>
                </c:pt>
                <c:pt idx="10">
                  <c:v>0.97855330858205614</c:v>
                </c:pt>
                <c:pt idx="11">
                  <c:v>0.94017372677263167</c:v>
                </c:pt>
                <c:pt idx="12">
                  <c:v>0.91977790648016522</c:v>
                </c:pt>
                <c:pt idx="13">
                  <c:v>0.91610477711504412</c:v>
                </c:pt>
                <c:pt idx="14">
                  <c:v>0.89883969883641346</c:v>
                </c:pt>
                <c:pt idx="15">
                  <c:v>0.90952285344893158</c:v>
                </c:pt>
                <c:pt idx="16">
                  <c:v>0.8873495725463354</c:v>
                </c:pt>
                <c:pt idx="17">
                  <c:v>0.87238346811333334</c:v>
                </c:pt>
                <c:pt idx="18">
                  <c:v>0.87556493789801904</c:v>
                </c:pt>
                <c:pt idx="19">
                  <c:v>0.84008514715947979</c:v>
                </c:pt>
              </c:numCache>
            </c:numRef>
          </c:val>
        </c:ser>
        <c:marker val="1"/>
        <c:axId val="111475712"/>
        <c:axId val="111485696"/>
      </c:lineChart>
      <c:catAx>
        <c:axId val="111475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485696"/>
        <c:crosses val="autoZero"/>
        <c:auto val="1"/>
        <c:lblAlgn val="ctr"/>
        <c:lblOffset val="100"/>
      </c:catAx>
      <c:valAx>
        <c:axId val="11148569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47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11944646758901"/>
          <c:y val="0.9225826771653535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June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'Jun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'Jun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10'!$F$40:$Y$40</c:f>
              <c:numCache>
                <c:formatCode>0</c:formatCode>
                <c:ptCount val="20"/>
                <c:pt idx="0">
                  <c:v>1580280</c:v>
                </c:pt>
                <c:pt idx="1">
                  <c:v>1087280</c:v>
                </c:pt>
                <c:pt idx="2">
                  <c:v>856780</c:v>
                </c:pt>
                <c:pt idx="3">
                  <c:v>744575</c:v>
                </c:pt>
                <c:pt idx="4">
                  <c:v>703380</c:v>
                </c:pt>
                <c:pt idx="5">
                  <c:v>633813.33333333337</c:v>
                </c:pt>
                <c:pt idx="6">
                  <c:v>585142.85714285716</c:v>
                </c:pt>
                <c:pt idx="7">
                  <c:v>558420</c:v>
                </c:pt>
                <c:pt idx="8">
                  <c:v>525257.77777777775</c:v>
                </c:pt>
                <c:pt idx="9">
                  <c:v>514514</c:v>
                </c:pt>
                <c:pt idx="10">
                  <c:v>467740</c:v>
                </c:pt>
                <c:pt idx="11">
                  <c:v>440785</c:v>
                </c:pt>
                <c:pt idx="12">
                  <c:v>449789.23076923075</c:v>
                </c:pt>
                <c:pt idx="13">
                  <c:v>467540</c:v>
                </c:pt>
                <c:pt idx="14">
                  <c:v>486572</c:v>
                </c:pt>
                <c:pt idx="15">
                  <c:v>456737.5</c:v>
                </c:pt>
                <c:pt idx="16">
                  <c:v>437735.29411764705</c:v>
                </c:pt>
                <c:pt idx="17">
                  <c:v>431471.11111111112</c:v>
                </c:pt>
                <c:pt idx="18">
                  <c:v>414625.26315789472</c:v>
                </c:pt>
                <c:pt idx="19">
                  <c:v>412377</c:v>
                </c:pt>
              </c:numCache>
            </c:numRef>
          </c:val>
        </c:ser>
        <c:ser>
          <c:idx val="1"/>
          <c:order val="1"/>
          <c:tx>
            <c:strRef>
              <c:f>'Jun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'Jun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10'!$F$41:$Y$41</c:f>
              <c:numCache>
                <c:formatCode>0</c:formatCode>
                <c:ptCount val="20"/>
                <c:pt idx="0">
                  <c:v>1126920</c:v>
                </c:pt>
                <c:pt idx="1">
                  <c:v>596410</c:v>
                </c:pt>
                <c:pt idx="2">
                  <c:v>410906.66666666663</c:v>
                </c:pt>
                <c:pt idx="3">
                  <c:v>308180</c:v>
                </c:pt>
                <c:pt idx="4">
                  <c:v>257324</c:v>
                </c:pt>
                <c:pt idx="5">
                  <c:v>235736.66666666669</c:v>
                </c:pt>
                <c:pt idx="6">
                  <c:v>227331.42857142858</c:v>
                </c:pt>
                <c:pt idx="7">
                  <c:v>217665</c:v>
                </c:pt>
                <c:pt idx="8">
                  <c:v>215457.77777777778</c:v>
                </c:pt>
                <c:pt idx="9">
                  <c:v>193912</c:v>
                </c:pt>
                <c:pt idx="10">
                  <c:v>199347.27272727271</c:v>
                </c:pt>
                <c:pt idx="11">
                  <c:v>202551.66666666669</c:v>
                </c:pt>
                <c:pt idx="12">
                  <c:v>186970.76923076922</c:v>
                </c:pt>
                <c:pt idx="13">
                  <c:v>187458.57142857142</c:v>
                </c:pt>
                <c:pt idx="14">
                  <c:v>196754.66666666669</c:v>
                </c:pt>
                <c:pt idx="15">
                  <c:v>194945</c:v>
                </c:pt>
                <c:pt idx="16">
                  <c:v>198524.70588235295</c:v>
                </c:pt>
                <c:pt idx="17">
                  <c:v>201484.44444444444</c:v>
                </c:pt>
                <c:pt idx="18">
                  <c:v>200132.63157894736</c:v>
                </c:pt>
                <c:pt idx="19">
                  <c:v>208806</c:v>
                </c:pt>
              </c:numCache>
            </c:numRef>
          </c:val>
        </c:ser>
        <c:ser>
          <c:idx val="2"/>
          <c:order val="2"/>
          <c:tx>
            <c:strRef>
              <c:f>'Jun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'Jun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10'!$F$42:$Y$42</c:f>
              <c:numCache>
                <c:formatCode>0</c:formatCode>
                <c:ptCount val="20"/>
                <c:pt idx="0">
                  <c:v>993096</c:v>
                </c:pt>
                <c:pt idx="1">
                  <c:v>559053</c:v>
                </c:pt>
                <c:pt idx="2">
                  <c:v>372702.00000000006</c:v>
                </c:pt>
                <c:pt idx="3">
                  <c:v>306009</c:v>
                </c:pt>
                <c:pt idx="4">
                  <c:v>303235.20000000001</c:v>
                </c:pt>
                <c:pt idx="5">
                  <c:v>278766</c:v>
                </c:pt>
                <c:pt idx="6">
                  <c:v>271419.42857142858</c:v>
                </c:pt>
                <c:pt idx="7">
                  <c:v>257922</c:v>
                </c:pt>
                <c:pt idx="8">
                  <c:v>250854</c:v>
                </c:pt>
                <c:pt idx="9">
                  <c:v>239250.6</c:v>
                </c:pt>
                <c:pt idx="10">
                  <c:v>217500.54545454547</c:v>
                </c:pt>
                <c:pt idx="11">
                  <c:v>204918</c:v>
                </c:pt>
                <c:pt idx="12">
                  <c:v>208726.6153846154</c:v>
                </c:pt>
                <c:pt idx="13">
                  <c:v>208596.85714285716</c:v>
                </c:pt>
                <c:pt idx="14">
                  <c:v>197924.40000000002</c:v>
                </c:pt>
                <c:pt idx="15">
                  <c:v>198078.75</c:v>
                </c:pt>
                <c:pt idx="16">
                  <c:v>190980</c:v>
                </c:pt>
                <c:pt idx="17">
                  <c:v>177570</c:v>
                </c:pt>
                <c:pt idx="18">
                  <c:v>177446.84210526317</c:v>
                </c:pt>
                <c:pt idx="19">
                  <c:v>177595.2</c:v>
                </c:pt>
              </c:numCache>
            </c:numRef>
          </c:val>
        </c:ser>
        <c:ser>
          <c:idx val="3"/>
          <c:order val="3"/>
          <c:tx>
            <c:strRef>
              <c:f>'Jun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'Jun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10'!$F$43:$Y$43</c:f>
              <c:numCache>
                <c:formatCode>0</c:formatCode>
                <c:ptCount val="20"/>
                <c:pt idx="0">
                  <c:v>2643778.3999999994</c:v>
                </c:pt>
                <c:pt idx="1">
                  <c:v>1474409.1999999997</c:v>
                </c:pt>
                <c:pt idx="2">
                  <c:v>1114511.2</c:v>
                </c:pt>
                <c:pt idx="3">
                  <c:v>991224.2</c:v>
                </c:pt>
                <c:pt idx="4">
                  <c:v>875924</c:v>
                </c:pt>
                <c:pt idx="5">
                  <c:v>799051.73333333328</c:v>
                </c:pt>
                <c:pt idx="6">
                  <c:v>751480.79999999981</c:v>
                </c:pt>
                <c:pt idx="7">
                  <c:v>681194.5</c:v>
                </c:pt>
                <c:pt idx="8">
                  <c:v>638940.35555555555</c:v>
                </c:pt>
                <c:pt idx="9">
                  <c:v>606747.52</c:v>
                </c:pt>
                <c:pt idx="10">
                  <c:v>565248.36363636353</c:v>
                </c:pt>
                <c:pt idx="11">
                  <c:v>538939.53333333333</c:v>
                </c:pt>
                <c:pt idx="12">
                  <c:v>483620.86153846153</c:v>
                </c:pt>
                <c:pt idx="13">
                  <c:v>460216.8</c:v>
                </c:pt>
                <c:pt idx="14">
                  <c:v>457573.12</c:v>
                </c:pt>
                <c:pt idx="15">
                  <c:v>439189.94999999995</c:v>
                </c:pt>
                <c:pt idx="16">
                  <c:v>425221.12941176462</c:v>
                </c:pt>
                <c:pt idx="17">
                  <c:v>397681.77777777775</c:v>
                </c:pt>
                <c:pt idx="18">
                  <c:v>387188.46315789473</c:v>
                </c:pt>
                <c:pt idx="19">
                  <c:v>374044.6399999999</c:v>
                </c:pt>
              </c:numCache>
            </c:numRef>
          </c:val>
        </c:ser>
        <c:ser>
          <c:idx val="4"/>
          <c:order val="4"/>
          <c:tx>
            <c:strRef>
              <c:f>'Jun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'Jun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10'!$F$44:$Y$44</c:f>
              <c:numCache>
                <c:formatCode>0</c:formatCode>
                <c:ptCount val="20"/>
                <c:pt idx="0">
                  <c:v>6344074.3999999994</c:v>
                </c:pt>
                <c:pt idx="1">
                  <c:v>3717152.1999999997</c:v>
                </c:pt>
                <c:pt idx="2">
                  <c:v>2754899.8666666662</c:v>
                </c:pt>
                <c:pt idx="3">
                  <c:v>2349988.2000000002</c:v>
                </c:pt>
                <c:pt idx="4">
                  <c:v>2139863.2000000002</c:v>
                </c:pt>
                <c:pt idx="5">
                  <c:v>1947367.7333333334</c:v>
                </c:pt>
                <c:pt idx="6">
                  <c:v>1835374.5142857141</c:v>
                </c:pt>
                <c:pt idx="7">
                  <c:v>1715201.5</c:v>
                </c:pt>
                <c:pt idx="8">
                  <c:v>1630509.9111111111</c:v>
                </c:pt>
                <c:pt idx="9">
                  <c:v>1554424.12</c:v>
                </c:pt>
                <c:pt idx="10">
                  <c:v>1449836.1818181816</c:v>
                </c:pt>
                <c:pt idx="11">
                  <c:v>1387194.2000000002</c:v>
                </c:pt>
                <c:pt idx="12">
                  <c:v>1329107.4769230769</c:v>
                </c:pt>
                <c:pt idx="13">
                  <c:v>1323812.2285714285</c:v>
                </c:pt>
                <c:pt idx="14">
                  <c:v>1338824.1866666668</c:v>
                </c:pt>
                <c:pt idx="15">
                  <c:v>1288951.2</c:v>
                </c:pt>
                <c:pt idx="16">
                  <c:v>1252461.1294117647</c:v>
                </c:pt>
                <c:pt idx="17">
                  <c:v>1208207.3333333333</c:v>
                </c:pt>
                <c:pt idx="18">
                  <c:v>1179393.2</c:v>
                </c:pt>
                <c:pt idx="19">
                  <c:v>1172822.8399999999</c:v>
                </c:pt>
              </c:numCache>
            </c:numRef>
          </c:val>
        </c:ser>
        <c:marker val="1"/>
        <c:axId val="111620096"/>
        <c:axId val="111621632"/>
      </c:lineChart>
      <c:catAx>
        <c:axId val="1116200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621632"/>
        <c:crosses val="autoZero"/>
        <c:auto val="1"/>
        <c:lblAlgn val="ctr"/>
        <c:lblOffset val="100"/>
      </c:catAx>
      <c:valAx>
        <c:axId val="111621632"/>
        <c:scaling>
          <c:orientation val="minMax"/>
          <c:max val="250000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620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25754017589932"/>
          <c:y val="0.92826178249459435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June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'Jun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10'!$F$15:$Y$15</c:f>
              <c:numCache>
                <c:formatCode>0.0%</c:formatCode>
                <c:ptCount val="20"/>
                <c:pt idx="0">
                  <c:v>0.52160000000000006</c:v>
                </c:pt>
                <c:pt idx="1">
                  <c:v>1.5847466666666667</c:v>
                </c:pt>
                <c:pt idx="2">
                  <c:v>1.4515733333333334</c:v>
                </c:pt>
                <c:pt idx="3">
                  <c:v>1.0878933333333334</c:v>
                </c:pt>
                <c:pt idx="4">
                  <c:v>1.5053866666666667</c:v>
                </c:pt>
                <c:pt idx="5">
                  <c:v>0.69349333333333329</c:v>
                </c:pt>
                <c:pt idx="6">
                  <c:v>0.78165333333333331</c:v>
                </c:pt>
                <c:pt idx="7">
                  <c:v>0.99029333333333336</c:v>
                </c:pt>
                <c:pt idx="8">
                  <c:v>0.69322666666666666</c:v>
                </c:pt>
                <c:pt idx="9">
                  <c:v>1.1141866666666667</c:v>
                </c:pt>
                <c:pt idx="10">
                  <c:v>0</c:v>
                </c:pt>
                <c:pt idx="11">
                  <c:v>0.38954666666666671</c:v>
                </c:pt>
                <c:pt idx="12">
                  <c:v>1.4875733333333334</c:v>
                </c:pt>
                <c:pt idx="13">
                  <c:v>2.0797866666666667</c:v>
                </c:pt>
                <c:pt idx="14">
                  <c:v>2.0080533333333332</c:v>
                </c:pt>
                <c:pt idx="15">
                  <c:v>0.2970666666666667</c:v>
                </c:pt>
                <c:pt idx="16">
                  <c:v>0.35653333333333337</c:v>
                </c:pt>
                <c:pt idx="17">
                  <c:v>0.86661333333333335</c:v>
                </c:pt>
                <c:pt idx="18">
                  <c:v>1.0537066666666666</c:v>
                </c:pt>
                <c:pt idx="19">
                  <c:v>1.4067733333333332</c:v>
                </c:pt>
              </c:numCache>
            </c:numRef>
          </c:val>
        </c:ser>
        <c:ser>
          <c:idx val="1"/>
          <c:order val="1"/>
          <c:tx>
            <c:strRef>
              <c:f>'Jun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10'!$F$16:$Y$16</c:f>
              <c:numCache>
                <c:formatCode>0.0%</c:formatCode>
                <c:ptCount val="20"/>
                <c:pt idx="0">
                  <c:v>0</c:v>
                </c:pt>
                <c:pt idx="1">
                  <c:v>0.20276923076923081</c:v>
                </c:pt>
                <c:pt idx="2">
                  <c:v>0.12276923076923074</c:v>
                </c:pt>
                <c:pt idx="3">
                  <c:v>0</c:v>
                </c:pt>
                <c:pt idx="4">
                  <c:v>0.16584615384615387</c:v>
                </c:pt>
                <c:pt idx="5">
                  <c:v>0.39323076923076927</c:v>
                </c:pt>
                <c:pt idx="6">
                  <c:v>0.54430769230769238</c:v>
                </c:pt>
                <c:pt idx="7">
                  <c:v>0.46153846153846156</c:v>
                </c:pt>
                <c:pt idx="8">
                  <c:v>0.33169230769230773</c:v>
                </c:pt>
                <c:pt idx="9">
                  <c:v>0</c:v>
                </c:pt>
                <c:pt idx="10">
                  <c:v>0.7806153846153846</c:v>
                </c:pt>
                <c:pt idx="11">
                  <c:v>0.73169230769230764</c:v>
                </c:pt>
                <c:pt idx="12">
                  <c:v>0.43046153846153845</c:v>
                </c:pt>
                <c:pt idx="13">
                  <c:v>0.16584615384615387</c:v>
                </c:pt>
                <c:pt idx="14">
                  <c:v>1.0058461538461538</c:v>
                </c:pt>
                <c:pt idx="15">
                  <c:v>0.51630769230769236</c:v>
                </c:pt>
                <c:pt idx="16">
                  <c:v>0.78707692307692312</c:v>
                </c:pt>
                <c:pt idx="17">
                  <c:v>0.77476923076923077</c:v>
                </c:pt>
                <c:pt idx="18">
                  <c:v>0.54092307692307684</c:v>
                </c:pt>
                <c:pt idx="19">
                  <c:v>0.22738461538461541</c:v>
                </c:pt>
              </c:numCache>
            </c:numRef>
          </c:val>
        </c:ser>
        <c:ser>
          <c:idx val="2"/>
          <c:order val="2"/>
          <c:tx>
            <c:strRef>
              <c:f>'Jun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10'!$F$17:$Y$17</c:f>
              <c:numCache>
                <c:formatCode>0.0%</c:formatCode>
                <c:ptCount val="20"/>
                <c:pt idx="0">
                  <c:v>0.79882352941176471</c:v>
                </c:pt>
                <c:pt idx="1">
                  <c:v>0.54470588235294115</c:v>
                </c:pt>
                <c:pt idx="2">
                  <c:v>0</c:v>
                </c:pt>
                <c:pt idx="3">
                  <c:v>0.46156862745098037</c:v>
                </c:pt>
                <c:pt idx="4">
                  <c:v>1.2729411764705882</c:v>
                </c:pt>
                <c:pt idx="5">
                  <c:v>0.68156862745098046</c:v>
                </c:pt>
                <c:pt idx="6">
                  <c:v>0.99058823529411766</c:v>
                </c:pt>
                <c:pt idx="7">
                  <c:v>0.71215686274509804</c:v>
                </c:pt>
                <c:pt idx="8">
                  <c:v>0.84666666666666668</c:v>
                </c:pt>
                <c:pt idx="9">
                  <c:v>0.58745098039215682</c:v>
                </c:pt>
                <c:pt idx="10">
                  <c:v>0</c:v>
                </c:pt>
                <c:pt idx="11">
                  <c:v>0.28980392156862744</c:v>
                </c:pt>
                <c:pt idx="12">
                  <c:v>1.1086274509803922</c:v>
                </c:pt>
                <c:pt idx="13">
                  <c:v>0.90156862745098043</c:v>
                </c:pt>
                <c:pt idx="14">
                  <c:v>0.21137254901960789</c:v>
                </c:pt>
                <c:pt idx="15">
                  <c:v>0.86901960784313725</c:v>
                </c:pt>
                <c:pt idx="16">
                  <c:v>0.48949019607843147</c:v>
                </c:pt>
                <c:pt idx="17">
                  <c:v>0.32862745098039214</c:v>
                </c:pt>
                <c:pt idx="18">
                  <c:v>0.7635294117647059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'Jun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10'!$F$18:$Y$18</c:f>
              <c:numCache>
                <c:formatCode>0.0%</c:formatCode>
                <c:ptCount val="20"/>
                <c:pt idx="0">
                  <c:v>0.30910638297872339</c:v>
                </c:pt>
                <c:pt idx="1">
                  <c:v>0.6818723404255318</c:v>
                </c:pt>
                <c:pt idx="2">
                  <c:v>1.0241702127659573</c:v>
                </c:pt>
                <c:pt idx="3">
                  <c:v>1.6122553191489362</c:v>
                </c:pt>
                <c:pt idx="4">
                  <c:v>1.1819574468085106</c:v>
                </c:pt>
                <c:pt idx="5">
                  <c:v>1.181872340425532</c:v>
                </c:pt>
                <c:pt idx="6">
                  <c:v>1.2092765957446807</c:v>
                </c:pt>
                <c:pt idx="7">
                  <c:v>0.49089361702127654</c:v>
                </c:pt>
                <c:pt idx="8">
                  <c:v>0.83157446808510627</c:v>
                </c:pt>
                <c:pt idx="9">
                  <c:v>0.8217021276595744</c:v>
                </c:pt>
                <c:pt idx="10">
                  <c:v>0.8697872340425532</c:v>
                </c:pt>
                <c:pt idx="11">
                  <c:v>0.30748936170212759</c:v>
                </c:pt>
                <c:pt idx="12">
                  <c:v>0.47565957446808504</c:v>
                </c:pt>
                <c:pt idx="13">
                  <c:v>0.52280851063829781</c:v>
                </c:pt>
                <c:pt idx="14">
                  <c:v>0.69974468085106389</c:v>
                </c:pt>
                <c:pt idx="15">
                  <c:v>1.0708936170212766</c:v>
                </c:pt>
                <c:pt idx="16">
                  <c:v>0.69965957446808502</c:v>
                </c:pt>
                <c:pt idx="17">
                  <c:v>0.37137913855734306</c:v>
                </c:pt>
                <c:pt idx="18">
                  <c:v>0.9146382978723403</c:v>
                </c:pt>
                <c:pt idx="19">
                  <c:v>0.98161702127659567</c:v>
                </c:pt>
              </c:numCache>
            </c:numRef>
          </c:val>
        </c:ser>
        <c:ser>
          <c:idx val="4"/>
          <c:order val="4"/>
          <c:tx>
            <c:strRef>
              <c:f>'Jun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'Jun 10'!$F$19:$Y$19</c:f>
              <c:numCache>
                <c:formatCode>0.0%</c:formatCode>
                <c:ptCount val="20"/>
                <c:pt idx="0">
                  <c:v>0.37878135219408315</c:v>
                </c:pt>
                <c:pt idx="1">
                  <c:v>0.79700631226709251</c:v>
                </c:pt>
                <c:pt idx="2">
                  <c:v>0.74450924024640641</c:v>
                </c:pt>
                <c:pt idx="3">
                  <c:v>0.8633760742261769</c:v>
                </c:pt>
                <c:pt idx="4">
                  <c:v>1.0389279793140165</c:v>
                </c:pt>
                <c:pt idx="5">
                  <c:v>0.76034192714274851</c:v>
                </c:pt>
                <c:pt idx="6">
                  <c:v>0.8847936725226252</c:v>
                </c:pt>
                <c:pt idx="7">
                  <c:v>0.66468202905163887</c:v>
                </c:pt>
                <c:pt idx="8">
                  <c:v>0.67119841813065628</c:v>
                </c:pt>
                <c:pt idx="9">
                  <c:v>0.66113316602022965</c:v>
                </c:pt>
                <c:pt idx="10">
                  <c:v>0.4478789261540802</c:v>
                </c:pt>
                <c:pt idx="11">
                  <c:v>0.43265373792683859</c:v>
                </c:pt>
                <c:pt idx="12">
                  <c:v>0.86355555555555552</c:v>
                </c:pt>
                <c:pt idx="13">
                  <c:v>0.944726138869876</c:v>
                </c:pt>
                <c:pt idx="14">
                  <c:v>1.0632835957107005</c:v>
                </c:pt>
                <c:pt idx="15">
                  <c:v>0.6778936801277663</c:v>
                </c:pt>
                <c:pt idx="16">
                  <c:v>0.58672659517834047</c:v>
                </c:pt>
                <c:pt idx="17">
                  <c:v>0.6048593201003879</c:v>
                </c:pt>
                <c:pt idx="18">
                  <c:v>0.8355552513499126</c:v>
                </c:pt>
                <c:pt idx="19">
                  <c:v>0.74511765153243581</c:v>
                </c:pt>
              </c:numCache>
            </c:numRef>
          </c:val>
        </c:ser>
        <c:gapWidth val="75"/>
        <c:axId val="111757568"/>
        <c:axId val="111775744"/>
      </c:barChart>
      <c:catAx>
        <c:axId val="1117575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11775744"/>
        <c:crosses val="autoZero"/>
        <c:auto val="1"/>
        <c:lblAlgn val="ctr"/>
        <c:lblOffset val="100"/>
      </c:catAx>
      <c:valAx>
        <c:axId val="1117757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11757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June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26584122359822E-2"/>
          <c:y val="8.3871143882610744E-2"/>
          <c:w val="0.93226511289148162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'Jun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'Jun 10'!$G$31:$Y$31</c:f>
              <c:strCache>
                <c:ptCount val="19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  <c:pt idx="13">
                  <c:v>Day 15</c:v>
                </c:pt>
                <c:pt idx="14">
                  <c:v>Day 16</c:v>
                </c:pt>
                <c:pt idx="15">
                  <c:v>Day 17</c:v>
                </c:pt>
                <c:pt idx="16">
                  <c:v>Day 18</c:v>
                </c:pt>
                <c:pt idx="17">
                  <c:v>Day 19</c:v>
                </c:pt>
                <c:pt idx="18">
                  <c:v>Day 20</c:v>
                </c:pt>
              </c:strCache>
            </c:strRef>
          </c:cat>
          <c:val>
            <c:numRef>
              <c:f>'Jun 10'!$G$32:$Y$32</c:f>
              <c:numCache>
                <c:formatCode>0.0%</c:formatCode>
                <c:ptCount val="19"/>
                <c:pt idx="0">
                  <c:v>2.8994133333333334</c:v>
                </c:pt>
                <c:pt idx="1">
                  <c:v>2.2847466666666665</c:v>
                </c:pt>
                <c:pt idx="2">
                  <c:v>1.9855333333333334</c:v>
                </c:pt>
                <c:pt idx="3">
                  <c:v>1.87568</c:v>
                </c:pt>
                <c:pt idx="4">
                  <c:v>1.6901688888888891</c:v>
                </c:pt>
                <c:pt idx="5">
                  <c:v>1.5603809523809524</c:v>
                </c:pt>
                <c:pt idx="6">
                  <c:v>1.48912</c:v>
                </c:pt>
                <c:pt idx="7">
                  <c:v>1.4006874074074074</c:v>
                </c:pt>
                <c:pt idx="8">
                  <c:v>1.3720373333333333</c:v>
                </c:pt>
                <c:pt idx="9">
                  <c:v>1.2473066666666666</c:v>
                </c:pt>
                <c:pt idx="10">
                  <c:v>1.1754266666666666</c:v>
                </c:pt>
                <c:pt idx="11">
                  <c:v>1.1994379487179487</c:v>
                </c:pt>
                <c:pt idx="12">
                  <c:v>1.2467733333333333</c:v>
                </c:pt>
                <c:pt idx="13">
                  <c:v>1.2975253333333334</c:v>
                </c:pt>
                <c:pt idx="14">
                  <c:v>1.2179666666666666</c:v>
                </c:pt>
                <c:pt idx="15">
                  <c:v>1.1672941176470588</c:v>
                </c:pt>
                <c:pt idx="16">
                  <c:v>1.1505896296296296</c:v>
                </c:pt>
                <c:pt idx="17">
                  <c:v>1.1056673684210525</c:v>
                </c:pt>
                <c:pt idx="18">
                  <c:v>1.099672</c:v>
                </c:pt>
              </c:numCache>
            </c:numRef>
          </c:val>
        </c:ser>
        <c:ser>
          <c:idx val="1"/>
          <c:order val="1"/>
          <c:tx>
            <c:strRef>
              <c:f>'Jun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'Jun 10'!$G$31:$Y$31</c:f>
              <c:strCache>
                <c:ptCount val="19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  <c:pt idx="13">
                  <c:v>Day 15</c:v>
                </c:pt>
                <c:pt idx="14">
                  <c:v>Day 16</c:v>
                </c:pt>
                <c:pt idx="15">
                  <c:v>Day 17</c:v>
                </c:pt>
                <c:pt idx="16">
                  <c:v>Day 18</c:v>
                </c:pt>
                <c:pt idx="17">
                  <c:v>Day 19</c:v>
                </c:pt>
                <c:pt idx="18">
                  <c:v>Day 20</c:v>
                </c:pt>
              </c:strCache>
            </c:strRef>
          </c:cat>
          <c:val>
            <c:numRef>
              <c:f>'Jun 10'!$G$33:$Y$33</c:f>
              <c:numCache>
                <c:formatCode>0.0%</c:formatCode>
                <c:ptCount val="19"/>
                <c:pt idx="0">
                  <c:v>1.8351076923076923</c:v>
                </c:pt>
                <c:pt idx="1">
                  <c:v>1.264328205128205</c:v>
                </c:pt>
                <c:pt idx="2">
                  <c:v>0.94824615384615385</c:v>
                </c:pt>
                <c:pt idx="3">
                  <c:v>0.7917661538461539</c:v>
                </c:pt>
                <c:pt idx="4">
                  <c:v>0.72534358974358981</c:v>
                </c:pt>
                <c:pt idx="5">
                  <c:v>0.69948131868131869</c:v>
                </c:pt>
                <c:pt idx="6">
                  <c:v>0.6697384615384615</c:v>
                </c:pt>
                <c:pt idx="7">
                  <c:v>0.66294700854700861</c:v>
                </c:pt>
                <c:pt idx="8">
                  <c:v>0.5966523076923077</c:v>
                </c:pt>
                <c:pt idx="9">
                  <c:v>0.61337622377622369</c:v>
                </c:pt>
                <c:pt idx="10">
                  <c:v>0.62323589743589747</c:v>
                </c:pt>
                <c:pt idx="11">
                  <c:v>0.57529467455621297</c:v>
                </c:pt>
                <c:pt idx="12">
                  <c:v>0.5767956043956044</c:v>
                </c:pt>
                <c:pt idx="13">
                  <c:v>0.60539897435897438</c:v>
                </c:pt>
                <c:pt idx="14">
                  <c:v>0.59983076923076928</c:v>
                </c:pt>
                <c:pt idx="15">
                  <c:v>0.61084524886877833</c:v>
                </c:pt>
                <c:pt idx="16">
                  <c:v>0.61995213675213678</c:v>
                </c:pt>
                <c:pt idx="17">
                  <c:v>0.6157927125506073</c:v>
                </c:pt>
                <c:pt idx="18">
                  <c:v>0.64248000000000005</c:v>
                </c:pt>
              </c:numCache>
            </c:numRef>
          </c:val>
        </c:ser>
        <c:ser>
          <c:idx val="2"/>
          <c:order val="2"/>
          <c:tx>
            <c:strRef>
              <c:f>'Jun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'Jun 10'!$G$31:$Y$31</c:f>
              <c:strCache>
                <c:ptCount val="19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  <c:pt idx="13">
                  <c:v>Day 15</c:v>
                </c:pt>
                <c:pt idx="14">
                  <c:v>Day 16</c:v>
                </c:pt>
                <c:pt idx="15">
                  <c:v>Day 17</c:v>
                </c:pt>
                <c:pt idx="16">
                  <c:v>Day 18</c:v>
                </c:pt>
                <c:pt idx="17">
                  <c:v>Day 19</c:v>
                </c:pt>
                <c:pt idx="18">
                  <c:v>Day 20</c:v>
                </c:pt>
              </c:strCache>
            </c:strRef>
          </c:cat>
          <c:val>
            <c:numRef>
              <c:f>'Jun 10'!$G$34:$Y$34</c:f>
              <c:numCache>
                <c:formatCode>0.0%</c:formatCode>
                <c:ptCount val="19"/>
                <c:pt idx="0">
                  <c:v>2.4359607843137256</c:v>
                </c:pt>
                <c:pt idx="1">
                  <c:v>1.6239738562091506</c:v>
                </c:pt>
                <c:pt idx="2">
                  <c:v>1.3333725490196078</c:v>
                </c:pt>
                <c:pt idx="3">
                  <c:v>1.321286274509804</c:v>
                </c:pt>
                <c:pt idx="4">
                  <c:v>1.2146666666666666</c:v>
                </c:pt>
                <c:pt idx="5">
                  <c:v>1.1826554621848739</c:v>
                </c:pt>
                <c:pt idx="6">
                  <c:v>1.123843137254902</c:v>
                </c:pt>
                <c:pt idx="7">
                  <c:v>1.0930457516339869</c:v>
                </c:pt>
                <c:pt idx="8">
                  <c:v>1.042486274509804</c:v>
                </c:pt>
                <c:pt idx="9">
                  <c:v>0.94771479500891276</c:v>
                </c:pt>
                <c:pt idx="10">
                  <c:v>0.89288888888888884</c:v>
                </c:pt>
                <c:pt idx="11">
                  <c:v>0.90948416289592771</c:v>
                </c:pt>
                <c:pt idx="12">
                  <c:v>0.90891876750700284</c:v>
                </c:pt>
                <c:pt idx="13">
                  <c:v>0.86241568627450993</c:v>
                </c:pt>
                <c:pt idx="14">
                  <c:v>0.8630882352941176</c:v>
                </c:pt>
                <c:pt idx="15">
                  <c:v>0.83215686274509804</c:v>
                </c:pt>
                <c:pt idx="16">
                  <c:v>0.77372549019607839</c:v>
                </c:pt>
                <c:pt idx="17">
                  <c:v>0.77318885448916419</c:v>
                </c:pt>
                <c:pt idx="18">
                  <c:v>0.77383529411764707</c:v>
                </c:pt>
              </c:numCache>
            </c:numRef>
          </c:val>
        </c:ser>
        <c:ser>
          <c:idx val="3"/>
          <c:order val="3"/>
          <c:tx>
            <c:strRef>
              <c:f>'Jun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'Jun 10'!$G$31:$Y$31</c:f>
              <c:strCache>
                <c:ptCount val="19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  <c:pt idx="13">
                  <c:v>Day 15</c:v>
                </c:pt>
                <c:pt idx="14">
                  <c:v>Day 16</c:v>
                </c:pt>
                <c:pt idx="15">
                  <c:v>Day 17</c:v>
                </c:pt>
                <c:pt idx="16">
                  <c:v>Day 18</c:v>
                </c:pt>
                <c:pt idx="17">
                  <c:v>Day 19</c:v>
                </c:pt>
                <c:pt idx="18">
                  <c:v>Day 20</c:v>
                </c:pt>
              </c:strCache>
            </c:strRef>
          </c:cat>
          <c:val>
            <c:numRef>
              <c:f>'Jun 10'!$G$35:$Y$35</c:f>
              <c:numCache>
                <c:formatCode>0.0%</c:formatCode>
                <c:ptCount val="19"/>
                <c:pt idx="0">
                  <c:v>3.8256595744680846</c:v>
                </c:pt>
                <c:pt idx="1">
                  <c:v>2.8918297872340424</c:v>
                </c:pt>
                <c:pt idx="2">
                  <c:v>2.5719361702127657</c:v>
                </c:pt>
                <c:pt idx="3">
                  <c:v>2.2727659574468086</c:v>
                </c:pt>
                <c:pt idx="4">
                  <c:v>2.0733049645390071</c:v>
                </c:pt>
                <c:pt idx="5">
                  <c:v>1.9498723404255314</c:v>
                </c:pt>
                <c:pt idx="6">
                  <c:v>1.7675000000000001</c:v>
                </c:pt>
                <c:pt idx="7">
                  <c:v>1.6578628841607566</c:v>
                </c:pt>
                <c:pt idx="8">
                  <c:v>1.574331914893617</c:v>
                </c:pt>
                <c:pt idx="9">
                  <c:v>1.4666537717601544</c:v>
                </c:pt>
                <c:pt idx="10">
                  <c:v>1.3983900709219859</c:v>
                </c:pt>
                <c:pt idx="11">
                  <c:v>1.2548543371522094</c:v>
                </c:pt>
                <c:pt idx="12">
                  <c:v>1.1941276595744681</c:v>
                </c:pt>
                <c:pt idx="13">
                  <c:v>1.187268085106383</c:v>
                </c:pt>
                <c:pt idx="14">
                  <c:v>1.1395691489361701</c:v>
                </c:pt>
                <c:pt idx="15">
                  <c:v>1.1033241551939923</c:v>
                </c:pt>
                <c:pt idx="16">
                  <c:v>1.0318676122931441</c:v>
                </c:pt>
                <c:pt idx="17">
                  <c:v>1.0046405375139977</c:v>
                </c:pt>
                <c:pt idx="18">
                  <c:v>0.97053617021276573</c:v>
                </c:pt>
              </c:numCache>
            </c:numRef>
          </c:val>
        </c:ser>
        <c:ser>
          <c:idx val="4"/>
          <c:order val="4"/>
          <c:tx>
            <c:strRef>
              <c:f>'Jun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'Jun 10'!$G$31:$Y$31</c:f>
              <c:strCache>
                <c:ptCount val="19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  <c:pt idx="13">
                  <c:v>Day 15</c:v>
                </c:pt>
                <c:pt idx="14">
                  <c:v>Day 16</c:v>
                </c:pt>
                <c:pt idx="15">
                  <c:v>Day 17</c:v>
                </c:pt>
                <c:pt idx="16">
                  <c:v>Day 18</c:v>
                </c:pt>
                <c:pt idx="17">
                  <c:v>Day 19</c:v>
                </c:pt>
                <c:pt idx="18">
                  <c:v>Day 20</c:v>
                </c:pt>
              </c:strCache>
            </c:strRef>
          </c:cat>
          <c:val>
            <c:numRef>
              <c:f>'Jun 10'!$G$36:$Y$36</c:f>
              <c:numCache>
                <c:formatCode>0.0%</c:formatCode>
                <c:ptCount val="19"/>
                <c:pt idx="0">
                  <c:v>2.8269466879610614</c:v>
                </c:pt>
                <c:pt idx="1">
                  <c:v>2.0951402134509594</c:v>
                </c:pt>
                <c:pt idx="2">
                  <c:v>1.7871991786447641</c:v>
                </c:pt>
                <c:pt idx="3">
                  <c:v>1.627396151798616</c:v>
                </c:pt>
                <c:pt idx="4">
                  <c:v>1.4810006337617563</c:v>
                </c:pt>
                <c:pt idx="5">
                  <c:v>1.3958282107275946</c:v>
                </c:pt>
                <c:pt idx="6">
                  <c:v>1.3044349380181002</c:v>
                </c:pt>
                <c:pt idx="7">
                  <c:v>1.2400257898784022</c:v>
                </c:pt>
                <c:pt idx="8">
                  <c:v>1.1821614723553122</c:v>
                </c:pt>
                <c:pt idx="9">
                  <c:v>1.1026208698898636</c:v>
                </c:pt>
                <c:pt idx="10">
                  <c:v>1.0549807589930795</c:v>
                </c:pt>
                <c:pt idx="11">
                  <c:v>1.010804986632502</c:v>
                </c:pt>
                <c:pt idx="12">
                  <c:v>1.0067778755581629</c:v>
                </c:pt>
                <c:pt idx="13">
                  <c:v>1.0181946814713414</c:v>
                </c:pt>
                <c:pt idx="14">
                  <c:v>0.98026557152635174</c:v>
                </c:pt>
                <c:pt idx="15">
                  <c:v>0.95251435805898899</c:v>
                </c:pt>
                <c:pt idx="16">
                  <c:v>0.91885872182928985</c:v>
                </c:pt>
                <c:pt idx="17">
                  <c:v>0.89694516693284654</c:v>
                </c:pt>
                <c:pt idx="18">
                  <c:v>0.89194831546125164</c:v>
                </c:pt>
              </c:numCache>
            </c:numRef>
          </c:val>
        </c:ser>
        <c:marker val="1"/>
        <c:axId val="111888640"/>
        <c:axId val="111894528"/>
      </c:lineChart>
      <c:catAx>
        <c:axId val="1118886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894528"/>
        <c:crosses val="autoZero"/>
        <c:auto val="1"/>
        <c:lblAlgn val="ctr"/>
        <c:lblOffset val="100"/>
      </c:catAx>
      <c:valAx>
        <c:axId val="11189452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1888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8477785870444"/>
          <c:y val="0.9225826771653535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July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'Jul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'Jul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10'!$F$40:$Y$40</c:f>
              <c:numCache>
                <c:formatCode>0</c:formatCode>
                <c:ptCount val="20"/>
                <c:pt idx="0">
                  <c:v>330200</c:v>
                </c:pt>
                <c:pt idx="1">
                  <c:v>299740</c:v>
                </c:pt>
                <c:pt idx="2">
                  <c:v>285653.33333333331</c:v>
                </c:pt>
                <c:pt idx="3">
                  <c:v>271120</c:v>
                </c:pt>
                <c:pt idx="4">
                  <c:v>262888</c:v>
                </c:pt>
                <c:pt idx="5">
                  <c:v>219073.33333333331</c:v>
                </c:pt>
                <c:pt idx="6">
                  <c:v>270502.85714285716</c:v>
                </c:pt>
                <c:pt idx="7">
                  <c:v>261982.5</c:v>
                </c:pt>
                <c:pt idx="8">
                  <c:v>297626.66666666669</c:v>
                </c:pt>
                <c:pt idx="9">
                  <c:v>292624</c:v>
                </c:pt>
                <c:pt idx="10">
                  <c:v>295567.27272727271</c:v>
                </c:pt>
                <c:pt idx="11">
                  <c:v>290286.66666666669</c:v>
                </c:pt>
                <c:pt idx="12">
                  <c:v>276521.5384615385</c:v>
                </c:pt>
                <c:pt idx="13">
                  <c:v>277060</c:v>
                </c:pt>
                <c:pt idx="14">
                  <c:v>266888</c:v>
                </c:pt>
                <c:pt idx="15">
                  <c:v>253688.75</c:v>
                </c:pt>
                <c:pt idx="16">
                  <c:v>248489.41176470587</c:v>
                </c:pt>
                <c:pt idx="17">
                  <c:v>231911.11111111109</c:v>
                </c:pt>
                <c:pt idx="18">
                  <c:v>230455.78947368421</c:v>
                </c:pt>
                <c:pt idx="19">
                  <c:v>281768</c:v>
                </c:pt>
              </c:numCache>
            </c:numRef>
          </c:val>
        </c:ser>
        <c:ser>
          <c:idx val="1"/>
          <c:order val="1"/>
          <c:tx>
            <c:strRef>
              <c:f>'Jul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'Jul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10'!$F$41:$Y$41</c:f>
              <c:numCache>
                <c:formatCode>0</c:formatCode>
                <c:ptCount val="20"/>
                <c:pt idx="0">
                  <c:v>0</c:v>
                </c:pt>
                <c:pt idx="1">
                  <c:v>57950</c:v>
                </c:pt>
                <c:pt idx="2">
                  <c:v>85300</c:v>
                </c:pt>
                <c:pt idx="3">
                  <c:v>68975</c:v>
                </c:pt>
                <c:pt idx="4">
                  <c:v>55180</c:v>
                </c:pt>
                <c:pt idx="5">
                  <c:v>45983.333333333328</c:v>
                </c:pt>
                <c:pt idx="6">
                  <c:v>52814.285714285717</c:v>
                </c:pt>
                <c:pt idx="7">
                  <c:v>52950</c:v>
                </c:pt>
                <c:pt idx="8">
                  <c:v>63177.777777777774</c:v>
                </c:pt>
                <c:pt idx="9">
                  <c:v>88430</c:v>
                </c:pt>
                <c:pt idx="10">
                  <c:v>85290.909090909103</c:v>
                </c:pt>
                <c:pt idx="11">
                  <c:v>94000</c:v>
                </c:pt>
                <c:pt idx="12">
                  <c:v>86769.230769230766</c:v>
                </c:pt>
                <c:pt idx="13">
                  <c:v>86278.571428571435</c:v>
                </c:pt>
                <c:pt idx="14">
                  <c:v>88506.666666666657</c:v>
                </c:pt>
                <c:pt idx="15">
                  <c:v>84225</c:v>
                </c:pt>
                <c:pt idx="16">
                  <c:v>82800</c:v>
                </c:pt>
                <c:pt idx="17">
                  <c:v>84638.888888888891</c:v>
                </c:pt>
                <c:pt idx="18">
                  <c:v>93647.368421052641</c:v>
                </c:pt>
                <c:pt idx="19">
                  <c:v>86950</c:v>
                </c:pt>
              </c:numCache>
            </c:numRef>
          </c:val>
        </c:ser>
        <c:ser>
          <c:idx val="2"/>
          <c:order val="2"/>
          <c:tx>
            <c:strRef>
              <c:f>'Jul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'Jul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10'!$F$42:$Y$42</c:f>
              <c:numCache>
                <c:formatCode>0</c:formatCode>
                <c:ptCount val="20"/>
                <c:pt idx="0">
                  <c:v>88110</c:v>
                </c:pt>
                <c:pt idx="1">
                  <c:v>74160</c:v>
                </c:pt>
                <c:pt idx="2">
                  <c:v>116891.99999999999</c:v>
                </c:pt>
                <c:pt idx="3">
                  <c:v>87669</c:v>
                </c:pt>
                <c:pt idx="4">
                  <c:v>94507.199999999997</c:v>
                </c:pt>
                <c:pt idx="5">
                  <c:v>115386</c:v>
                </c:pt>
                <c:pt idx="6">
                  <c:v>123073.71428571429</c:v>
                </c:pt>
                <c:pt idx="7">
                  <c:v>126904.5</c:v>
                </c:pt>
                <c:pt idx="8">
                  <c:v>118344.00000000001</c:v>
                </c:pt>
                <c:pt idx="9">
                  <c:v>126642.6</c:v>
                </c:pt>
                <c:pt idx="10">
                  <c:v>125676</c:v>
                </c:pt>
                <c:pt idx="11">
                  <c:v>123765</c:v>
                </c:pt>
                <c:pt idx="12">
                  <c:v>118606.15384615384</c:v>
                </c:pt>
                <c:pt idx="13">
                  <c:v>126221.42857142857</c:v>
                </c:pt>
                <c:pt idx="14">
                  <c:v>122874</c:v>
                </c:pt>
                <c:pt idx="15">
                  <c:v>118226.25</c:v>
                </c:pt>
                <c:pt idx="16">
                  <c:v>120261.17647058824</c:v>
                </c:pt>
                <c:pt idx="17">
                  <c:v>116580</c:v>
                </c:pt>
                <c:pt idx="18">
                  <c:v>115460.52631578947</c:v>
                </c:pt>
                <c:pt idx="19">
                  <c:v>113058</c:v>
                </c:pt>
              </c:numCache>
            </c:numRef>
          </c:val>
        </c:ser>
        <c:ser>
          <c:idx val="3"/>
          <c:order val="3"/>
          <c:tx>
            <c:strRef>
              <c:f>'Jul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'Jul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10'!$F$43:$Y$43</c:f>
              <c:numCache>
                <c:formatCode>0</c:formatCode>
                <c:ptCount val="20"/>
                <c:pt idx="0">
                  <c:v>322000</c:v>
                </c:pt>
                <c:pt idx="1">
                  <c:v>251821.99999999997</c:v>
                </c:pt>
                <c:pt idx="2">
                  <c:v>311129.86666666664</c:v>
                </c:pt>
                <c:pt idx="3">
                  <c:v>333535</c:v>
                </c:pt>
                <c:pt idx="4">
                  <c:v>349588.95999999996</c:v>
                </c:pt>
                <c:pt idx="5">
                  <c:v>328541.2</c:v>
                </c:pt>
                <c:pt idx="6">
                  <c:v>336912.22857142857</c:v>
                </c:pt>
                <c:pt idx="7">
                  <c:v>364637.6</c:v>
                </c:pt>
                <c:pt idx="8">
                  <c:v>391898.04444444447</c:v>
                </c:pt>
                <c:pt idx="9">
                  <c:v>375832.24</c:v>
                </c:pt>
                <c:pt idx="10">
                  <c:v>359064.58181818185</c:v>
                </c:pt>
                <c:pt idx="11">
                  <c:v>349809.26666666666</c:v>
                </c:pt>
                <c:pt idx="12">
                  <c:v>328706.4615384615</c:v>
                </c:pt>
                <c:pt idx="13">
                  <c:v>324040.28571428568</c:v>
                </c:pt>
                <c:pt idx="14">
                  <c:v>344111.35999999999</c:v>
                </c:pt>
                <c:pt idx="15">
                  <c:v>343627.14999999997</c:v>
                </c:pt>
                <c:pt idx="16">
                  <c:v>340811.29411764705</c:v>
                </c:pt>
                <c:pt idx="17">
                  <c:v>358349.11111111107</c:v>
                </c:pt>
                <c:pt idx="18">
                  <c:v>345420.25263157894</c:v>
                </c:pt>
                <c:pt idx="19">
                  <c:v>338333.63999999996</c:v>
                </c:pt>
              </c:numCache>
            </c:numRef>
          </c:val>
        </c:ser>
        <c:ser>
          <c:idx val="4"/>
          <c:order val="4"/>
          <c:tx>
            <c:strRef>
              <c:f>'Jul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'Jul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10'!$F$44:$Y$44</c:f>
              <c:numCache>
                <c:formatCode>0</c:formatCode>
                <c:ptCount val="20"/>
                <c:pt idx="0">
                  <c:v>740310</c:v>
                </c:pt>
                <c:pt idx="1">
                  <c:v>683672</c:v>
                </c:pt>
                <c:pt idx="2">
                  <c:v>798975.2</c:v>
                </c:pt>
                <c:pt idx="3">
                  <c:v>761299</c:v>
                </c:pt>
                <c:pt idx="4">
                  <c:v>762164.15999999992</c:v>
                </c:pt>
                <c:pt idx="5">
                  <c:v>708983.8666666667</c:v>
                </c:pt>
                <c:pt idx="6">
                  <c:v>783303.08571428573</c:v>
                </c:pt>
                <c:pt idx="7">
                  <c:v>806474.6</c:v>
                </c:pt>
                <c:pt idx="8">
                  <c:v>871046.48888888885</c:v>
                </c:pt>
                <c:pt idx="9">
                  <c:v>883528.84</c:v>
                </c:pt>
                <c:pt idx="10">
                  <c:v>865598.76363636367</c:v>
                </c:pt>
                <c:pt idx="11">
                  <c:v>857860.93333333335</c:v>
                </c:pt>
                <c:pt idx="12">
                  <c:v>810603.38461538462</c:v>
                </c:pt>
                <c:pt idx="13">
                  <c:v>813600.28571428568</c:v>
                </c:pt>
                <c:pt idx="14">
                  <c:v>822380.02666666661</c:v>
                </c:pt>
                <c:pt idx="15">
                  <c:v>799767.14999999991</c:v>
                </c:pt>
                <c:pt idx="16">
                  <c:v>792361.8823529412</c:v>
                </c:pt>
                <c:pt idx="17">
                  <c:v>791479.11111111101</c:v>
                </c:pt>
                <c:pt idx="18">
                  <c:v>784983.93684210523</c:v>
                </c:pt>
                <c:pt idx="19">
                  <c:v>820109.6399999999</c:v>
                </c:pt>
              </c:numCache>
            </c:numRef>
          </c:val>
        </c:ser>
        <c:marker val="1"/>
        <c:axId val="120814592"/>
        <c:axId val="120824576"/>
      </c:lineChart>
      <c:catAx>
        <c:axId val="120814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0824576"/>
        <c:crosses val="autoZero"/>
        <c:auto val="1"/>
        <c:lblAlgn val="ctr"/>
        <c:lblOffset val="100"/>
      </c:catAx>
      <c:valAx>
        <c:axId val="12082457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081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25754017589932"/>
          <c:y val="0.92826178249459435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Jan 2010 Daily Performance % vs Budget 2010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floor>
      <c:spPr>
        <a:solidFill>
          <a:srgbClr val="000000"/>
        </a:solidFill>
        <a:ln w="3175">
          <a:solidFill>
            <a:srgbClr val="80808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8971161340607914E-2"/>
          <c:y val="0.25217418072157399"/>
          <c:w val="0.94777864380360632"/>
          <c:h val="0.65217460531443439"/>
        </c:manualLayout>
      </c:layout>
      <c:bar3DChart>
        <c:barDir val="col"/>
        <c:grouping val="clustered"/>
        <c:ser>
          <c:idx val="0"/>
          <c:order val="0"/>
          <c:tx>
            <c:strRef>
              <c:f>'Jan 10'!$B$15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0"/>
                  <c:y val="0.230880178414021"/>
                </c:manualLayout>
              </c:layout>
              <c:showSerName val="1"/>
            </c:dLbl>
            <c:dLbl>
              <c:idx val="1"/>
              <c:layout>
                <c:manualLayout>
                  <c:x val="1.1607858392173405E-3"/>
                  <c:y val="5.1948040143154246E-2"/>
                </c:manualLayout>
              </c:layout>
              <c:showSerName val="1"/>
            </c:dLbl>
            <c:dLbl>
              <c:idx val="2"/>
              <c:layout>
                <c:manualLayout>
                  <c:x val="0"/>
                  <c:y val="4.9062037912993607E-2"/>
                </c:manualLayout>
              </c:layout>
              <c:showSerName val="1"/>
            </c:dLbl>
            <c:dLbl>
              <c:idx val="3"/>
              <c:layout>
                <c:manualLayout>
                  <c:x val="-9.4658012816785722E-8"/>
                  <c:y val="0.20202015611227644"/>
                </c:manualLayout>
              </c:layout>
              <c:showSerName val="1"/>
            </c:dLbl>
            <c:dLbl>
              <c:idx val="4"/>
              <c:layout>
                <c:manualLayout>
                  <c:x val="-8.8157144286647611E-17"/>
                  <c:y val="0.161616124889815"/>
                </c:manualLayout>
              </c:layout>
              <c:showSerName val="1"/>
            </c:dLbl>
            <c:dLbl>
              <c:idx val="6"/>
              <c:layout>
                <c:manualLayout>
                  <c:x val="1.1017676777973302E-3"/>
                  <c:y val="0.17316013381051601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42969956465371301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36292192960617708"/>
                </c:manualLayout>
              </c:layout>
              <c:showSerName val="1"/>
            </c:dLbl>
            <c:dLbl>
              <c:idx val="10"/>
              <c:layout>
                <c:manualLayout>
                  <c:x val="0"/>
                  <c:y val="0.47905694708016638"/>
                </c:manualLayout>
              </c:layout>
              <c:showSerName val="1"/>
            </c:dLbl>
            <c:dLbl>
              <c:idx val="12"/>
              <c:layout>
                <c:manualLayout>
                  <c:x val="1.0525012484985301E-3"/>
                  <c:y val="0.21775315776370621"/>
                </c:manualLayout>
              </c:layout>
              <c:showSerName val="1"/>
            </c:dLbl>
            <c:dLbl>
              <c:idx val="13"/>
              <c:layout>
                <c:manualLayout>
                  <c:x val="0"/>
                  <c:y val="0.59519196455413004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0.47905694708016638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676486476785913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4906704488275673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'Jan 10'!$F$14:$V$14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10'!$F$15:$V$15</c:f>
              <c:numCache>
                <c:formatCode>0.0%</c:formatCode>
                <c:ptCount val="17"/>
                <c:pt idx="0">
                  <c:v>1.157</c:v>
                </c:pt>
                <c:pt idx="1">
                  <c:v>0.27849999999999997</c:v>
                </c:pt>
                <c:pt idx="2">
                  <c:v>0.27849999999999997</c:v>
                </c:pt>
                <c:pt idx="3">
                  <c:v>1.0179</c:v>
                </c:pt>
                <c:pt idx="4">
                  <c:v>0.78939999999999999</c:v>
                </c:pt>
                <c:pt idx="5">
                  <c:v>0</c:v>
                </c:pt>
                <c:pt idx="6">
                  <c:v>0.81486000000000003</c:v>
                </c:pt>
                <c:pt idx="7">
                  <c:v>0</c:v>
                </c:pt>
                <c:pt idx="8">
                  <c:v>2.0533999999999999</c:v>
                </c:pt>
                <c:pt idx="9">
                  <c:v>1.6964000000000001</c:v>
                </c:pt>
                <c:pt idx="10">
                  <c:v>2.2734000000000001</c:v>
                </c:pt>
                <c:pt idx="11">
                  <c:v>0</c:v>
                </c:pt>
                <c:pt idx="12">
                  <c:v>1.0213000000000001</c:v>
                </c:pt>
                <c:pt idx="13">
                  <c:v>2.7915999999999999</c:v>
                </c:pt>
                <c:pt idx="14">
                  <c:v>2.2358000000000002</c:v>
                </c:pt>
                <c:pt idx="15">
                  <c:v>3.1461000000000001</c:v>
                </c:pt>
                <c:pt idx="16">
                  <c:v>2.2561999999999998</c:v>
                </c:pt>
              </c:numCache>
            </c:numRef>
          </c:val>
        </c:ser>
        <c:ser>
          <c:idx val="1"/>
          <c:order val="1"/>
          <c:tx>
            <c:strRef>
              <c:f>'Jan 10'!$B$16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1607912122529858E-3"/>
                  <c:y val="0.40404031222453701"/>
                </c:manualLayout>
              </c:layout>
              <c:showSerName val="1"/>
            </c:dLbl>
            <c:dLbl>
              <c:idx val="1"/>
              <c:layout>
                <c:manualLayout>
                  <c:x val="-1.1607912122529858E-3"/>
                  <c:y val="0.70129854193259"/>
                </c:manualLayout>
              </c:layout>
              <c:showSerName val="1"/>
            </c:dLbl>
            <c:dLbl>
              <c:idx val="2"/>
              <c:layout>
                <c:manualLayout>
                  <c:x val="0"/>
                  <c:y val="0.3376622609305644"/>
                </c:manualLayout>
              </c:layout>
              <c:showSerName val="1"/>
            </c:dLbl>
            <c:dLbl>
              <c:idx val="3"/>
              <c:layout>
                <c:manualLayout>
                  <c:x val="0"/>
                  <c:y val="8.0808062444907527E-2"/>
                </c:manualLayout>
              </c:layout>
              <c:showSerName val="1"/>
            </c:dLbl>
            <c:dLbl>
              <c:idx val="4"/>
              <c:layout>
                <c:manualLayout>
                  <c:x val="-1.2021567638924441E-3"/>
                  <c:y val="8.9466069135435727E-2"/>
                </c:manualLayout>
              </c:layout>
              <c:showSerName val="1"/>
            </c:dLbl>
            <c:dLbl>
              <c:idx val="5"/>
              <c:layout>
                <c:manualLayout>
                  <c:x val="0"/>
                  <c:y val="0.21067816280279444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0.26839820740629999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20490615834246986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20904303145315944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6.0970884173837496E-2"/>
                </c:manualLayout>
              </c:layout>
              <c:showSerName val="1"/>
            </c:dLbl>
            <c:dLbl>
              <c:idx val="10"/>
              <c:layout>
                <c:manualLayout>
                  <c:x val="-2.1683327970839494E-3"/>
                  <c:y val="0.307757796306038"/>
                </c:manualLayout>
              </c:layout>
              <c:showSerName val="1"/>
            </c:dLbl>
            <c:dLbl>
              <c:idx val="12"/>
              <c:layout>
                <c:manualLayout>
                  <c:x val="0"/>
                  <c:y val="7.8391136794934105E-2"/>
                </c:manualLayout>
              </c:layout>
              <c:showSerName val="1"/>
            </c:dLbl>
            <c:dLbl>
              <c:idx val="13"/>
              <c:layout>
                <c:manualLayout>
                  <c:x val="-1.05001467953594E-3"/>
                  <c:y val="0.21775315776370621"/>
                </c:manualLayout>
              </c:layout>
              <c:showSerName val="1"/>
            </c:dLbl>
            <c:dLbl>
              <c:idx val="14"/>
              <c:layout>
                <c:manualLayout>
                  <c:x val="-1.0475398320834908E-3"/>
                  <c:y val="0.28743416824809231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40937593659576732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'Jan 10'!$F$14:$V$14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10'!$F$16:$V$16</c:f>
              <c:numCache>
                <c:formatCode>0.0%</c:formatCode>
                <c:ptCount val="17"/>
                <c:pt idx="0">
                  <c:v>2.0089999999999999</c:v>
                </c:pt>
                <c:pt idx="1">
                  <c:v>3.4464999999999999</c:v>
                </c:pt>
                <c:pt idx="2">
                  <c:v>1.6705999999999999</c:v>
                </c:pt>
                <c:pt idx="3">
                  <c:v>0.36950000000000005</c:v>
                </c:pt>
                <c:pt idx="4">
                  <c:v>0.42500000000000004</c:v>
                </c:pt>
                <c:pt idx="5">
                  <c:v>1.089</c:v>
                </c:pt>
                <c:pt idx="6">
                  <c:v>1.3340000000000001</c:v>
                </c:pt>
                <c:pt idx="7">
                  <c:v>1.0254000000000001</c:v>
                </c:pt>
                <c:pt idx="8">
                  <c:v>0.98899999999999999</c:v>
                </c:pt>
                <c:pt idx="9">
                  <c:v>0.30000000000000004</c:v>
                </c:pt>
                <c:pt idx="10">
                  <c:v>1.4645999999999999</c:v>
                </c:pt>
                <c:pt idx="11">
                  <c:v>0</c:v>
                </c:pt>
                <c:pt idx="12">
                  <c:v>0.379</c:v>
                </c:pt>
                <c:pt idx="13">
                  <c:v>1.0465</c:v>
                </c:pt>
                <c:pt idx="14">
                  <c:v>1.3645</c:v>
                </c:pt>
                <c:pt idx="15">
                  <c:v>0.15000000000000002</c:v>
                </c:pt>
                <c:pt idx="16">
                  <c:v>1.95</c:v>
                </c:pt>
              </c:numCache>
            </c:numRef>
          </c:val>
        </c:ser>
        <c:ser>
          <c:idx val="2"/>
          <c:order val="2"/>
          <c:tx>
            <c:strRef>
              <c:f>'Jan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1607912122529858E-3"/>
                  <c:y val="8.9465841891163245E-2"/>
                </c:manualLayout>
              </c:layout>
              <c:showSerName val="1"/>
            </c:dLbl>
            <c:dLbl>
              <c:idx val="1"/>
              <c:layout>
                <c:manualLayout>
                  <c:x val="0"/>
                  <c:y val="0.265512205176125"/>
                </c:manualLayout>
              </c:layout>
              <c:showSerName val="1"/>
            </c:dLbl>
            <c:dLbl>
              <c:idx val="2"/>
              <c:layout>
                <c:manualLayout>
                  <c:x val="1.1607912122529858E-3"/>
                  <c:y val="0.24819619179509564"/>
                </c:manualLayout>
              </c:layout>
              <c:showSerName val="1"/>
            </c:dLbl>
            <c:dLbl>
              <c:idx val="3"/>
              <c:layout>
                <c:manualLayout>
                  <c:x val="2.51961962412543E-3"/>
                  <c:y val="1.4430004533380799E-2"/>
                </c:manualLayout>
              </c:layout>
              <c:showSerName val="1"/>
            </c:dLbl>
            <c:dLbl>
              <c:idx val="4"/>
              <c:layout>
                <c:manualLayout>
                  <c:x val="-1.2021567638924441E-3"/>
                  <c:y val="0.10966808474667145"/>
                </c:manualLayout>
              </c:layout>
              <c:showSerName val="1"/>
            </c:dLbl>
            <c:dLbl>
              <c:idx val="5"/>
              <c:layout>
                <c:manualLayout>
                  <c:x val="-1.1060687729178061E-3"/>
                  <c:y val="4.0404031222453833E-2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3.1746024531927909E-2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5.4834042373330102E-2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16549239990044023"/>
                </c:manualLayout>
              </c:layout>
              <c:showSerName val="1"/>
            </c:dLbl>
            <c:dLbl>
              <c:idx val="10"/>
              <c:layout>
                <c:manualLayout>
                  <c:x val="-1.0841663985417921E-3"/>
                  <c:y val="6.9681010484385908E-2"/>
                </c:manualLayout>
              </c:layout>
              <c:showSerName val="1"/>
            </c:dLbl>
            <c:dLbl>
              <c:idx val="11"/>
              <c:layout>
                <c:manualLayout>
                  <c:x val="0"/>
                  <c:y val="0.43550631552745955"/>
                </c:manualLayout>
              </c:layout>
              <c:showSerName val="1"/>
            </c:dLbl>
            <c:dLbl>
              <c:idx val="12"/>
              <c:layout>
                <c:manualLayout>
                  <c:x val="-1.0608755447639999E-3"/>
                  <c:y val="0.24388353669535101"/>
                </c:manualLayout>
              </c:layout>
              <c:showSerName val="1"/>
            </c:dLbl>
            <c:dLbl>
              <c:idx val="13"/>
              <c:layout>
                <c:manualLayout>
                  <c:x val="0"/>
                  <c:y val="0.54002783125401965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0.23517341038480297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62712909435960573"/>
                </c:manualLayout>
              </c:layout>
              <c:showSerName val="1"/>
            </c:dLbl>
            <c:dLbl>
              <c:idx val="16"/>
              <c:layout>
                <c:manualLayout>
                  <c:x val="1.0361431195937973E-3"/>
                  <c:y val="0.23227003494795301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'Jan 10'!$F$14:$V$14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10'!$F$17:$V$17</c:f>
              <c:numCache>
                <c:formatCode>0.0%</c:formatCode>
                <c:ptCount val="17"/>
                <c:pt idx="0">
                  <c:v>0.46666666666666667</c:v>
                </c:pt>
                <c:pt idx="1">
                  <c:v>1.2786666666666666</c:v>
                </c:pt>
                <c:pt idx="2">
                  <c:v>1.252</c:v>
                </c:pt>
                <c:pt idx="3">
                  <c:v>0</c:v>
                </c:pt>
                <c:pt idx="4">
                  <c:v>0.53333333333333333</c:v>
                </c:pt>
                <c:pt idx="5">
                  <c:v>0.19999999999999996</c:v>
                </c:pt>
                <c:pt idx="6">
                  <c:v>0.1333333333333333</c:v>
                </c:pt>
                <c:pt idx="7">
                  <c:v>0.26</c:v>
                </c:pt>
                <c:pt idx="8">
                  <c:v>0</c:v>
                </c:pt>
                <c:pt idx="9">
                  <c:v>0.77200000000000002</c:v>
                </c:pt>
                <c:pt idx="10">
                  <c:v>0.35333333333333339</c:v>
                </c:pt>
                <c:pt idx="11">
                  <c:v>2.0380000000000003</c:v>
                </c:pt>
                <c:pt idx="12">
                  <c:v>1.1573333333333333</c:v>
                </c:pt>
                <c:pt idx="13">
                  <c:v>2.543333333333333</c:v>
                </c:pt>
                <c:pt idx="14">
                  <c:v>1.1320000000000001</c:v>
                </c:pt>
                <c:pt idx="15">
                  <c:v>2.9973333333333336</c:v>
                </c:pt>
                <c:pt idx="16">
                  <c:v>1.1333333333333333</c:v>
                </c:pt>
              </c:numCache>
            </c:numRef>
          </c:val>
        </c:ser>
        <c:ser>
          <c:idx val="3"/>
          <c:order val="3"/>
          <c:tx>
            <c:strRef>
              <c:f>'Jan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17375E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1607858392173405E-3"/>
                  <c:y val="3.1746024531927909E-2"/>
                </c:manualLayout>
              </c:layout>
              <c:showSerName val="1"/>
            </c:dLbl>
            <c:dLbl>
              <c:idx val="1"/>
              <c:layout>
                <c:manualLayout>
                  <c:x val="2.3215716784342052E-3"/>
                  <c:y val="2.0202015611230216E-2"/>
                </c:manualLayout>
              </c:layout>
              <c:showSerName val="1"/>
            </c:dLbl>
            <c:dLbl>
              <c:idx val="3"/>
              <c:layout>
                <c:manualLayout>
                  <c:x val="-1.2848878671715422E-3"/>
                  <c:y val="6.0576959567108797E-2"/>
                </c:manualLayout>
              </c:layout>
              <c:showSerName val="1"/>
            </c:dLbl>
            <c:dLbl>
              <c:idx val="4"/>
              <c:layout>
                <c:manualLayout>
                  <c:x val="0"/>
                  <c:y val="0.24819619179509564"/>
                </c:manualLayout>
              </c:layout>
              <c:showSerName val="1"/>
            </c:dLbl>
            <c:dLbl>
              <c:idx val="5"/>
              <c:layout>
                <c:manualLayout>
                  <c:x val="0"/>
                  <c:y val="0.23665218287438144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0.27994221632701038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2453101895649252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240980161258501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54293120669091965"/>
                </c:manualLayout>
              </c:layout>
              <c:showSerName val="1"/>
            </c:dLbl>
            <c:dLbl>
              <c:idx val="10"/>
              <c:layout>
                <c:manualLayout>
                  <c:x val="0"/>
                  <c:y val="0.29033754368497561"/>
                </c:manualLayout>
              </c:layout>
              <c:showSerName val="1"/>
            </c:dLbl>
            <c:dLbl>
              <c:idx val="11"/>
              <c:layout>
                <c:manualLayout>
                  <c:x val="0"/>
                  <c:y val="0.40066581028521908"/>
                </c:manualLayout>
              </c:layout>
              <c:showSerName val="1"/>
            </c:dLbl>
            <c:dLbl>
              <c:idx val="12"/>
              <c:layout>
                <c:manualLayout>
                  <c:x val="0"/>
                  <c:y val="0.24969028756907219"/>
                </c:manualLayout>
              </c:layout>
              <c:showSerName val="1"/>
            </c:dLbl>
            <c:dLbl>
              <c:idx val="13"/>
              <c:layout>
                <c:manualLayout>
                  <c:x val="0"/>
                  <c:y val="0.25549703844274779"/>
                </c:manualLayout>
              </c:layout>
              <c:showSerName val="1"/>
            </c:dLbl>
            <c:dLbl>
              <c:idx val="14"/>
              <c:layout>
                <c:manualLayout>
                  <c:x val="1.0475398320834908E-3"/>
                  <c:y val="0.49067044882756738"/>
                </c:manualLayout>
              </c:layout>
              <c:showSerName val="1"/>
            </c:dLbl>
            <c:dLbl>
              <c:idx val="15"/>
              <c:layout>
                <c:manualLayout>
                  <c:x val="1.0361431195937973E-3"/>
                  <c:y val="0.43260294009056338"/>
                </c:manualLayout>
              </c:layout>
              <c:showSerName val="1"/>
            </c:dLbl>
            <c:dLbl>
              <c:idx val="16"/>
              <c:layout>
                <c:manualLayout>
                  <c:x val="1.0361431195937973E-3"/>
                  <c:y val="0.4006658102852190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'Jan 10'!$F$14:$V$14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10'!$F$18:$V$18</c:f>
              <c:numCache>
                <c:formatCode>0.0%</c:formatCode>
                <c:ptCount val="17"/>
                <c:pt idx="0">
                  <c:v>0.21198606271776999</c:v>
                </c:pt>
                <c:pt idx="1">
                  <c:v>0.13860627177700346</c:v>
                </c:pt>
                <c:pt idx="2">
                  <c:v>0</c:v>
                </c:pt>
                <c:pt idx="3">
                  <c:v>0.26397212543554005</c:v>
                </c:pt>
                <c:pt idx="4">
                  <c:v>1.2230662020905922</c:v>
                </c:pt>
                <c:pt idx="5">
                  <c:v>1.1478745644599302</c:v>
                </c:pt>
                <c:pt idx="6">
                  <c:v>1.3540069686411149</c:v>
                </c:pt>
                <c:pt idx="7">
                  <c:v>1.1870857142857143</c:v>
                </c:pt>
                <c:pt idx="8">
                  <c:v>1.18</c:v>
                </c:pt>
                <c:pt idx="9">
                  <c:v>2.5795428571428567</c:v>
                </c:pt>
                <c:pt idx="10">
                  <c:v>1.3761142857142856</c:v>
                </c:pt>
                <c:pt idx="11">
                  <c:v>1.8989714285714285</c:v>
                </c:pt>
                <c:pt idx="12">
                  <c:v>1.1910857142857141</c:v>
                </c:pt>
                <c:pt idx="13">
                  <c:v>1.2222857142857142</c:v>
                </c:pt>
                <c:pt idx="14">
                  <c:v>2.3362285714285713</c:v>
                </c:pt>
                <c:pt idx="15">
                  <c:v>2.0588571428571427</c:v>
                </c:pt>
                <c:pt idx="16">
                  <c:v>1.9147428571428571</c:v>
                </c:pt>
              </c:numCache>
            </c:numRef>
          </c:val>
        </c:ser>
        <c:ser>
          <c:idx val="4"/>
          <c:order val="4"/>
          <c:tx>
            <c:strRef>
              <c:f>'Jan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1.1608243611406521E-3"/>
                  <c:y val="0.19360530416972704"/>
                </c:manualLayout>
              </c:layout>
              <c:showSerName val="1"/>
            </c:dLbl>
            <c:dLbl>
              <c:idx val="1"/>
              <c:layout>
                <c:manualLayout>
                  <c:x val="1.1608243611406521E-3"/>
                  <c:y val="0.23978131867654501"/>
                </c:manualLayout>
              </c:layout>
              <c:showSerName val="1"/>
            </c:dLbl>
            <c:dLbl>
              <c:idx val="2"/>
              <c:layout>
                <c:manualLayout>
                  <c:x val="0"/>
                  <c:y val="0.14443904157523077"/>
                </c:manualLayout>
              </c:layout>
              <c:showSerName val="1"/>
            </c:dLbl>
            <c:dLbl>
              <c:idx val="3"/>
              <c:layout>
                <c:manualLayout>
                  <c:x val="1.1194256606135461E-3"/>
                  <c:y val="9.235207136560851E-2"/>
                </c:manualLayout>
              </c:layout>
              <c:showSerName val="1"/>
            </c:dLbl>
            <c:dLbl>
              <c:idx val="4"/>
              <c:layout>
                <c:manualLayout>
                  <c:x val="-1.2021567638924441E-3"/>
                  <c:y val="0.16450212711999004"/>
                </c:manualLayout>
              </c:layout>
              <c:showSerName val="1"/>
            </c:dLbl>
            <c:dLbl>
              <c:idx val="5"/>
              <c:layout>
                <c:manualLayout>
                  <c:x val="0"/>
                  <c:y val="0.141414109278588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0.20805268323328097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14755091137412221"/>
                </c:manualLayout>
              </c:layout>
              <c:showSerName val="1"/>
            </c:dLbl>
            <c:dLbl>
              <c:idx val="8"/>
              <c:layout>
                <c:manualLayout>
                  <c:x val="-1.0711023008964221E-3"/>
                  <c:y val="0.235173410384802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31356454717979626"/>
                </c:manualLayout>
              </c:layout>
              <c:showSerName val="1"/>
            </c:dLbl>
            <c:dLbl>
              <c:idx val="10"/>
              <c:layout>
                <c:manualLayout>
                  <c:x val="0"/>
                  <c:y val="0.29614429455864238"/>
                </c:manualLayout>
              </c:layout>
              <c:showSerName val="1"/>
            </c:dLbl>
            <c:dLbl>
              <c:idx val="11"/>
              <c:layout>
                <c:manualLayout>
                  <c:x val="2.1370543431885511E-3"/>
                  <c:y val="0.20613965601630801"/>
                </c:manualLayout>
              </c:layout>
              <c:showSerName val="1"/>
            </c:dLbl>
            <c:dLbl>
              <c:idx val="12"/>
              <c:layout>
                <c:manualLayout>
                  <c:x val="1.0525221940176021E-3"/>
                  <c:y val="0.191622778832061"/>
                </c:manualLayout>
              </c:layout>
              <c:showSerName val="1"/>
            </c:dLbl>
            <c:dLbl>
              <c:idx val="13"/>
              <c:layout>
                <c:manualLayout>
                  <c:x val="2.1000293590718801E-3"/>
                  <c:y val="0.36582530504307204"/>
                </c:manualLayout>
              </c:layout>
              <c:showSerName val="1"/>
            </c:dLbl>
            <c:dLbl>
              <c:idx val="14"/>
              <c:layout>
                <c:manualLayout>
                  <c:x val="3.1426194962504801E-3"/>
                  <c:y val="0.38324555766412199"/>
                </c:manualLayout>
              </c:layout>
              <c:showSerName val="1"/>
            </c:dLbl>
            <c:dLbl>
              <c:idx val="15"/>
              <c:layout>
                <c:manualLayout>
                  <c:x val="4.1445724783743905E-3"/>
                  <c:y val="0.41518268746952092"/>
                </c:manualLayout>
              </c:layout>
              <c:showSerName val="1"/>
            </c:dLbl>
            <c:dLbl>
              <c:idx val="16"/>
              <c:layout>
                <c:manualLayout>
                  <c:x val="2.0722862391871905E-3"/>
                  <c:y val="0.38614847587653117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'Jan 10'!$F$14:$V$14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10'!$F$19:$V$19</c:f>
              <c:numCache>
                <c:formatCode>0.0%</c:formatCode>
                <c:ptCount val="17"/>
                <c:pt idx="0">
                  <c:v>0.92097323600973235</c:v>
                </c:pt>
                <c:pt idx="1">
                  <c:v>1.1647201946472019</c:v>
                </c:pt>
                <c:pt idx="2">
                  <c:v>0.67985401459854011</c:v>
                </c:pt>
                <c:pt idx="3">
                  <c:v>0.42973236009732363</c:v>
                </c:pt>
                <c:pt idx="4">
                  <c:v>0.8100973236009732</c:v>
                </c:pt>
                <c:pt idx="5">
                  <c:v>0.69858880778588806</c:v>
                </c:pt>
                <c:pt idx="6">
                  <c:v>1.0174841849148417</c:v>
                </c:pt>
                <c:pt idx="7">
                  <c:v>0.70665888077858874</c:v>
                </c:pt>
                <c:pt idx="8">
                  <c:v>1.1522384428223844</c:v>
                </c:pt>
                <c:pt idx="9">
                  <c:v>1.5131737226277371</c:v>
                </c:pt>
                <c:pt idx="10">
                  <c:v>1.4479863746958637</c:v>
                </c:pt>
                <c:pt idx="11">
                  <c:v>0.9977309002433089</c:v>
                </c:pt>
                <c:pt idx="12">
                  <c:v>0.94664428223844288</c:v>
                </c:pt>
                <c:pt idx="13">
                  <c:v>1.7783041362530414</c:v>
                </c:pt>
                <c:pt idx="14">
                  <c:v>1.8775883211678832</c:v>
                </c:pt>
                <c:pt idx="15">
                  <c:v>2.0130802919708031</c:v>
                </c:pt>
                <c:pt idx="16">
                  <c:v>1.8780671532846713</c:v>
                </c:pt>
              </c:numCache>
            </c:numRef>
          </c:val>
        </c:ser>
        <c:gapWidth val="75"/>
        <c:shape val="box"/>
        <c:axId val="104321792"/>
        <c:axId val="104323328"/>
        <c:axId val="0"/>
      </c:bar3DChart>
      <c:catAx>
        <c:axId val="1043217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04323328"/>
        <c:crosses val="autoZero"/>
        <c:auto val="1"/>
        <c:lblAlgn val="ctr"/>
        <c:lblOffset val="100"/>
      </c:catAx>
      <c:valAx>
        <c:axId val="1043233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432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July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'Jul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10'!$F$15:$Y$15</c:f>
              <c:numCache>
                <c:formatCode>0.0%</c:formatCode>
                <c:ptCount val="20"/>
                <c:pt idx="0">
                  <c:v>0.16894545454545451</c:v>
                </c:pt>
                <c:pt idx="1">
                  <c:v>0.97919999999999996</c:v>
                </c:pt>
                <c:pt idx="2">
                  <c:v>0.93629090909090906</c:v>
                </c:pt>
                <c:pt idx="3">
                  <c:v>0.82734545454545461</c:v>
                </c:pt>
                <c:pt idx="4">
                  <c:v>0.83621818181818175</c:v>
                </c:pt>
                <c:pt idx="5">
                  <c:v>0</c:v>
                </c:pt>
                <c:pt idx="6">
                  <c:v>2.1057454545454544</c:v>
                </c:pt>
                <c:pt idx="7">
                  <c:v>0.7357818181818182</c:v>
                </c:pt>
                <c:pt idx="8">
                  <c:v>2.1192000000000002</c:v>
                </c:pt>
                <c:pt idx="9">
                  <c:v>0.90036363636363637</c:v>
                </c:pt>
                <c:pt idx="10">
                  <c:v>1.1818181818181819</c:v>
                </c:pt>
                <c:pt idx="11">
                  <c:v>0.84436363636363643</c:v>
                </c:pt>
                <c:pt idx="12">
                  <c:v>0.40487272727272727</c:v>
                </c:pt>
                <c:pt idx="13">
                  <c:v>1.0329454545454546</c:v>
                </c:pt>
                <c:pt idx="14">
                  <c:v>0.45265454545454542</c:v>
                </c:pt>
                <c:pt idx="15">
                  <c:v>0.20254545454545458</c:v>
                </c:pt>
                <c:pt idx="16">
                  <c:v>0.60109090909090912</c:v>
                </c:pt>
                <c:pt idx="17">
                  <c:v>0.43905454545454548</c:v>
                </c:pt>
                <c:pt idx="18">
                  <c:v>0.8882181818181818</c:v>
                </c:pt>
                <c:pt idx="19">
                  <c:v>1.8913454545454544</c:v>
                </c:pt>
              </c:numCache>
            </c:numRef>
          </c:val>
        </c:ser>
        <c:ser>
          <c:idx val="1"/>
          <c:order val="1"/>
          <c:tx>
            <c:strRef>
              <c:f>'Jul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10'!$F$16:$Y$16</c:f>
              <c:numCache>
                <c:formatCode>0.0%</c:formatCode>
                <c:ptCount val="20"/>
                <c:pt idx="0">
                  <c:v>1.1988000000000001</c:v>
                </c:pt>
                <c:pt idx="1">
                  <c:v>0.54360000000000008</c:v>
                </c:pt>
                <c:pt idx="2">
                  <c:v>0.48</c:v>
                </c:pt>
                <c:pt idx="3">
                  <c:v>7.999999999999996E-2</c:v>
                </c:pt>
                <c:pt idx="4">
                  <c:v>0</c:v>
                </c:pt>
                <c:pt idx="5">
                  <c:v>0</c:v>
                </c:pt>
                <c:pt idx="6">
                  <c:v>0.37519999999999998</c:v>
                </c:pt>
                <c:pt idx="7">
                  <c:v>0.21560000000000001</c:v>
                </c:pt>
                <c:pt idx="8">
                  <c:v>0.58000000000000007</c:v>
                </c:pt>
                <c:pt idx="9">
                  <c:v>0.89480000000000004</c:v>
                </c:pt>
                <c:pt idx="10">
                  <c:v>0.21560000000000001</c:v>
                </c:pt>
                <c:pt idx="11">
                  <c:v>0.75919999999999999</c:v>
                </c:pt>
                <c:pt idx="12">
                  <c:v>0</c:v>
                </c:pt>
                <c:pt idx="13">
                  <c:v>0.3196</c:v>
                </c:pt>
                <c:pt idx="14">
                  <c:v>0.4788</c:v>
                </c:pt>
                <c:pt idx="15">
                  <c:v>0.16000000000000003</c:v>
                </c:pt>
                <c:pt idx="16">
                  <c:v>0.16000000000000003</c:v>
                </c:pt>
                <c:pt idx="17">
                  <c:v>0.46360000000000001</c:v>
                </c:pt>
                <c:pt idx="18">
                  <c:v>1.0232000000000001</c:v>
                </c:pt>
                <c:pt idx="19">
                  <c:v>1.1012</c:v>
                </c:pt>
              </c:numCache>
            </c:numRef>
          </c:val>
        </c:ser>
        <c:ser>
          <c:idx val="2"/>
          <c:order val="2"/>
          <c:tx>
            <c:strRef>
              <c:f>'Jul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10'!$F$17:$Y$17</c:f>
              <c:numCache>
                <c:formatCode>0.0%</c:formatCode>
                <c:ptCount val="20"/>
                <c:pt idx="0">
                  <c:v>1.4649142857142858</c:v>
                </c:pt>
                <c:pt idx="1">
                  <c:v>1.0105142857142857</c:v>
                </c:pt>
                <c:pt idx="2">
                  <c:v>1.2848000000000002</c:v>
                </c:pt>
                <c:pt idx="3">
                  <c:v>0</c:v>
                </c:pt>
                <c:pt idx="4">
                  <c:v>0.77371428571428569</c:v>
                </c:pt>
                <c:pt idx="5">
                  <c:v>1.3954285714285715</c:v>
                </c:pt>
                <c:pt idx="6">
                  <c:v>1.0742857142857143</c:v>
                </c:pt>
                <c:pt idx="7">
                  <c:v>0.97599999999999998</c:v>
                </c:pt>
                <c:pt idx="8">
                  <c:v>0.49657142857142855</c:v>
                </c:pt>
                <c:pt idx="9">
                  <c:v>1.2782857142857142</c:v>
                </c:pt>
                <c:pt idx="10">
                  <c:v>0.18857142857142861</c:v>
                </c:pt>
                <c:pt idx="11">
                  <c:v>0.65234285714285711</c:v>
                </c:pt>
                <c:pt idx="12">
                  <c:v>0.36</c:v>
                </c:pt>
                <c:pt idx="13">
                  <c:v>0.30800000000000005</c:v>
                </c:pt>
                <c:pt idx="14">
                  <c:v>1.4502857142857142</c:v>
                </c:pt>
                <c:pt idx="15">
                  <c:v>0.30800000000000005</c:v>
                </c:pt>
                <c:pt idx="16">
                  <c:v>0.97028571428571431</c:v>
                </c:pt>
                <c:pt idx="17">
                  <c:v>0.45714285714285718</c:v>
                </c:pt>
                <c:pt idx="18">
                  <c:v>1.153142857142857</c:v>
                </c:pt>
                <c:pt idx="19">
                  <c:v>0.63371428571428567</c:v>
                </c:pt>
              </c:numCache>
            </c:numRef>
          </c:val>
        </c:ser>
        <c:ser>
          <c:idx val="3"/>
          <c:order val="3"/>
          <c:tx>
            <c:strRef>
              <c:f>'Jul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10'!$F$18:$Y$18</c:f>
              <c:numCache>
                <c:formatCode>0.0%</c:formatCode>
                <c:ptCount val="20"/>
                <c:pt idx="0">
                  <c:v>0.26205833333333328</c:v>
                </c:pt>
                <c:pt idx="1">
                  <c:v>1.1409388888888889</c:v>
                </c:pt>
                <c:pt idx="2">
                  <c:v>1.4912611111111111</c:v>
                </c:pt>
                <c:pt idx="3">
                  <c:v>1.5331722222222224</c:v>
                </c:pt>
                <c:pt idx="4">
                  <c:v>1.5785</c:v>
                </c:pt>
                <c:pt idx="5">
                  <c:v>0.77535555555555546</c:v>
                </c:pt>
                <c:pt idx="6">
                  <c:v>1.3442305555555554</c:v>
                </c:pt>
                <c:pt idx="7">
                  <c:v>1.9399833333333332</c:v>
                </c:pt>
                <c:pt idx="8">
                  <c:v>2.5020249999999997</c:v>
                </c:pt>
                <c:pt idx="9">
                  <c:v>1.6004805555555555</c:v>
                </c:pt>
                <c:pt idx="10">
                  <c:v>0.7700027777777777</c:v>
                </c:pt>
                <c:pt idx="11">
                  <c:v>1.5351083333333331</c:v>
                </c:pt>
                <c:pt idx="12">
                  <c:v>0.26205833333333328</c:v>
                </c:pt>
                <c:pt idx="13">
                  <c:v>0.91452777777777772</c:v>
                </c:pt>
                <c:pt idx="14">
                  <c:v>2.1766444444444444</c:v>
                </c:pt>
                <c:pt idx="15">
                  <c:v>1.1679305555555557</c:v>
                </c:pt>
                <c:pt idx="16">
                  <c:v>1.026936111111111</c:v>
                </c:pt>
                <c:pt idx="17">
                  <c:v>2.9012222222222226</c:v>
                </c:pt>
                <c:pt idx="18">
                  <c:v>1.2780611111111111</c:v>
                </c:pt>
                <c:pt idx="19">
                  <c:v>1.6348749999999996</c:v>
                </c:pt>
              </c:numCache>
            </c:numRef>
          </c:val>
        </c:ser>
        <c:ser>
          <c:idx val="4"/>
          <c:order val="4"/>
          <c:tx>
            <c:strRef>
              <c:f>'Jul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'Jun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10'!$F$19:$Y$19</c:f>
              <c:numCache>
                <c:formatCode>0.0%</c:formatCode>
                <c:ptCount val="20"/>
                <c:pt idx="0">
                  <c:v>0.67218629572385369</c:v>
                </c:pt>
                <c:pt idx="1">
                  <c:v>0.92006841834106134</c:v>
                </c:pt>
                <c:pt idx="2">
                  <c:v>1.0399991756826379</c:v>
                </c:pt>
                <c:pt idx="3">
                  <c:v>0.71001916537867071</c:v>
                </c:pt>
                <c:pt idx="4">
                  <c:v>0.83094075218959285</c:v>
                </c:pt>
                <c:pt idx="5">
                  <c:v>0.45655064399793921</c:v>
                </c:pt>
                <c:pt idx="6">
                  <c:v>1.2665825862957238</c:v>
                </c:pt>
                <c:pt idx="7">
                  <c:v>0.99811973209685723</c:v>
                </c:pt>
                <c:pt idx="8">
                  <c:v>1.5729759917568265</c:v>
                </c:pt>
                <c:pt idx="9">
                  <c:v>1.1680251416795466</c:v>
                </c:pt>
                <c:pt idx="10">
                  <c:v>0.64952168985059244</c:v>
                </c:pt>
                <c:pt idx="11">
                  <c:v>0.99624441009788756</c:v>
                </c:pt>
                <c:pt idx="12">
                  <c:v>0.25091478619268415</c:v>
                </c:pt>
                <c:pt idx="13">
                  <c:v>0.69639773312725395</c:v>
                </c:pt>
                <c:pt idx="14">
                  <c:v>1.1328939721792888</c:v>
                </c:pt>
                <c:pt idx="15">
                  <c:v>0.49518186501803196</c:v>
                </c:pt>
                <c:pt idx="16">
                  <c:v>0.67375332302936619</c:v>
                </c:pt>
                <c:pt idx="17">
                  <c:v>1.1789716640906751</c:v>
                </c:pt>
                <c:pt idx="18">
                  <c:v>1.0816708912931479</c:v>
                </c:pt>
                <c:pt idx="19">
                  <c:v>1.407598145285935</c:v>
                </c:pt>
              </c:numCache>
            </c:numRef>
          </c:val>
        </c:ser>
        <c:gapWidth val="75"/>
        <c:axId val="120886784"/>
        <c:axId val="120888320"/>
      </c:barChart>
      <c:catAx>
        <c:axId val="120886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0888320"/>
        <c:crosses val="autoZero"/>
        <c:auto val="1"/>
        <c:lblAlgn val="ctr"/>
        <c:lblOffset val="100"/>
      </c:catAx>
      <c:valAx>
        <c:axId val="12088832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0886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July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26584122359822E-2"/>
          <c:y val="8.3871143882610744E-2"/>
          <c:w val="0.93226511289148162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'Jul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'Jul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10'!$F$32:$Y$32</c:f>
              <c:numCache>
                <c:formatCode>0.0%</c:formatCode>
                <c:ptCount val="20"/>
                <c:pt idx="0">
                  <c:v>1.2007272727272726</c:v>
                </c:pt>
                <c:pt idx="1">
                  <c:v>1.0899636363636365</c:v>
                </c:pt>
                <c:pt idx="2">
                  <c:v>1.0387393939393939</c:v>
                </c:pt>
                <c:pt idx="3">
                  <c:v>0.98589090909090904</c:v>
                </c:pt>
                <c:pt idx="4">
                  <c:v>0.9559563636363636</c:v>
                </c:pt>
                <c:pt idx="5">
                  <c:v>0.79663030303030291</c:v>
                </c:pt>
                <c:pt idx="6">
                  <c:v>0.98364675324675332</c:v>
                </c:pt>
                <c:pt idx="7">
                  <c:v>0.95266363636363638</c:v>
                </c:pt>
                <c:pt idx="8">
                  <c:v>1.0822787878787878</c:v>
                </c:pt>
                <c:pt idx="9">
                  <c:v>1.0640872727272728</c:v>
                </c:pt>
                <c:pt idx="10">
                  <c:v>1.0747900826446279</c:v>
                </c:pt>
                <c:pt idx="11">
                  <c:v>1.055587878787879</c:v>
                </c:pt>
                <c:pt idx="12">
                  <c:v>1.0055328671328672</c:v>
                </c:pt>
                <c:pt idx="13">
                  <c:v>1.007490909090909</c:v>
                </c:pt>
                <c:pt idx="14">
                  <c:v>0.97050181818181813</c:v>
                </c:pt>
                <c:pt idx="15">
                  <c:v>0.92250454545454541</c:v>
                </c:pt>
                <c:pt idx="16">
                  <c:v>0.90359786096256678</c:v>
                </c:pt>
                <c:pt idx="17">
                  <c:v>0.84331313131313124</c:v>
                </c:pt>
                <c:pt idx="18">
                  <c:v>0.838021052631579</c:v>
                </c:pt>
                <c:pt idx="19">
                  <c:v>1.024610909090909</c:v>
                </c:pt>
              </c:numCache>
            </c:numRef>
          </c:val>
        </c:ser>
        <c:ser>
          <c:idx val="1"/>
          <c:order val="1"/>
          <c:tx>
            <c:strRef>
              <c:f>'Jul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'Jul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10'!$F$33:$Y$33</c:f>
              <c:numCache>
                <c:formatCode>0.0%</c:formatCode>
                <c:ptCount val="20"/>
                <c:pt idx="0">
                  <c:v>0</c:v>
                </c:pt>
                <c:pt idx="1">
                  <c:v>0.23180000000000001</c:v>
                </c:pt>
                <c:pt idx="2">
                  <c:v>0.3412</c:v>
                </c:pt>
                <c:pt idx="3">
                  <c:v>0.27589999999999998</c:v>
                </c:pt>
                <c:pt idx="4">
                  <c:v>0.22072</c:v>
                </c:pt>
                <c:pt idx="5">
                  <c:v>0.18393333333333331</c:v>
                </c:pt>
                <c:pt idx="6">
                  <c:v>0.21125714285714287</c:v>
                </c:pt>
                <c:pt idx="7">
                  <c:v>0.21179999999999999</c:v>
                </c:pt>
                <c:pt idx="8">
                  <c:v>0.25271111111111111</c:v>
                </c:pt>
                <c:pt idx="9">
                  <c:v>0.35371999999999998</c:v>
                </c:pt>
                <c:pt idx="10">
                  <c:v>0.34116363636363639</c:v>
                </c:pt>
                <c:pt idx="11">
                  <c:v>0.376</c:v>
                </c:pt>
                <c:pt idx="12">
                  <c:v>0.34707692307692306</c:v>
                </c:pt>
                <c:pt idx="13">
                  <c:v>0.34511428571428576</c:v>
                </c:pt>
                <c:pt idx="14">
                  <c:v>0.3540266666666666</c:v>
                </c:pt>
                <c:pt idx="15">
                  <c:v>0.33689999999999998</c:v>
                </c:pt>
                <c:pt idx="16">
                  <c:v>0.33119999999999999</c:v>
                </c:pt>
                <c:pt idx="17">
                  <c:v>0.33855555555555555</c:v>
                </c:pt>
                <c:pt idx="18">
                  <c:v>0.37458947368421058</c:v>
                </c:pt>
                <c:pt idx="19">
                  <c:v>0.3478</c:v>
                </c:pt>
              </c:numCache>
            </c:numRef>
          </c:val>
        </c:ser>
        <c:ser>
          <c:idx val="2"/>
          <c:order val="2"/>
          <c:tx>
            <c:strRef>
              <c:f>'Jul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'Jul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10'!$F$34:$Y$34</c:f>
              <c:numCache>
                <c:formatCode>0.0%</c:formatCode>
                <c:ptCount val="20"/>
                <c:pt idx="0">
                  <c:v>0.55942857142857139</c:v>
                </c:pt>
                <c:pt idx="1">
                  <c:v>0.47085714285714286</c:v>
                </c:pt>
                <c:pt idx="2">
                  <c:v>0.74217142857142848</c:v>
                </c:pt>
                <c:pt idx="3">
                  <c:v>0.55662857142857147</c:v>
                </c:pt>
                <c:pt idx="4">
                  <c:v>0.60004571428571429</c:v>
                </c:pt>
                <c:pt idx="5">
                  <c:v>0.73260952380952382</c:v>
                </c:pt>
                <c:pt idx="6">
                  <c:v>0.7814204081632653</c:v>
                </c:pt>
                <c:pt idx="7">
                  <c:v>0.80574285714285709</c:v>
                </c:pt>
                <c:pt idx="8">
                  <c:v>0.75139047619047628</c:v>
                </c:pt>
                <c:pt idx="9">
                  <c:v>0.80408000000000002</c:v>
                </c:pt>
                <c:pt idx="10">
                  <c:v>0.79794285714285718</c:v>
                </c:pt>
                <c:pt idx="11">
                  <c:v>0.78580952380952385</c:v>
                </c:pt>
                <c:pt idx="12">
                  <c:v>0.75305494505494508</c:v>
                </c:pt>
                <c:pt idx="13">
                  <c:v>0.80140589569160992</c:v>
                </c:pt>
                <c:pt idx="14">
                  <c:v>0.78015238095238093</c:v>
                </c:pt>
                <c:pt idx="15">
                  <c:v>0.75064285714285717</c:v>
                </c:pt>
                <c:pt idx="16">
                  <c:v>0.76356302521008401</c:v>
                </c:pt>
                <c:pt idx="17">
                  <c:v>0.74019047619047618</c:v>
                </c:pt>
                <c:pt idx="18">
                  <c:v>0.73308270676691722</c:v>
                </c:pt>
                <c:pt idx="19">
                  <c:v>0.71782857142857148</c:v>
                </c:pt>
              </c:numCache>
            </c:numRef>
          </c:val>
        </c:ser>
        <c:ser>
          <c:idx val="3"/>
          <c:order val="3"/>
          <c:tx>
            <c:strRef>
              <c:f>'Jul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'Jul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10'!$F$35:$Y$35</c:f>
              <c:numCache>
                <c:formatCode>0.0%</c:formatCode>
                <c:ptCount val="20"/>
                <c:pt idx="0">
                  <c:v>1.1180555555555556</c:v>
                </c:pt>
                <c:pt idx="1">
                  <c:v>0.87438194444444439</c:v>
                </c:pt>
                <c:pt idx="2">
                  <c:v>1.0803120370370369</c:v>
                </c:pt>
                <c:pt idx="3">
                  <c:v>1.1581076388888889</c:v>
                </c:pt>
                <c:pt idx="4">
                  <c:v>1.2138505555555554</c:v>
                </c:pt>
                <c:pt idx="5">
                  <c:v>1.1407680555555555</c:v>
                </c:pt>
                <c:pt idx="6">
                  <c:v>1.169834126984127</c:v>
                </c:pt>
                <c:pt idx="7">
                  <c:v>1.2661027777777778</c:v>
                </c:pt>
                <c:pt idx="8">
                  <c:v>1.3607570987654323</c:v>
                </c:pt>
                <c:pt idx="9">
                  <c:v>1.3049730555555554</c:v>
                </c:pt>
                <c:pt idx="10">
                  <c:v>1.2467520202020204</c:v>
                </c:pt>
                <c:pt idx="11">
                  <c:v>1.2146155092592592</c:v>
                </c:pt>
                <c:pt idx="12">
                  <c:v>1.1413418803418802</c:v>
                </c:pt>
                <c:pt idx="13">
                  <c:v>1.1251398809523809</c:v>
                </c:pt>
                <c:pt idx="14">
                  <c:v>1.194831111111111</c:v>
                </c:pt>
                <c:pt idx="15">
                  <c:v>1.1931498263888887</c:v>
                </c:pt>
                <c:pt idx="16">
                  <c:v>1.1833725490196079</c:v>
                </c:pt>
                <c:pt idx="17">
                  <c:v>1.2442677469135801</c:v>
                </c:pt>
                <c:pt idx="18">
                  <c:v>1.1993758771929826</c:v>
                </c:pt>
                <c:pt idx="19">
                  <c:v>1.1747695833333331</c:v>
                </c:pt>
              </c:numCache>
            </c:numRef>
          </c:val>
        </c:ser>
        <c:ser>
          <c:idx val="4"/>
          <c:order val="4"/>
          <c:tx>
            <c:strRef>
              <c:f>'Jul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'Jul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'Jul 10'!$F$36:$Y$36</c:f>
              <c:numCache>
                <c:formatCode>0.0%</c:formatCode>
                <c:ptCount val="20"/>
                <c:pt idx="0">
                  <c:v>0.76281298299845446</c:v>
                </c:pt>
                <c:pt idx="1">
                  <c:v>0.70445337454920143</c:v>
                </c:pt>
                <c:pt idx="2">
                  <c:v>0.82326141164348265</c:v>
                </c:pt>
                <c:pt idx="3">
                  <c:v>0.784439979392066</c:v>
                </c:pt>
                <c:pt idx="4">
                  <c:v>0.78533143740340017</c:v>
                </c:pt>
                <c:pt idx="5">
                  <c:v>0.73053463850249012</c:v>
                </c:pt>
                <c:pt idx="6">
                  <c:v>0.80711291675866637</c:v>
                </c:pt>
                <c:pt idx="7">
                  <c:v>0.83098876867594018</c:v>
                </c:pt>
                <c:pt idx="8">
                  <c:v>0.89752343007613478</c:v>
                </c:pt>
                <c:pt idx="9">
                  <c:v>0.91038520350334873</c:v>
                </c:pt>
                <c:pt idx="10">
                  <c:v>0.89191011193855096</c:v>
                </c:pt>
                <c:pt idx="11">
                  <c:v>0.88393707710801994</c:v>
                </c:pt>
                <c:pt idx="12">
                  <c:v>0.83524305472991722</c:v>
                </c:pt>
                <c:pt idx="13">
                  <c:v>0.83833105174063438</c:v>
                </c:pt>
                <c:pt idx="14">
                  <c:v>0.84737766786879609</c:v>
                </c:pt>
                <c:pt idx="15">
                  <c:v>0.82407743431221014</c:v>
                </c:pt>
                <c:pt idx="16">
                  <c:v>0.81644707094584357</c:v>
                </c:pt>
                <c:pt idx="17">
                  <c:v>0.81553746636899638</c:v>
                </c:pt>
                <c:pt idx="18">
                  <c:v>0.80884486021855251</c:v>
                </c:pt>
                <c:pt idx="19">
                  <c:v>0.84503826893353928</c:v>
                </c:pt>
              </c:numCache>
            </c:numRef>
          </c:val>
        </c:ser>
        <c:marker val="1"/>
        <c:axId val="120997376"/>
        <c:axId val="120998912"/>
      </c:lineChart>
      <c:catAx>
        <c:axId val="1209973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0998912"/>
        <c:crosses val="autoZero"/>
        <c:auto val="1"/>
        <c:lblAlgn val="ctr"/>
        <c:lblOffset val="100"/>
      </c:catAx>
      <c:valAx>
        <c:axId val="12099891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0997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8477785870444"/>
          <c:y val="0.9225826771653535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August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'Aug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10'!$F$40:$X$40</c:f>
              <c:numCache>
                <c:formatCode>0</c:formatCode>
                <c:ptCount val="19"/>
                <c:pt idx="0">
                  <c:v>40000</c:v>
                </c:pt>
                <c:pt idx="1">
                  <c:v>149980</c:v>
                </c:pt>
                <c:pt idx="2">
                  <c:v>171180</c:v>
                </c:pt>
                <c:pt idx="3">
                  <c:v>199790</c:v>
                </c:pt>
                <c:pt idx="4">
                  <c:v>186492</c:v>
                </c:pt>
                <c:pt idx="5">
                  <c:v>189453.33333333331</c:v>
                </c:pt>
                <c:pt idx="6">
                  <c:v>205882.85714285713</c:v>
                </c:pt>
                <c:pt idx="7">
                  <c:v>262555</c:v>
                </c:pt>
                <c:pt idx="8">
                  <c:v>251948.88888888891</c:v>
                </c:pt>
                <c:pt idx="9">
                  <c:v>237894</c:v>
                </c:pt>
                <c:pt idx="10">
                  <c:v>228501.81818181821</c:v>
                </c:pt>
                <c:pt idx="11">
                  <c:v>241183.33333333331</c:v>
                </c:pt>
                <c:pt idx="12">
                  <c:v>265920</c:v>
                </c:pt>
                <c:pt idx="13">
                  <c:v>271031.42857142858</c:v>
                </c:pt>
                <c:pt idx="14">
                  <c:v>278920</c:v>
                </c:pt>
                <c:pt idx="15">
                  <c:v>264036.25</c:v>
                </c:pt>
                <c:pt idx="16">
                  <c:v>266374.1176470588</c:v>
                </c:pt>
                <c:pt idx="17">
                  <c:v>275824.44444444444</c:v>
                </c:pt>
                <c:pt idx="18">
                  <c:v>289561.05263157893</c:v>
                </c:pt>
              </c:numCache>
            </c:numRef>
          </c:val>
        </c:ser>
        <c:ser>
          <c:idx val="1"/>
          <c:order val="1"/>
          <c:tx>
            <c:strRef>
              <c:f>'Aug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10'!$F$41:$X$41</c:f>
              <c:numCache>
                <c:formatCode>0</c:formatCode>
                <c:ptCount val="19"/>
                <c:pt idx="0">
                  <c:v>0</c:v>
                </c:pt>
                <c:pt idx="1">
                  <c:v>173800</c:v>
                </c:pt>
                <c:pt idx="2">
                  <c:v>170500</c:v>
                </c:pt>
                <c:pt idx="3">
                  <c:v>171300</c:v>
                </c:pt>
                <c:pt idx="4">
                  <c:v>188160</c:v>
                </c:pt>
                <c:pt idx="5">
                  <c:v>181616.66666666669</c:v>
                </c:pt>
                <c:pt idx="6">
                  <c:v>155671.42857142858</c:v>
                </c:pt>
                <c:pt idx="7">
                  <c:v>151950</c:v>
                </c:pt>
                <c:pt idx="8">
                  <c:v>159711.11111111112</c:v>
                </c:pt>
                <c:pt idx="9">
                  <c:v>160220</c:v>
                </c:pt>
                <c:pt idx="10">
                  <c:v>150554.54545454547</c:v>
                </c:pt>
                <c:pt idx="11">
                  <c:v>161975</c:v>
                </c:pt>
                <c:pt idx="12">
                  <c:v>159892.30769230769</c:v>
                </c:pt>
                <c:pt idx="13">
                  <c:v>150892.85714285713</c:v>
                </c:pt>
                <c:pt idx="14">
                  <c:v>142166.66666666666</c:v>
                </c:pt>
                <c:pt idx="15">
                  <c:v>146031.25</c:v>
                </c:pt>
                <c:pt idx="16">
                  <c:v>140611.76470588235</c:v>
                </c:pt>
                <c:pt idx="17">
                  <c:v>148516.66666666666</c:v>
                </c:pt>
                <c:pt idx="18">
                  <c:v>135026.31578947368</c:v>
                </c:pt>
              </c:numCache>
            </c:numRef>
          </c:val>
        </c:ser>
        <c:ser>
          <c:idx val="2"/>
          <c:order val="2"/>
          <c:tx>
            <c:strRef>
              <c:f>'Aug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10'!$F$42:$X$42</c:f>
              <c:numCache>
                <c:formatCode>0</c:formatCode>
                <c:ptCount val="19"/>
                <c:pt idx="0">
                  <c:v>161820</c:v>
                </c:pt>
                <c:pt idx="1">
                  <c:v>159570</c:v>
                </c:pt>
                <c:pt idx="2">
                  <c:v>243360</c:v>
                </c:pt>
                <c:pt idx="3">
                  <c:v>208147.5</c:v>
                </c:pt>
                <c:pt idx="4">
                  <c:v>244024</c:v>
                </c:pt>
                <c:pt idx="5">
                  <c:v>203353.33333333331</c:v>
                </c:pt>
                <c:pt idx="6">
                  <c:v>177517.14285714287</c:v>
                </c:pt>
                <c:pt idx="7">
                  <c:v>180607.5</c:v>
                </c:pt>
                <c:pt idx="8">
                  <c:v>187860</c:v>
                </c:pt>
                <c:pt idx="9">
                  <c:v>187406</c:v>
                </c:pt>
                <c:pt idx="10">
                  <c:v>184343.63636363635</c:v>
                </c:pt>
                <c:pt idx="11">
                  <c:v>189030</c:v>
                </c:pt>
                <c:pt idx="12">
                  <c:v>203953.84615384619</c:v>
                </c:pt>
                <c:pt idx="13">
                  <c:v>203772.85714285713</c:v>
                </c:pt>
                <c:pt idx="14">
                  <c:v>213953.33333333331</c:v>
                </c:pt>
                <c:pt idx="15">
                  <c:v>203610.37500000003</c:v>
                </c:pt>
                <c:pt idx="16">
                  <c:v>207290.11764705883</c:v>
                </c:pt>
                <c:pt idx="17">
                  <c:v>210754</c:v>
                </c:pt>
                <c:pt idx="18">
                  <c:v>199211.68421052632</c:v>
                </c:pt>
              </c:numCache>
            </c:numRef>
          </c:val>
        </c:ser>
        <c:ser>
          <c:idx val="3"/>
          <c:order val="3"/>
          <c:tx>
            <c:strRef>
              <c:f>'Aug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10'!$F$43:$X$43</c:f>
              <c:numCache>
                <c:formatCode>0</c:formatCode>
                <c:ptCount val="19"/>
                <c:pt idx="0">
                  <c:v>1055307.2</c:v>
                </c:pt>
                <c:pt idx="1">
                  <c:v>605980</c:v>
                </c:pt>
                <c:pt idx="2">
                  <c:v>507634.66666666669</c:v>
                </c:pt>
                <c:pt idx="3">
                  <c:v>457658.39999999997</c:v>
                </c:pt>
                <c:pt idx="4">
                  <c:v>429764</c:v>
                </c:pt>
                <c:pt idx="5">
                  <c:v>412670</c:v>
                </c:pt>
                <c:pt idx="6">
                  <c:v>404197.14285714284</c:v>
                </c:pt>
                <c:pt idx="7">
                  <c:v>403267.5</c:v>
                </c:pt>
                <c:pt idx="8">
                  <c:v>407933.33333333337</c:v>
                </c:pt>
                <c:pt idx="9">
                  <c:v>426898</c:v>
                </c:pt>
                <c:pt idx="10">
                  <c:v>388089.09090909088</c:v>
                </c:pt>
                <c:pt idx="11">
                  <c:v>395608.33333333337</c:v>
                </c:pt>
                <c:pt idx="12">
                  <c:v>393586.15384615381</c:v>
                </c:pt>
                <c:pt idx="13">
                  <c:v>400087.14285714284</c:v>
                </c:pt>
                <c:pt idx="14">
                  <c:v>420357.33333333331</c:v>
                </c:pt>
                <c:pt idx="15">
                  <c:v>407976.65</c:v>
                </c:pt>
                <c:pt idx="16">
                  <c:v>426452.09411764698</c:v>
                </c:pt>
                <c:pt idx="17">
                  <c:v>410994.93333333335</c:v>
                </c:pt>
                <c:pt idx="18">
                  <c:v>407470.94736842101</c:v>
                </c:pt>
              </c:numCache>
            </c:numRef>
          </c:val>
        </c:ser>
        <c:ser>
          <c:idx val="4"/>
          <c:order val="4"/>
          <c:tx>
            <c:strRef>
              <c:f>'Aug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10'!$F$44:$X$44</c:f>
              <c:numCache>
                <c:formatCode>0</c:formatCode>
                <c:ptCount val="19"/>
                <c:pt idx="0">
                  <c:v>1257127.2</c:v>
                </c:pt>
                <c:pt idx="1">
                  <c:v>1089330</c:v>
                </c:pt>
                <c:pt idx="2">
                  <c:v>1092674.6666666667</c:v>
                </c:pt>
                <c:pt idx="3">
                  <c:v>1036895.8999999999</c:v>
                </c:pt>
                <c:pt idx="4">
                  <c:v>1048440</c:v>
                </c:pt>
                <c:pt idx="5">
                  <c:v>987093.33333333326</c:v>
                </c:pt>
                <c:pt idx="6">
                  <c:v>943268.57142857136</c:v>
                </c:pt>
                <c:pt idx="7">
                  <c:v>998380</c:v>
                </c:pt>
                <c:pt idx="8">
                  <c:v>1007453.3333333334</c:v>
                </c:pt>
                <c:pt idx="9">
                  <c:v>1012418</c:v>
                </c:pt>
                <c:pt idx="10">
                  <c:v>951489.09090909082</c:v>
                </c:pt>
                <c:pt idx="11">
                  <c:v>987796.66666666663</c:v>
                </c:pt>
                <c:pt idx="12">
                  <c:v>1023352.3076923077</c:v>
                </c:pt>
                <c:pt idx="13">
                  <c:v>1025784.2857142857</c:v>
                </c:pt>
                <c:pt idx="14">
                  <c:v>1055397.3333333333</c:v>
                </c:pt>
                <c:pt idx="15">
                  <c:v>1021654.525</c:v>
                </c:pt>
                <c:pt idx="16">
                  <c:v>1040728.094117647</c:v>
                </c:pt>
                <c:pt idx="17">
                  <c:v>1046090.0444444445</c:v>
                </c:pt>
                <c:pt idx="18">
                  <c:v>1031269.9999999999</c:v>
                </c:pt>
              </c:numCache>
            </c:numRef>
          </c:val>
        </c:ser>
        <c:ser>
          <c:idx val="5"/>
          <c:order val="5"/>
          <c:tx>
            <c:strRef>
              <c:f>'Aug 10'!$B$45</c:f>
              <c:strCache>
                <c:ptCount val="1"/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'Aug 10'!$F$39:$X$39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10'!$F$45:$X$45</c:f>
              <c:numCache>
                <c:formatCode>General</c:formatCode>
                <c:ptCount val="19"/>
              </c:numCache>
            </c:numRef>
          </c:val>
        </c:ser>
        <c:marker val="1"/>
        <c:axId val="121097216"/>
        <c:axId val="121107200"/>
      </c:lineChart>
      <c:catAx>
        <c:axId val="1210972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107200"/>
        <c:crosses val="autoZero"/>
        <c:auto val="1"/>
        <c:lblAlgn val="ctr"/>
        <c:lblOffset val="100"/>
      </c:catAx>
      <c:valAx>
        <c:axId val="12110720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097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944467467883292"/>
          <c:y val="0.92826178249459435"/>
          <c:w val="0.35307040567298537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August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'Aug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'Aug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'Aug 10'!$F$15:$Y$15</c:f>
              <c:numCache>
                <c:formatCode>0.0%</c:formatCode>
                <c:ptCount val="20"/>
                <c:pt idx="0">
                  <c:v>2.4825454545454546</c:v>
                </c:pt>
                <c:pt idx="1">
                  <c:v>1.1413090909090908</c:v>
                </c:pt>
                <c:pt idx="2">
                  <c:v>0.77665454545454549</c:v>
                </c:pt>
                <c:pt idx="3">
                  <c:v>1.0386181818181819</c:v>
                </c:pt>
                <c:pt idx="4">
                  <c:v>0.48472727272727267</c:v>
                </c:pt>
                <c:pt idx="5">
                  <c:v>0.74276363636363629</c:v>
                </c:pt>
                <c:pt idx="6">
                  <c:v>1.1071272727272727</c:v>
                </c:pt>
                <c:pt idx="7">
                  <c:v>2.3973090909090908</c:v>
                </c:pt>
                <c:pt idx="8">
                  <c:v>0.60763636363636364</c:v>
                </c:pt>
                <c:pt idx="9">
                  <c:v>0.40509090909090906</c:v>
                </c:pt>
                <c:pt idx="10">
                  <c:v>0.48938181818181814</c:v>
                </c:pt>
                <c:pt idx="11">
                  <c:v>1.384290909090909</c:v>
                </c:pt>
                <c:pt idx="12">
                  <c:v>2.2489454545454546</c:v>
                </c:pt>
                <c:pt idx="13">
                  <c:v>1.2272000000000001</c:v>
                </c:pt>
                <c:pt idx="14">
                  <c:v>1.4158545454545455</c:v>
                </c:pt>
                <c:pt idx="15">
                  <c:v>0.14829090909090914</c:v>
                </c:pt>
                <c:pt idx="16">
                  <c:v>1.1046545454545456</c:v>
                </c:pt>
                <c:pt idx="17">
                  <c:v>1.5872000000000002</c:v>
                </c:pt>
                <c:pt idx="18">
                  <c:v>2.154618181818182</c:v>
                </c:pt>
                <c:pt idx="19">
                  <c:v>1.0466181818181819</c:v>
                </c:pt>
              </c:numCache>
            </c:numRef>
          </c:val>
        </c:ser>
        <c:ser>
          <c:idx val="1"/>
          <c:order val="1"/>
          <c:tx>
            <c:strRef>
              <c:f>'Aug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'Aug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'Aug 10'!$F$16:$Y$16</c:f>
              <c:numCache>
                <c:formatCode>0.0%</c:formatCode>
                <c:ptCount val="20"/>
                <c:pt idx="0">
                  <c:v>0.29559999999999997</c:v>
                </c:pt>
                <c:pt idx="1">
                  <c:v>0.83919999999999995</c:v>
                </c:pt>
                <c:pt idx="2">
                  <c:v>0.65559999999999996</c:v>
                </c:pt>
                <c:pt idx="3">
                  <c:v>0.69479999999999997</c:v>
                </c:pt>
                <c:pt idx="4">
                  <c:v>1.0780000000000001</c:v>
                </c:pt>
                <c:pt idx="5">
                  <c:v>0.59560000000000002</c:v>
                </c:pt>
                <c:pt idx="6">
                  <c:v>0</c:v>
                </c:pt>
                <c:pt idx="7">
                  <c:v>0.50360000000000005</c:v>
                </c:pt>
                <c:pt idx="8">
                  <c:v>0.88719999999999999</c:v>
                </c:pt>
                <c:pt idx="9">
                  <c:v>0.65920000000000001</c:v>
                </c:pt>
                <c:pt idx="10">
                  <c:v>0.21272000000000002</c:v>
                </c:pt>
                <c:pt idx="11">
                  <c:v>0.99080000000000001</c:v>
                </c:pt>
                <c:pt idx="12">
                  <c:v>0.53960000000000008</c:v>
                </c:pt>
                <c:pt idx="13">
                  <c:v>0.13560000000000005</c:v>
                </c:pt>
                <c:pt idx="14">
                  <c:v>7.999999999999996E-2</c:v>
                </c:pt>
                <c:pt idx="15">
                  <c:v>0.81840000000000002</c:v>
                </c:pt>
                <c:pt idx="16">
                  <c:v>0.21560000000000001</c:v>
                </c:pt>
                <c:pt idx="17">
                  <c:v>1.1315999999999999</c:v>
                </c:pt>
                <c:pt idx="18">
                  <c:v>0.55959999999999999</c:v>
                </c:pt>
                <c:pt idx="19">
                  <c:v>0.19999999999999996</c:v>
                </c:pt>
              </c:numCache>
            </c:numRef>
          </c:val>
        </c:ser>
        <c:ser>
          <c:idx val="2"/>
          <c:order val="2"/>
          <c:tx>
            <c:strRef>
              <c:f>'Aug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'Aug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'Aug 10'!$F$17:$Y$17</c:f>
              <c:numCache>
                <c:formatCode>0.0%</c:formatCode>
                <c:ptCount val="20"/>
                <c:pt idx="0">
                  <c:v>0.63371428571428567</c:v>
                </c:pt>
                <c:pt idx="1">
                  <c:v>1.4274285714285715</c:v>
                </c:pt>
                <c:pt idx="2">
                  <c:v>2.1805714285714286</c:v>
                </c:pt>
                <c:pt idx="3">
                  <c:v>0.95885714285714285</c:v>
                </c:pt>
                <c:pt idx="4">
                  <c:v>2.1525079365079365</c:v>
                </c:pt>
                <c:pt idx="5">
                  <c:v>0</c:v>
                </c:pt>
                <c:pt idx="6">
                  <c:v>0.1428571428571429</c:v>
                </c:pt>
                <c:pt idx="7">
                  <c:v>1.2839365079365079</c:v>
                </c:pt>
                <c:pt idx="8">
                  <c:v>1.5611428571428572</c:v>
                </c:pt>
                <c:pt idx="9">
                  <c:v>1.163936507936508</c:v>
                </c:pt>
                <c:pt idx="10">
                  <c:v>0.97599999999999998</c:v>
                </c:pt>
                <c:pt idx="11">
                  <c:v>1.5273650793650795</c:v>
                </c:pt>
                <c:pt idx="12">
                  <c:v>2.4319999999999999</c:v>
                </c:pt>
                <c:pt idx="13">
                  <c:v>1.2788571428571429</c:v>
                </c:pt>
                <c:pt idx="14">
                  <c:v>2.2633650793650792</c:v>
                </c:pt>
                <c:pt idx="15">
                  <c:v>0.2857142857142857</c:v>
                </c:pt>
                <c:pt idx="16">
                  <c:v>3.1157714285714286</c:v>
                </c:pt>
                <c:pt idx="17">
                  <c:v>2.4549714285714286</c:v>
                </c:pt>
                <c:pt idx="18">
                  <c:v>1.4217142857142857</c:v>
                </c:pt>
                <c:pt idx="19">
                  <c:v>0.86228571428571432</c:v>
                </c:pt>
              </c:numCache>
            </c:numRef>
          </c:val>
        </c:ser>
        <c:ser>
          <c:idx val="3"/>
          <c:order val="3"/>
          <c:tx>
            <c:strRef>
              <c:f>'Aug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'Aug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'Aug 10'!$F$18:$Y$18</c:f>
              <c:numCache>
                <c:formatCode>0.0%</c:formatCode>
                <c:ptCount val="20"/>
                <c:pt idx="0">
                  <c:v>1.9846277777777779</c:v>
                </c:pt>
                <c:pt idx="1">
                  <c:v>0.81373611111111099</c:v>
                </c:pt>
                <c:pt idx="2">
                  <c:v>1.1650833333333335</c:v>
                </c:pt>
                <c:pt idx="3">
                  <c:v>1.4750888888888887</c:v>
                </c:pt>
                <c:pt idx="4">
                  <c:v>1.2464583333333334</c:v>
                </c:pt>
                <c:pt idx="5">
                  <c:v>1.242013888888889</c:v>
                </c:pt>
                <c:pt idx="6">
                  <c:v>1.2268749999999999</c:v>
                </c:pt>
                <c:pt idx="7">
                  <c:v>1.3775694444444444</c:v>
                </c:pt>
                <c:pt idx="8">
                  <c:v>1.5529861111111112</c:v>
                </c:pt>
                <c:pt idx="9">
                  <c:v>2.0680555555555555</c:v>
                </c:pt>
                <c:pt idx="10">
                  <c:v>0</c:v>
                </c:pt>
                <c:pt idx="11">
                  <c:v>1.9923611111111112</c:v>
                </c:pt>
                <c:pt idx="12">
                  <c:v>1.2823611111111111</c:v>
                </c:pt>
                <c:pt idx="13">
                  <c:v>1.6825694444444443</c:v>
                </c:pt>
                <c:pt idx="14">
                  <c:v>2.6834027777777778</c:v>
                </c:pt>
                <c:pt idx="15">
                  <c:v>1.1860388888888889</c:v>
                </c:pt>
                <c:pt idx="16">
                  <c:v>2.2237944444444446</c:v>
                </c:pt>
                <c:pt idx="17">
                  <c:v>1.4595999999999998</c:v>
                </c:pt>
                <c:pt idx="18">
                  <c:v>0.86771944444444449</c:v>
                </c:pt>
                <c:pt idx="19">
                  <c:v>0.44735555555555551</c:v>
                </c:pt>
              </c:numCache>
            </c:numRef>
          </c:val>
        </c:ser>
        <c:ser>
          <c:idx val="4"/>
          <c:order val="4"/>
          <c:tx>
            <c:strRef>
              <c:f>'Aug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'Aug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'Aug 10'!$F$19:$Y$19</c:f>
              <c:numCache>
                <c:formatCode>0.0%</c:formatCode>
                <c:ptCount val="20"/>
                <c:pt idx="0">
                  <c:v>1.4713887686759402</c:v>
                </c:pt>
                <c:pt idx="1">
                  <c:v>1.0127109737248841</c:v>
                </c:pt>
                <c:pt idx="2">
                  <c:v>1.0885770221535291</c:v>
                </c:pt>
                <c:pt idx="3">
                  <c:v>1.0666312210200928</c:v>
                </c:pt>
                <c:pt idx="4">
                  <c:v>1.1342606903657908</c:v>
                </c:pt>
                <c:pt idx="5">
                  <c:v>0.73246780010303969</c:v>
                </c:pt>
                <c:pt idx="6">
                  <c:v>0.70097887686759397</c:v>
                </c:pt>
                <c:pt idx="7">
                  <c:v>1.4261926841834107</c:v>
                </c:pt>
                <c:pt idx="8">
                  <c:v>1.1149304482225657</c:v>
                </c:pt>
                <c:pt idx="9">
                  <c:v>1.0871921689850592</c:v>
                </c:pt>
                <c:pt idx="10">
                  <c:v>0.35185986604842867</c:v>
                </c:pt>
                <c:pt idx="11">
                  <c:v>1.4865945388974755</c:v>
                </c:pt>
                <c:pt idx="12">
                  <c:v>1.5514889232354456</c:v>
                </c:pt>
                <c:pt idx="13">
                  <c:v>1.0895208655332302</c:v>
                </c:pt>
                <c:pt idx="14">
                  <c:v>1.5854301906233901</c:v>
                </c:pt>
                <c:pt idx="15">
                  <c:v>0.65116867594023697</c:v>
                </c:pt>
                <c:pt idx="16">
                  <c:v>1.5341234415249869</c:v>
                </c:pt>
                <c:pt idx="17">
                  <c:v>1.5728004121586809</c:v>
                </c:pt>
                <c:pt idx="18">
                  <c:v>1.2429090159711489</c:v>
                </c:pt>
                <c:pt idx="19">
                  <c:v>0.62078145285935082</c:v>
                </c:pt>
              </c:numCache>
            </c:numRef>
          </c:val>
        </c:ser>
        <c:gapWidth val="75"/>
        <c:axId val="121120256"/>
        <c:axId val="121121792"/>
      </c:barChart>
      <c:catAx>
        <c:axId val="1211202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1121792"/>
        <c:crosses val="autoZero"/>
        <c:auto val="1"/>
        <c:lblAlgn val="ctr"/>
        <c:lblOffset val="100"/>
      </c:catAx>
      <c:valAx>
        <c:axId val="1211217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11202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August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26584122359822E-2"/>
          <c:y val="8.3871143882610744E-2"/>
          <c:w val="0.93226511289148162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'Aug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'Aug 10'!$F$31:$X$31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10'!$F$32:$X$32</c:f>
              <c:numCache>
                <c:formatCode>0.0%</c:formatCode>
                <c:ptCount val="19"/>
                <c:pt idx="0">
                  <c:v>0.14545454545454545</c:v>
                </c:pt>
                <c:pt idx="1">
                  <c:v>0.54538181818181819</c:v>
                </c:pt>
                <c:pt idx="2">
                  <c:v>0.62247272727272729</c:v>
                </c:pt>
                <c:pt idx="3">
                  <c:v>0.72650909090909088</c:v>
                </c:pt>
                <c:pt idx="4">
                  <c:v>0.67815272727272724</c:v>
                </c:pt>
                <c:pt idx="5">
                  <c:v>0.68892121212121205</c:v>
                </c:pt>
                <c:pt idx="6">
                  <c:v>0.74866493506493503</c:v>
                </c:pt>
                <c:pt idx="7">
                  <c:v>0.95474545454545456</c:v>
                </c:pt>
                <c:pt idx="8">
                  <c:v>0.91617777777777787</c:v>
                </c:pt>
                <c:pt idx="9">
                  <c:v>0.8650690909090909</c:v>
                </c:pt>
                <c:pt idx="10">
                  <c:v>0.83091570247933888</c:v>
                </c:pt>
                <c:pt idx="11">
                  <c:v>0.87703030303030294</c:v>
                </c:pt>
                <c:pt idx="12">
                  <c:v>0.96698181818181816</c:v>
                </c:pt>
                <c:pt idx="13">
                  <c:v>0.98556883116883121</c:v>
                </c:pt>
                <c:pt idx="14">
                  <c:v>1.0142545454545455</c:v>
                </c:pt>
                <c:pt idx="15">
                  <c:v>0.96013181818181814</c:v>
                </c:pt>
                <c:pt idx="16">
                  <c:v>0.96863315508021386</c:v>
                </c:pt>
                <c:pt idx="17">
                  <c:v>1.0029979797979798</c:v>
                </c:pt>
                <c:pt idx="18">
                  <c:v>1.0529492822966506</c:v>
                </c:pt>
              </c:numCache>
            </c:numRef>
          </c:val>
        </c:ser>
        <c:ser>
          <c:idx val="1"/>
          <c:order val="1"/>
          <c:tx>
            <c:strRef>
              <c:f>'Aug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'Aug 10'!$F$31:$X$31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10'!$F$33:$X$33</c:f>
              <c:numCache>
                <c:formatCode>0.0%</c:formatCode>
                <c:ptCount val="19"/>
                <c:pt idx="0">
                  <c:v>0</c:v>
                </c:pt>
                <c:pt idx="1">
                  <c:v>0.69520000000000004</c:v>
                </c:pt>
                <c:pt idx="2">
                  <c:v>0.68200000000000005</c:v>
                </c:pt>
                <c:pt idx="3">
                  <c:v>0.68520000000000003</c:v>
                </c:pt>
                <c:pt idx="4">
                  <c:v>0.75263999999999998</c:v>
                </c:pt>
                <c:pt idx="5">
                  <c:v>0.7264666666666667</c:v>
                </c:pt>
                <c:pt idx="6">
                  <c:v>0.62268571428571429</c:v>
                </c:pt>
                <c:pt idx="7">
                  <c:v>0.60780000000000001</c:v>
                </c:pt>
                <c:pt idx="8">
                  <c:v>0.63884444444444455</c:v>
                </c:pt>
                <c:pt idx="9">
                  <c:v>0.64088000000000001</c:v>
                </c:pt>
                <c:pt idx="10">
                  <c:v>0.60221818181818187</c:v>
                </c:pt>
                <c:pt idx="11">
                  <c:v>0.64790000000000003</c:v>
                </c:pt>
                <c:pt idx="12">
                  <c:v>0.63956923076923078</c:v>
                </c:pt>
                <c:pt idx="13">
                  <c:v>0.60357142857142854</c:v>
                </c:pt>
                <c:pt idx="14">
                  <c:v>0.56866666666666665</c:v>
                </c:pt>
                <c:pt idx="15">
                  <c:v>0.58412500000000001</c:v>
                </c:pt>
                <c:pt idx="16">
                  <c:v>0.56244705882352941</c:v>
                </c:pt>
                <c:pt idx="17">
                  <c:v>0.59406666666666663</c:v>
                </c:pt>
                <c:pt idx="18">
                  <c:v>0.54010526315789475</c:v>
                </c:pt>
              </c:numCache>
            </c:numRef>
          </c:val>
        </c:ser>
        <c:ser>
          <c:idx val="2"/>
          <c:order val="2"/>
          <c:tx>
            <c:strRef>
              <c:f>'Aug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'Aug 10'!$F$31:$X$31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10'!$F$34:$X$34</c:f>
              <c:numCache>
                <c:formatCode>0.0%</c:formatCode>
                <c:ptCount val="19"/>
                <c:pt idx="0">
                  <c:v>1.0274285714285714</c:v>
                </c:pt>
                <c:pt idx="1">
                  <c:v>1.0131428571428571</c:v>
                </c:pt>
                <c:pt idx="2">
                  <c:v>1.5451428571428572</c:v>
                </c:pt>
                <c:pt idx="3">
                  <c:v>1.3215714285714286</c:v>
                </c:pt>
                <c:pt idx="4">
                  <c:v>1.5493587301587302</c:v>
                </c:pt>
                <c:pt idx="5">
                  <c:v>1.2911322751322749</c:v>
                </c:pt>
                <c:pt idx="6">
                  <c:v>1.127092970521542</c:v>
                </c:pt>
                <c:pt idx="7">
                  <c:v>1.1467142857142858</c:v>
                </c:pt>
                <c:pt idx="8">
                  <c:v>1.1927619047619047</c:v>
                </c:pt>
                <c:pt idx="9">
                  <c:v>1.1898793650793651</c:v>
                </c:pt>
                <c:pt idx="10">
                  <c:v>1.1704357864357864</c:v>
                </c:pt>
                <c:pt idx="11">
                  <c:v>1.2001904761904763</c:v>
                </c:pt>
                <c:pt idx="12">
                  <c:v>1.2949450549450552</c:v>
                </c:pt>
                <c:pt idx="13">
                  <c:v>1.2937959183673469</c:v>
                </c:pt>
                <c:pt idx="14">
                  <c:v>1.3584338624338623</c:v>
                </c:pt>
                <c:pt idx="15">
                  <c:v>1.2927642857142858</c:v>
                </c:pt>
                <c:pt idx="16">
                  <c:v>1.3161277310924371</c:v>
                </c:pt>
                <c:pt idx="17">
                  <c:v>1.3381206349206349</c:v>
                </c:pt>
                <c:pt idx="18">
                  <c:v>1.264836090225564</c:v>
                </c:pt>
              </c:numCache>
            </c:numRef>
          </c:val>
        </c:ser>
        <c:ser>
          <c:idx val="3"/>
          <c:order val="3"/>
          <c:tx>
            <c:strRef>
              <c:f>'Aug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'Aug 10'!$F$31:$X$31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10'!$F$35:$X$35</c:f>
              <c:numCache>
                <c:formatCode>0.0%</c:formatCode>
                <c:ptCount val="19"/>
                <c:pt idx="0">
                  <c:v>3.6642611111111107</c:v>
                </c:pt>
                <c:pt idx="1">
                  <c:v>2.1040972222222223</c:v>
                </c:pt>
                <c:pt idx="2">
                  <c:v>1.7626203703703704</c:v>
                </c:pt>
                <c:pt idx="3">
                  <c:v>1.5890916666666666</c:v>
                </c:pt>
                <c:pt idx="4">
                  <c:v>1.4922361111111111</c:v>
                </c:pt>
                <c:pt idx="5">
                  <c:v>1.4328819444444445</c:v>
                </c:pt>
                <c:pt idx="6">
                  <c:v>1.4034623015873016</c:v>
                </c:pt>
                <c:pt idx="7">
                  <c:v>1.4002343749999999</c:v>
                </c:pt>
                <c:pt idx="8">
                  <c:v>1.4164351851851853</c:v>
                </c:pt>
                <c:pt idx="9">
                  <c:v>1.4822847222222222</c:v>
                </c:pt>
                <c:pt idx="10">
                  <c:v>1.3475315656565656</c:v>
                </c:pt>
                <c:pt idx="11">
                  <c:v>1.3736400462962963</c:v>
                </c:pt>
                <c:pt idx="12">
                  <c:v>1.3666185897435896</c:v>
                </c:pt>
                <c:pt idx="13">
                  <c:v>1.3891914682539681</c:v>
                </c:pt>
                <c:pt idx="14">
                  <c:v>1.4595740740740739</c:v>
                </c:pt>
                <c:pt idx="15">
                  <c:v>1.4165855902777778</c:v>
                </c:pt>
                <c:pt idx="16">
                  <c:v>1.4807364379084964</c:v>
                </c:pt>
                <c:pt idx="17">
                  <c:v>1.4270657407407408</c:v>
                </c:pt>
                <c:pt idx="18">
                  <c:v>1.4148296783625729</c:v>
                </c:pt>
              </c:numCache>
            </c:numRef>
          </c:val>
        </c:ser>
        <c:ser>
          <c:idx val="4"/>
          <c:order val="4"/>
          <c:tx>
            <c:strRef>
              <c:f>'Aug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'Aug 10'!$F$31:$X$31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'Aug 10'!$F$36:$X$36</c:f>
              <c:numCache>
                <c:formatCode>0.0%</c:formatCode>
                <c:ptCount val="19"/>
                <c:pt idx="0">
                  <c:v>1.2953397217928901</c:v>
                </c:pt>
                <c:pt idx="1">
                  <c:v>1.1224420401854713</c:v>
                </c:pt>
                <c:pt idx="2">
                  <c:v>1.1258883736905376</c:v>
                </c:pt>
                <c:pt idx="3">
                  <c:v>1.0684141164348273</c:v>
                </c:pt>
                <c:pt idx="4">
                  <c:v>1.0803091190108192</c:v>
                </c:pt>
                <c:pt idx="5">
                  <c:v>1.0170977159539756</c:v>
                </c:pt>
                <c:pt idx="6">
                  <c:v>0.97194082578935737</c:v>
                </c:pt>
                <c:pt idx="7">
                  <c:v>1.0287274600721277</c:v>
                </c:pt>
                <c:pt idx="8">
                  <c:v>1.0380765928215696</c:v>
                </c:pt>
                <c:pt idx="9">
                  <c:v>1.0431921689850592</c:v>
                </c:pt>
                <c:pt idx="10">
                  <c:v>0.98041122195681696</c:v>
                </c:pt>
                <c:pt idx="11">
                  <c:v>1.0178224283015627</c:v>
                </c:pt>
                <c:pt idx="12">
                  <c:v>1.0544588435778544</c:v>
                </c:pt>
                <c:pt idx="13">
                  <c:v>1.0569647457128137</c:v>
                </c:pt>
                <c:pt idx="14">
                  <c:v>1.0874779323372832</c:v>
                </c:pt>
                <c:pt idx="15">
                  <c:v>1.0527094538897477</c:v>
                </c:pt>
                <c:pt idx="16">
                  <c:v>1.0723627966178744</c:v>
                </c:pt>
                <c:pt idx="17">
                  <c:v>1.0778877325548115</c:v>
                </c:pt>
                <c:pt idx="18">
                  <c:v>1.0626172076249354</c:v>
                </c:pt>
              </c:numCache>
            </c:numRef>
          </c:val>
        </c:ser>
        <c:marker val="1"/>
        <c:axId val="121177600"/>
        <c:axId val="121179136"/>
      </c:lineChart>
      <c:catAx>
        <c:axId val="1211776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179136"/>
        <c:crosses val="autoZero"/>
        <c:auto val="1"/>
        <c:lblAlgn val="ctr"/>
        <c:lblOffset val="100"/>
      </c:catAx>
      <c:valAx>
        <c:axId val="12117913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177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8477785870444"/>
          <c:y val="0.9225826771653535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August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'Sep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10'!$F$40:$Y$40</c:f>
              <c:numCache>
                <c:formatCode>0</c:formatCode>
                <c:ptCount val="20"/>
                <c:pt idx="0">
                  <c:v>3240</c:v>
                </c:pt>
                <c:pt idx="1">
                  <c:v>101530</c:v>
                </c:pt>
                <c:pt idx="2">
                  <c:v>241773.33333333331</c:v>
                </c:pt>
                <c:pt idx="3">
                  <c:v>259725</c:v>
                </c:pt>
                <c:pt idx="4">
                  <c:v>281116</c:v>
                </c:pt>
                <c:pt idx="5">
                  <c:v>277603.33333333331</c:v>
                </c:pt>
                <c:pt idx="6">
                  <c:v>279154.28571428574</c:v>
                </c:pt>
                <c:pt idx="7">
                  <c:v>272110</c:v>
                </c:pt>
                <c:pt idx="8">
                  <c:v>318122.22222222225</c:v>
                </c:pt>
                <c:pt idx="9">
                  <c:v>319394</c:v>
                </c:pt>
                <c:pt idx="10">
                  <c:v>306867.27272727271</c:v>
                </c:pt>
                <c:pt idx="11">
                  <c:v>332985</c:v>
                </c:pt>
                <c:pt idx="12">
                  <c:v>346369.23076923075</c:v>
                </c:pt>
                <c:pt idx="13">
                  <c:v>342387.14285714284</c:v>
                </c:pt>
                <c:pt idx="14">
                  <c:v>361041.33333333331</c:v>
                </c:pt>
                <c:pt idx="15">
                  <c:v>362082.5</c:v>
                </c:pt>
                <c:pt idx="16">
                  <c:v>380291.76470588241</c:v>
                </c:pt>
                <c:pt idx="17">
                  <c:v>394925.55555555556</c:v>
                </c:pt>
                <c:pt idx="18">
                  <c:v>398583.15789473685</c:v>
                </c:pt>
                <c:pt idx="19">
                  <c:v>393632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'Sep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10'!$F$41:$Y$41</c:f>
              <c:numCache>
                <c:formatCode>0</c:formatCode>
                <c:ptCount val="20"/>
                <c:pt idx="0">
                  <c:v>247700</c:v>
                </c:pt>
                <c:pt idx="1">
                  <c:v>165800</c:v>
                </c:pt>
                <c:pt idx="2">
                  <c:v>110533.33333333334</c:v>
                </c:pt>
                <c:pt idx="3">
                  <c:v>158700</c:v>
                </c:pt>
                <c:pt idx="4">
                  <c:v>171500</c:v>
                </c:pt>
                <c:pt idx="5">
                  <c:v>193483.33333333331</c:v>
                </c:pt>
                <c:pt idx="6">
                  <c:v>201600</c:v>
                </c:pt>
                <c:pt idx="7">
                  <c:v>183137.5</c:v>
                </c:pt>
                <c:pt idx="8">
                  <c:v>173444.44444444444</c:v>
                </c:pt>
                <c:pt idx="9">
                  <c:v>165690</c:v>
                </c:pt>
                <c:pt idx="10">
                  <c:v>150627.27272727271</c:v>
                </c:pt>
                <c:pt idx="11">
                  <c:v>148075</c:v>
                </c:pt>
                <c:pt idx="12">
                  <c:v>133230.76923076925</c:v>
                </c:pt>
                <c:pt idx="13">
                  <c:v>129492.85714285713</c:v>
                </c:pt>
                <c:pt idx="14">
                  <c:v>127786.66666666666</c:v>
                </c:pt>
                <c:pt idx="15">
                  <c:v>128862.5</c:v>
                </c:pt>
                <c:pt idx="16">
                  <c:v>127982.35294117648</c:v>
                </c:pt>
                <c:pt idx="17">
                  <c:v>129638.88888888889</c:v>
                </c:pt>
                <c:pt idx="18">
                  <c:v>140531.57894736843</c:v>
                </c:pt>
                <c:pt idx="19">
                  <c:v>140600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'Sep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10'!$F$42:$Y$42</c:f>
              <c:numCache>
                <c:formatCode>0</c:formatCode>
                <c:ptCount val="20"/>
                <c:pt idx="0">
                  <c:v>803592</c:v>
                </c:pt>
                <c:pt idx="1">
                  <c:v>484173</c:v>
                </c:pt>
                <c:pt idx="2">
                  <c:v>470957.99999999994</c:v>
                </c:pt>
                <c:pt idx="3">
                  <c:v>443934</c:v>
                </c:pt>
                <c:pt idx="4">
                  <c:v>379933.2</c:v>
                </c:pt>
                <c:pt idx="5">
                  <c:v>349896</c:v>
                </c:pt>
                <c:pt idx="6">
                  <c:v>339888.85714285716</c:v>
                </c:pt>
                <c:pt idx="7">
                  <c:v>314716.5</c:v>
                </c:pt>
                <c:pt idx="8">
                  <c:v>310188</c:v>
                </c:pt>
                <c:pt idx="9">
                  <c:v>296809.2</c:v>
                </c:pt>
                <c:pt idx="10">
                  <c:v>269826.54545454547</c:v>
                </c:pt>
                <c:pt idx="11">
                  <c:v>286528.5</c:v>
                </c:pt>
                <c:pt idx="12">
                  <c:v>298892.76923076925</c:v>
                </c:pt>
                <c:pt idx="13">
                  <c:v>297324</c:v>
                </c:pt>
                <c:pt idx="14">
                  <c:v>281102.40000000002</c:v>
                </c:pt>
                <c:pt idx="15">
                  <c:v>272066.625</c:v>
                </c:pt>
                <c:pt idx="16">
                  <c:v>268916.82352941181</c:v>
                </c:pt>
                <c:pt idx="17">
                  <c:v>258177</c:v>
                </c:pt>
                <c:pt idx="18">
                  <c:v>252395.05263157899</c:v>
                </c:pt>
                <c:pt idx="19">
                  <c:v>255619.80000000005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'Sep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10'!$F$43:$Y$43</c:f>
              <c:numCache>
                <c:formatCode>0</c:formatCode>
                <c:ptCount val="20"/>
                <c:pt idx="0">
                  <c:v>480159.19999999995</c:v>
                </c:pt>
                <c:pt idx="1">
                  <c:v>422037.6</c:v>
                </c:pt>
                <c:pt idx="2">
                  <c:v>344662.39999999997</c:v>
                </c:pt>
                <c:pt idx="3">
                  <c:v>376257</c:v>
                </c:pt>
                <c:pt idx="4">
                  <c:v>394957.92000000004</c:v>
                </c:pt>
                <c:pt idx="5">
                  <c:v>366627.46666666667</c:v>
                </c:pt>
                <c:pt idx="6">
                  <c:v>339522.1714285714</c:v>
                </c:pt>
                <c:pt idx="7">
                  <c:v>346978.9</c:v>
                </c:pt>
                <c:pt idx="8">
                  <c:v>384663.82222222222</c:v>
                </c:pt>
                <c:pt idx="9">
                  <c:v>390966.15999999992</c:v>
                </c:pt>
                <c:pt idx="10">
                  <c:v>386479.41818181821</c:v>
                </c:pt>
                <c:pt idx="11">
                  <c:v>373851.66666666663</c:v>
                </c:pt>
                <c:pt idx="12">
                  <c:v>377318.58461538458</c:v>
                </c:pt>
                <c:pt idx="13">
                  <c:v>368604.05714285711</c:v>
                </c:pt>
                <c:pt idx="14">
                  <c:v>373288.05333333329</c:v>
                </c:pt>
                <c:pt idx="15">
                  <c:v>363516.25</c:v>
                </c:pt>
                <c:pt idx="16">
                  <c:v>359250.68235294113</c:v>
                </c:pt>
                <c:pt idx="17">
                  <c:v>350498.97777777776</c:v>
                </c:pt>
                <c:pt idx="18">
                  <c:v>347755.95789473678</c:v>
                </c:pt>
                <c:pt idx="19">
                  <c:v>341093.75999999995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'Sep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10'!$F$44:$Y$44</c:f>
              <c:numCache>
                <c:formatCode>0</c:formatCode>
                <c:ptCount val="20"/>
                <c:pt idx="0">
                  <c:v>1534691.2</c:v>
                </c:pt>
                <c:pt idx="1">
                  <c:v>1173540.6000000001</c:v>
                </c:pt>
                <c:pt idx="2">
                  <c:v>1167927.0666666664</c:v>
                </c:pt>
                <c:pt idx="3">
                  <c:v>1238616</c:v>
                </c:pt>
                <c:pt idx="4">
                  <c:v>1227507.1200000001</c:v>
                </c:pt>
                <c:pt idx="5">
                  <c:v>1187610.1333333333</c:v>
                </c:pt>
                <c:pt idx="6">
                  <c:v>1160165.3142857144</c:v>
                </c:pt>
                <c:pt idx="7">
                  <c:v>1116942.8999999999</c:v>
                </c:pt>
                <c:pt idx="8">
                  <c:v>1186418.4888888891</c:v>
                </c:pt>
                <c:pt idx="9">
                  <c:v>1172859.3599999999</c:v>
                </c:pt>
                <c:pt idx="10">
                  <c:v>1113800.509090909</c:v>
                </c:pt>
                <c:pt idx="11">
                  <c:v>1141440.1666666665</c:v>
                </c:pt>
                <c:pt idx="12">
                  <c:v>1155811.3538461537</c:v>
                </c:pt>
                <c:pt idx="13">
                  <c:v>1137808.057142857</c:v>
                </c:pt>
                <c:pt idx="14">
                  <c:v>1143218.4533333334</c:v>
                </c:pt>
                <c:pt idx="15">
                  <c:v>1126527.875</c:v>
                </c:pt>
                <c:pt idx="16">
                  <c:v>1136441.6235294119</c:v>
                </c:pt>
                <c:pt idx="17">
                  <c:v>1133240.4222222222</c:v>
                </c:pt>
                <c:pt idx="18">
                  <c:v>1139265.7473684209</c:v>
                </c:pt>
                <c:pt idx="19">
                  <c:v>1130945.56</c:v>
                </c:pt>
              </c:numCache>
            </c:numRef>
          </c:val>
        </c:ser>
        <c:marker val="1"/>
        <c:axId val="121387264"/>
        <c:axId val="121397248"/>
      </c:lineChart>
      <c:catAx>
        <c:axId val="1213872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397248"/>
        <c:crosses val="autoZero"/>
        <c:auto val="1"/>
        <c:lblAlgn val="ctr"/>
        <c:lblOffset val="100"/>
      </c:catAx>
      <c:valAx>
        <c:axId val="121397248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38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991251093613978"/>
          <c:y val="0.92826178249459435"/>
          <c:w val="0.31213473315835538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August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'Sep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10'!$F$15:$Y$15</c:f>
              <c:numCache>
                <c:formatCode>0.0%</c:formatCode>
                <c:ptCount val="20"/>
                <c:pt idx="0">
                  <c:v>1.1016533333333334</c:v>
                </c:pt>
                <c:pt idx="1">
                  <c:v>0.5328533333333334</c:v>
                </c:pt>
                <c:pt idx="2">
                  <c:v>1.3926933333333333</c:v>
                </c:pt>
                <c:pt idx="3">
                  <c:v>0.83621333333333336</c:v>
                </c:pt>
                <c:pt idx="4">
                  <c:v>0.97781333333333331</c:v>
                </c:pt>
                <c:pt idx="5">
                  <c:v>0.86661333333333335</c:v>
                </c:pt>
                <c:pt idx="6">
                  <c:v>0.91776000000000002</c:v>
                </c:pt>
                <c:pt idx="7">
                  <c:v>0.5941333333333334</c:v>
                </c:pt>
                <c:pt idx="8">
                  <c:v>1.6112533333333334</c:v>
                </c:pt>
                <c:pt idx="9">
                  <c:v>0.87744</c:v>
                </c:pt>
                <c:pt idx="10">
                  <c:v>0.48426666666666662</c:v>
                </c:pt>
                <c:pt idx="11">
                  <c:v>1.65408</c:v>
                </c:pt>
                <c:pt idx="12">
                  <c:v>1.3519466666666666</c:v>
                </c:pt>
                <c:pt idx="13">
                  <c:v>0.77498666666666671</c:v>
                </c:pt>
                <c:pt idx="14">
                  <c:v>1.6592</c:v>
                </c:pt>
                <c:pt idx="15">
                  <c:v>1.1557333333333333</c:v>
                </c:pt>
                <c:pt idx="16">
                  <c:v>1.79104</c:v>
                </c:pt>
                <c:pt idx="17">
                  <c:v>1.7165333333333335</c:v>
                </c:pt>
                <c:pt idx="18">
                  <c:v>1.5307733333333333</c:v>
                </c:pt>
                <c:pt idx="19">
                  <c:v>1.2671466666666666</c:v>
                </c:pt>
              </c:numCache>
            </c:numRef>
          </c:val>
        </c:ser>
        <c:ser>
          <c:idx val="1"/>
          <c:order val="1"/>
          <c:tx>
            <c:strRef>
              <c:f>'Sep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10'!$F$16:$Y$16</c:f>
              <c:numCache>
                <c:formatCode>0.0%</c:formatCode>
                <c:ptCount val="20"/>
                <c:pt idx="0">
                  <c:v>0.33169230769230773</c:v>
                </c:pt>
                <c:pt idx="1">
                  <c:v>0.25815384615384618</c:v>
                </c:pt>
                <c:pt idx="2">
                  <c:v>0</c:v>
                </c:pt>
                <c:pt idx="3">
                  <c:v>0.93292307692307697</c:v>
                </c:pt>
                <c:pt idx="4">
                  <c:v>0.68523076923076931</c:v>
                </c:pt>
                <c:pt idx="5">
                  <c:v>0.93353846153846154</c:v>
                </c:pt>
                <c:pt idx="6">
                  <c:v>0.86106461538461543</c:v>
                </c:pt>
                <c:pt idx="7">
                  <c:v>0.16584615384615387</c:v>
                </c:pt>
                <c:pt idx="8">
                  <c:v>0.29507692307692313</c:v>
                </c:pt>
                <c:pt idx="9">
                  <c:v>0.29507692307692313</c:v>
                </c:pt>
                <c:pt idx="10">
                  <c:v>0</c:v>
                </c:pt>
                <c:pt idx="11">
                  <c:v>0.36923076923076925</c:v>
                </c:pt>
                <c:pt idx="12">
                  <c:v>0.2153846153846154</c:v>
                </c:pt>
                <c:pt idx="13">
                  <c:v>0.24892307692307691</c:v>
                </c:pt>
                <c:pt idx="14">
                  <c:v>0.58123076923076922</c:v>
                </c:pt>
                <c:pt idx="15">
                  <c:v>0.18461538461538463</c:v>
                </c:pt>
                <c:pt idx="16">
                  <c:v>0.41200000000000003</c:v>
                </c:pt>
                <c:pt idx="17">
                  <c:v>0.42400000000000004</c:v>
                </c:pt>
                <c:pt idx="18">
                  <c:v>1.0356923076923077</c:v>
                </c:pt>
                <c:pt idx="19">
                  <c:v>1.0818461538461539</c:v>
                </c:pt>
              </c:numCache>
            </c:numRef>
          </c:val>
        </c:ser>
        <c:ser>
          <c:idx val="2"/>
          <c:order val="2"/>
          <c:tx>
            <c:strRef>
              <c:f>'Sep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10'!$F$17:$Y$17</c:f>
              <c:numCache>
                <c:formatCode>0.0%</c:formatCode>
                <c:ptCount val="20"/>
                <c:pt idx="0">
                  <c:v>0.21137254901960789</c:v>
                </c:pt>
                <c:pt idx="1">
                  <c:v>0.71788235294117653</c:v>
                </c:pt>
                <c:pt idx="2">
                  <c:v>1.9369411764705884</c:v>
                </c:pt>
                <c:pt idx="3">
                  <c:v>1.5810980392156866</c:v>
                </c:pt>
                <c:pt idx="4">
                  <c:v>0.25045751633986924</c:v>
                </c:pt>
                <c:pt idx="5">
                  <c:v>1.0345098039215685</c:v>
                </c:pt>
                <c:pt idx="6">
                  <c:v>1.0906318082788671</c:v>
                </c:pt>
                <c:pt idx="7">
                  <c:v>0.60352941176470587</c:v>
                </c:pt>
                <c:pt idx="8">
                  <c:v>1.1937254901960785</c:v>
                </c:pt>
                <c:pt idx="9">
                  <c:v>0.77568627450980387</c:v>
                </c:pt>
                <c:pt idx="10">
                  <c:v>0</c:v>
                </c:pt>
                <c:pt idx="11">
                  <c:v>2.2643137254901964</c:v>
                </c:pt>
                <c:pt idx="12">
                  <c:v>2.4974901960784317</c:v>
                </c:pt>
                <c:pt idx="13">
                  <c:v>1.2066666666666666</c:v>
                </c:pt>
                <c:pt idx="14">
                  <c:v>0.3411764705882353</c:v>
                </c:pt>
                <c:pt idx="15">
                  <c:v>0.48901960784313725</c:v>
                </c:pt>
                <c:pt idx="16">
                  <c:v>0.95215686274509803</c:v>
                </c:pt>
                <c:pt idx="17">
                  <c:v>0.3294117647058824</c:v>
                </c:pt>
                <c:pt idx="18">
                  <c:v>0.64627450980392154</c:v>
                </c:pt>
                <c:pt idx="19">
                  <c:v>1.0050980392156863</c:v>
                </c:pt>
              </c:numCache>
            </c:numRef>
          </c:val>
        </c:ser>
        <c:ser>
          <c:idx val="3"/>
          <c:order val="3"/>
          <c:tx>
            <c:strRef>
              <c:f>'Sep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10'!$F$18:$Y$18</c:f>
              <c:numCache>
                <c:formatCode>0.0%</c:formatCode>
                <c:ptCount val="20"/>
                <c:pt idx="0">
                  <c:v>0.79387234042553179</c:v>
                </c:pt>
                <c:pt idx="1">
                  <c:v>0.94425531914893612</c:v>
                </c:pt>
                <c:pt idx="2">
                  <c:v>0.28314893617021275</c:v>
                </c:pt>
                <c:pt idx="3">
                  <c:v>1.2221276595744679</c:v>
                </c:pt>
                <c:pt idx="4">
                  <c:v>1.2188936170212765</c:v>
                </c:pt>
                <c:pt idx="5">
                  <c:v>0.58374468085106379</c:v>
                </c:pt>
                <c:pt idx="6">
                  <c:v>0.85753191489361702</c:v>
                </c:pt>
                <c:pt idx="7">
                  <c:v>0.96136170212765948</c:v>
                </c:pt>
                <c:pt idx="8">
                  <c:v>1.6744680851063829</c:v>
                </c:pt>
                <c:pt idx="9">
                  <c:v>1.2674893617021274</c:v>
                </c:pt>
                <c:pt idx="10">
                  <c:v>0.88638297872340421</c:v>
                </c:pt>
                <c:pt idx="11">
                  <c:v>0.60961702127659567</c:v>
                </c:pt>
                <c:pt idx="12">
                  <c:v>1.0871489361702127</c:v>
                </c:pt>
                <c:pt idx="13">
                  <c:v>0.66544680851063831</c:v>
                </c:pt>
                <c:pt idx="14">
                  <c:v>1.1345531914893616</c:v>
                </c:pt>
                <c:pt idx="15">
                  <c:v>0.63378723404255322</c:v>
                </c:pt>
                <c:pt idx="16">
                  <c:v>0.96944680851063825</c:v>
                </c:pt>
                <c:pt idx="17">
                  <c:v>0.65778723404255324</c:v>
                </c:pt>
                <c:pt idx="18">
                  <c:v>1.2560851063829785</c:v>
                </c:pt>
                <c:pt idx="19">
                  <c:v>1.3840851063829787</c:v>
                </c:pt>
              </c:numCache>
            </c:numRef>
          </c:val>
        </c:ser>
        <c:ser>
          <c:idx val="4"/>
          <c:order val="4"/>
          <c:tx>
            <c:strRef>
              <c:f>'Sep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10'!$F$19:$Y$19</c:f>
              <c:numCache>
                <c:formatCode>0.0%</c:formatCode>
                <c:ptCount val="20"/>
                <c:pt idx="0">
                  <c:v>0.66574522777397516</c:v>
                </c:pt>
                <c:pt idx="1">
                  <c:v>0.61783405582173545</c:v>
                </c:pt>
                <c:pt idx="2">
                  <c:v>0.8182474712905925</c:v>
                </c:pt>
                <c:pt idx="3">
                  <c:v>1.1032397900981064</c:v>
                </c:pt>
                <c:pt idx="4">
                  <c:v>0.84920647958019624</c:v>
                </c:pt>
                <c:pt idx="5">
                  <c:v>0.82954992775115977</c:v>
                </c:pt>
                <c:pt idx="6">
                  <c:v>0.91626648414328093</c:v>
                </c:pt>
                <c:pt idx="7">
                  <c:v>0.5975502319568029</c:v>
                </c:pt>
                <c:pt idx="8">
                  <c:v>1.2315917560270744</c:v>
                </c:pt>
                <c:pt idx="9">
                  <c:v>0.83006342687656853</c:v>
                </c:pt>
                <c:pt idx="10">
                  <c:v>0.3979101072324891</c:v>
                </c:pt>
                <c:pt idx="11">
                  <c:v>1.1368821963647426</c:v>
                </c:pt>
                <c:pt idx="12">
                  <c:v>1.1933540193170582</c:v>
                </c:pt>
                <c:pt idx="13">
                  <c:v>0.6881992546961746</c:v>
                </c:pt>
                <c:pt idx="14">
                  <c:v>1.0089412122594874</c:v>
                </c:pt>
                <c:pt idx="15">
                  <c:v>0.64635455167693356</c:v>
                </c:pt>
                <c:pt idx="16">
                  <c:v>1.0629590082896037</c:v>
                </c:pt>
                <c:pt idx="17">
                  <c:v>0.84463548558825763</c:v>
                </c:pt>
                <c:pt idx="18">
                  <c:v>1.1735152483078561</c:v>
                </c:pt>
                <c:pt idx="19">
                  <c:v>1.2098839455471899</c:v>
                </c:pt>
              </c:numCache>
            </c:numRef>
          </c:val>
        </c:ser>
        <c:gapWidth val="75"/>
        <c:axId val="121606912"/>
        <c:axId val="121608448"/>
      </c:barChart>
      <c:catAx>
        <c:axId val="121606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1608448"/>
        <c:crosses val="autoZero"/>
        <c:auto val="1"/>
        <c:lblAlgn val="ctr"/>
        <c:lblOffset val="100"/>
      </c:catAx>
      <c:valAx>
        <c:axId val="1216084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1606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August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6.6666806675921314E-2"/>
          <c:w val="0.93299344501092496"/>
          <c:h val="0.73763595773682133"/>
        </c:manualLayout>
      </c:layout>
      <c:lineChart>
        <c:grouping val="standard"/>
        <c:ser>
          <c:idx val="0"/>
          <c:order val="0"/>
          <c:tx>
            <c:strRef>
              <c:f>'Sep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10'!$F$32:$Y$32</c:f>
              <c:numCache>
                <c:formatCode>0.0%</c:formatCode>
                <c:ptCount val="20"/>
                <c:pt idx="0">
                  <c:v>8.6400000000000001E-3</c:v>
                </c:pt>
                <c:pt idx="1">
                  <c:v>0.27074666666666669</c:v>
                </c:pt>
                <c:pt idx="2">
                  <c:v>0.6447288888888888</c:v>
                </c:pt>
                <c:pt idx="3">
                  <c:v>0.69259999999999999</c:v>
                </c:pt>
                <c:pt idx="4">
                  <c:v>0.74964266666666668</c:v>
                </c:pt>
                <c:pt idx="5">
                  <c:v>0.74027555555555546</c:v>
                </c:pt>
                <c:pt idx="6">
                  <c:v>0.74441142857142861</c:v>
                </c:pt>
                <c:pt idx="7">
                  <c:v>0.72562666666666664</c:v>
                </c:pt>
                <c:pt idx="8">
                  <c:v>0.84832592592592604</c:v>
                </c:pt>
                <c:pt idx="9">
                  <c:v>0.85171733333333333</c:v>
                </c:pt>
                <c:pt idx="10">
                  <c:v>0.81831272727272719</c:v>
                </c:pt>
                <c:pt idx="11">
                  <c:v>0.88795999999999997</c:v>
                </c:pt>
                <c:pt idx="12">
                  <c:v>0.923651282051282</c:v>
                </c:pt>
                <c:pt idx="13">
                  <c:v>0.91303238095238093</c:v>
                </c:pt>
                <c:pt idx="14">
                  <c:v>0.96277688888888879</c:v>
                </c:pt>
                <c:pt idx="15">
                  <c:v>0.96555333333333337</c:v>
                </c:pt>
                <c:pt idx="16">
                  <c:v>1.0141113725490198</c:v>
                </c:pt>
                <c:pt idx="17">
                  <c:v>1.0531348148148147</c:v>
                </c:pt>
                <c:pt idx="18">
                  <c:v>1.0628884210526317</c:v>
                </c:pt>
                <c:pt idx="19">
                  <c:v>1.0496853333333334</c:v>
                </c:pt>
              </c:numCache>
            </c:numRef>
          </c:val>
        </c:ser>
        <c:ser>
          <c:idx val="1"/>
          <c:order val="1"/>
          <c:tx>
            <c:strRef>
              <c:f>'Sep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10'!$F$33:$Y$33</c:f>
              <c:numCache>
                <c:formatCode>0.0%</c:formatCode>
                <c:ptCount val="20"/>
                <c:pt idx="0">
                  <c:v>0.76215384615384618</c:v>
                </c:pt>
                <c:pt idx="1">
                  <c:v>0.51015384615384618</c:v>
                </c:pt>
                <c:pt idx="2">
                  <c:v>0.34010256410256412</c:v>
                </c:pt>
                <c:pt idx="3">
                  <c:v>0.48830769230769233</c:v>
                </c:pt>
                <c:pt idx="4">
                  <c:v>0.52769230769230768</c:v>
                </c:pt>
                <c:pt idx="5">
                  <c:v>0.59533333333333327</c:v>
                </c:pt>
                <c:pt idx="6">
                  <c:v>0.62030769230769234</c:v>
                </c:pt>
                <c:pt idx="7">
                  <c:v>0.5635</c:v>
                </c:pt>
                <c:pt idx="8">
                  <c:v>0.53367521367521364</c:v>
                </c:pt>
                <c:pt idx="9">
                  <c:v>0.50981538461538467</c:v>
                </c:pt>
                <c:pt idx="10">
                  <c:v>0.4634685314685314</c:v>
                </c:pt>
                <c:pt idx="11">
                  <c:v>0.45561538461538459</c:v>
                </c:pt>
                <c:pt idx="12">
                  <c:v>0.4099408284023669</c:v>
                </c:pt>
                <c:pt idx="13">
                  <c:v>0.39843956043956041</c:v>
                </c:pt>
                <c:pt idx="14">
                  <c:v>0.39318974358974357</c:v>
                </c:pt>
                <c:pt idx="15">
                  <c:v>0.39650000000000002</c:v>
                </c:pt>
                <c:pt idx="16">
                  <c:v>0.39379185520361992</c:v>
                </c:pt>
                <c:pt idx="17">
                  <c:v>0.3988888888888889</c:v>
                </c:pt>
                <c:pt idx="18">
                  <c:v>0.43240485829959519</c:v>
                </c:pt>
                <c:pt idx="19">
                  <c:v>0.43261538461538462</c:v>
                </c:pt>
              </c:numCache>
            </c:numRef>
          </c:val>
        </c:ser>
        <c:ser>
          <c:idx val="2"/>
          <c:order val="2"/>
          <c:tx>
            <c:strRef>
              <c:f>'Sep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10'!$F$34:$Y$34</c:f>
              <c:numCache>
                <c:formatCode>0.0%</c:formatCode>
                <c:ptCount val="20"/>
                <c:pt idx="0">
                  <c:v>3.5014901960784313</c:v>
                </c:pt>
                <c:pt idx="1">
                  <c:v>2.1096862745098037</c:v>
                </c:pt>
                <c:pt idx="2">
                  <c:v>2.0521045751633986</c:v>
                </c:pt>
                <c:pt idx="3">
                  <c:v>1.9343529411764706</c:v>
                </c:pt>
                <c:pt idx="4">
                  <c:v>1.6554823529411766</c:v>
                </c:pt>
                <c:pt idx="5">
                  <c:v>1.5246013071895426</c:v>
                </c:pt>
                <c:pt idx="6">
                  <c:v>1.4809971988795518</c:v>
                </c:pt>
                <c:pt idx="7">
                  <c:v>1.3713137254901961</c:v>
                </c:pt>
                <c:pt idx="8">
                  <c:v>1.3515816993464052</c:v>
                </c:pt>
                <c:pt idx="9">
                  <c:v>1.2932862745098039</c:v>
                </c:pt>
                <c:pt idx="10">
                  <c:v>1.1757147950089126</c:v>
                </c:pt>
                <c:pt idx="11">
                  <c:v>1.2484901960784314</c:v>
                </c:pt>
                <c:pt idx="12">
                  <c:v>1.3023650075414781</c:v>
                </c:pt>
                <c:pt idx="13">
                  <c:v>1.2955294117647058</c:v>
                </c:pt>
                <c:pt idx="14">
                  <c:v>1.2248470588235296</c:v>
                </c:pt>
                <c:pt idx="15">
                  <c:v>1.1854754901960785</c:v>
                </c:pt>
                <c:pt idx="16">
                  <c:v>1.1717508650519033</c:v>
                </c:pt>
                <c:pt idx="17">
                  <c:v>1.1249542483660131</c:v>
                </c:pt>
                <c:pt idx="18">
                  <c:v>1.099760577915377</c:v>
                </c:pt>
                <c:pt idx="19">
                  <c:v>1.1138117647058825</c:v>
                </c:pt>
              </c:numCache>
            </c:numRef>
          </c:val>
        </c:ser>
        <c:ser>
          <c:idx val="3"/>
          <c:order val="3"/>
          <c:tx>
            <c:strRef>
              <c:f>'Sep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10'!$F$35:$Y$35</c:f>
              <c:numCache>
                <c:formatCode>0.0%</c:formatCode>
                <c:ptCount val="20"/>
                <c:pt idx="0">
                  <c:v>1.2458723404255319</c:v>
                </c:pt>
                <c:pt idx="1">
                  <c:v>1.0950638297872339</c:v>
                </c:pt>
                <c:pt idx="2">
                  <c:v>0.89429787234042546</c:v>
                </c:pt>
                <c:pt idx="3">
                  <c:v>0.97627659574468084</c:v>
                </c:pt>
                <c:pt idx="4">
                  <c:v>1.0248000000000002</c:v>
                </c:pt>
                <c:pt idx="5">
                  <c:v>0.95129078014184398</c:v>
                </c:pt>
                <c:pt idx="6">
                  <c:v>0.88096048632218837</c:v>
                </c:pt>
                <c:pt idx="7">
                  <c:v>0.90030851063829798</c:v>
                </c:pt>
                <c:pt idx="8">
                  <c:v>0.99808983451536648</c:v>
                </c:pt>
                <c:pt idx="9">
                  <c:v>1.0144425531914891</c:v>
                </c:pt>
                <c:pt idx="10">
                  <c:v>1.0028007736943907</c:v>
                </c:pt>
                <c:pt idx="11">
                  <c:v>0.97003546099290772</c:v>
                </c:pt>
                <c:pt idx="12">
                  <c:v>0.97903109656301135</c:v>
                </c:pt>
                <c:pt idx="13">
                  <c:v>0.95641945288753794</c:v>
                </c:pt>
                <c:pt idx="14">
                  <c:v>0.96857304964538993</c:v>
                </c:pt>
                <c:pt idx="15">
                  <c:v>0.94321808510638294</c:v>
                </c:pt>
                <c:pt idx="16">
                  <c:v>0.93215018773466818</c:v>
                </c:pt>
                <c:pt idx="17">
                  <c:v>0.90944208037825058</c:v>
                </c:pt>
                <c:pt idx="18">
                  <c:v>0.90232474804031337</c:v>
                </c:pt>
                <c:pt idx="19">
                  <c:v>0.88503829787234034</c:v>
                </c:pt>
              </c:numCache>
            </c:numRef>
          </c:val>
        </c:ser>
        <c:ser>
          <c:idx val="4"/>
          <c:order val="4"/>
          <c:tx>
            <c:strRef>
              <c:f>'Sep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'Sep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'Sep 10'!$F$36:$Y$36</c:f>
              <c:numCache>
                <c:formatCode>0.0%</c:formatCode>
                <c:ptCount val="20"/>
                <c:pt idx="0">
                  <c:v>1.1671543083124192</c:v>
                </c:pt>
                <c:pt idx="1">
                  <c:v>0.89249418206707742</c:v>
                </c:pt>
                <c:pt idx="2">
                  <c:v>0.88822501077394966</c:v>
                </c:pt>
                <c:pt idx="3">
                  <c:v>0.94198494182067072</c:v>
                </c:pt>
                <c:pt idx="4">
                  <c:v>0.93353648186173865</c:v>
                </c:pt>
                <c:pt idx="5">
                  <c:v>0.90319426065353514</c:v>
                </c:pt>
                <c:pt idx="6">
                  <c:v>0.88232208858902916</c:v>
                </c:pt>
                <c:pt idx="7">
                  <c:v>0.84945083276294764</c:v>
                </c:pt>
                <c:pt idx="8">
                  <c:v>0.90228799824236749</c:v>
                </c:pt>
                <c:pt idx="9">
                  <c:v>0.8919760894364589</c:v>
                </c:pt>
                <c:pt idx="10">
                  <c:v>0.84706100014518904</c:v>
                </c:pt>
                <c:pt idx="11">
                  <c:v>0.86808134965903605</c:v>
                </c:pt>
                <c:pt idx="12">
                  <c:v>0.87901084025108656</c:v>
                </c:pt>
                <c:pt idx="13">
                  <c:v>0.86531907912606054</c:v>
                </c:pt>
                <c:pt idx="14">
                  <c:v>0.86943376175628062</c:v>
                </c:pt>
                <c:pt idx="15">
                  <c:v>0.85674034147083433</c:v>
                </c:pt>
                <c:pt idx="16">
                  <c:v>0.86427988708602321</c:v>
                </c:pt>
                <c:pt idx="17">
                  <c:v>0.86184532833084049</c:v>
                </c:pt>
                <c:pt idx="18">
                  <c:v>0.86642767310702029</c:v>
                </c:pt>
                <c:pt idx="19">
                  <c:v>0.86010005323598759</c:v>
                </c:pt>
              </c:numCache>
            </c:numRef>
          </c:val>
        </c:ser>
        <c:marker val="1"/>
        <c:axId val="121250560"/>
        <c:axId val="121252096"/>
      </c:lineChart>
      <c:catAx>
        <c:axId val="1212505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252096"/>
        <c:crosses val="autoZero"/>
        <c:auto val="1"/>
        <c:lblAlgn val="ctr"/>
        <c:lblOffset val="100"/>
      </c:catAx>
      <c:valAx>
        <c:axId val="12125209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250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11944646758901"/>
          <c:y val="0.9161310642621289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October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'Oct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10'!$F$40:$Y$40</c:f>
              <c:numCache>
                <c:formatCode>0</c:formatCode>
                <c:ptCount val="20"/>
                <c:pt idx="0">
                  <c:v>606460</c:v>
                </c:pt>
                <c:pt idx="1">
                  <c:v>447150</c:v>
                </c:pt>
                <c:pt idx="2">
                  <c:v>502040</c:v>
                </c:pt>
                <c:pt idx="3">
                  <c:v>433855</c:v>
                </c:pt>
                <c:pt idx="4">
                  <c:v>451008</c:v>
                </c:pt>
                <c:pt idx="5">
                  <c:v>401360</c:v>
                </c:pt>
                <c:pt idx="6">
                  <c:v>410260</c:v>
                </c:pt>
                <c:pt idx="7">
                  <c:v>434637.5</c:v>
                </c:pt>
                <c:pt idx="8">
                  <c:v>449280</c:v>
                </c:pt>
                <c:pt idx="9">
                  <c:v>452878</c:v>
                </c:pt>
                <c:pt idx="10">
                  <c:v>430960</c:v>
                </c:pt>
                <c:pt idx="11">
                  <c:v>419108.33333333337</c:v>
                </c:pt>
                <c:pt idx="12">
                  <c:v>412627.69230769237</c:v>
                </c:pt>
                <c:pt idx="13">
                  <c:v>401961.42857142852</c:v>
                </c:pt>
                <c:pt idx="14">
                  <c:v>406734.66666666669</c:v>
                </c:pt>
                <c:pt idx="15">
                  <c:v>397566.25</c:v>
                </c:pt>
                <c:pt idx="16">
                  <c:v>392205.8823529412</c:v>
                </c:pt>
                <c:pt idx="17">
                  <c:v>392602.22222222219</c:v>
                </c:pt>
                <c:pt idx="18">
                  <c:v>401034.73684210528</c:v>
                </c:pt>
                <c:pt idx="19">
                  <c:v>376518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'Oct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10'!$F$41:$Y$41</c:f>
              <c:numCache>
                <c:formatCode>0</c:formatCode>
                <c:ptCount val="20"/>
                <c:pt idx="0">
                  <c:v>129700</c:v>
                </c:pt>
                <c:pt idx="1">
                  <c:v>133750</c:v>
                </c:pt>
                <c:pt idx="2">
                  <c:v>172513.33333333331</c:v>
                </c:pt>
                <c:pt idx="3">
                  <c:v>160860</c:v>
                </c:pt>
                <c:pt idx="4">
                  <c:v>201028</c:v>
                </c:pt>
                <c:pt idx="5">
                  <c:v>224473.33333333331</c:v>
                </c:pt>
                <c:pt idx="6">
                  <c:v>237220</c:v>
                </c:pt>
                <c:pt idx="7">
                  <c:v>221505</c:v>
                </c:pt>
                <c:pt idx="8">
                  <c:v>232293.33333333331</c:v>
                </c:pt>
                <c:pt idx="9">
                  <c:v>225714</c:v>
                </c:pt>
                <c:pt idx="10">
                  <c:v>214932.72727272729</c:v>
                </c:pt>
                <c:pt idx="11">
                  <c:v>216296.66666666669</c:v>
                </c:pt>
                <c:pt idx="12">
                  <c:v>208420</c:v>
                </c:pt>
                <c:pt idx="13">
                  <c:v>208741.42857142858</c:v>
                </c:pt>
                <c:pt idx="14">
                  <c:v>198958.66666666666</c:v>
                </c:pt>
                <c:pt idx="15">
                  <c:v>192392.5</c:v>
                </c:pt>
                <c:pt idx="16">
                  <c:v>184245.8823529412</c:v>
                </c:pt>
                <c:pt idx="17">
                  <c:v>177004.44444444444</c:v>
                </c:pt>
                <c:pt idx="18">
                  <c:v>175001.05263157893</c:v>
                </c:pt>
                <c:pt idx="19">
                  <c:v>180699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'Oct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10'!$F$42:$Y$42</c:f>
              <c:numCache>
                <c:formatCode>0</c:formatCode>
                <c:ptCount val="20"/>
                <c:pt idx="0">
                  <c:v>113310</c:v>
                </c:pt>
                <c:pt idx="1">
                  <c:v>93330</c:v>
                </c:pt>
                <c:pt idx="2">
                  <c:v>71220</c:v>
                </c:pt>
                <c:pt idx="3">
                  <c:v>125590.50000000001</c:v>
                </c:pt>
                <c:pt idx="4">
                  <c:v>100472.40000000002</c:v>
                </c:pt>
                <c:pt idx="5">
                  <c:v>119696.99999999999</c:v>
                </c:pt>
                <c:pt idx="6">
                  <c:v>105168.85714285714</c:v>
                </c:pt>
                <c:pt idx="7">
                  <c:v>131870.25</c:v>
                </c:pt>
                <c:pt idx="8">
                  <c:v>138174</c:v>
                </c:pt>
                <c:pt idx="9">
                  <c:v>132177.60000000001</c:v>
                </c:pt>
                <c:pt idx="10">
                  <c:v>124571.45454545454</c:v>
                </c:pt>
                <c:pt idx="11">
                  <c:v>123930</c:v>
                </c:pt>
                <c:pt idx="12">
                  <c:v>126567.69230769231</c:v>
                </c:pt>
                <c:pt idx="13">
                  <c:v>117527.14285714287</c:v>
                </c:pt>
                <c:pt idx="14">
                  <c:v>117073.20000000001</c:v>
                </c:pt>
                <c:pt idx="15">
                  <c:v>109756.25</c:v>
                </c:pt>
                <c:pt idx="16">
                  <c:v>112002.35294117648</c:v>
                </c:pt>
                <c:pt idx="17">
                  <c:v>111575</c:v>
                </c:pt>
                <c:pt idx="18">
                  <c:v>113963.68421052632</c:v>
                </c:pt>
                <c:pt idx="19">
                  <c:v>122292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'Oct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10'!$F$43:$Y$43</c:f>
              <c:numCache>
                <c:formatCode>0</c:formatCode>
                <c:ptCount val="20"/>
                <c:pt idx="0">
                  <c:v>967712.00000000012</c:v>
                </c:pt>
                <c:pt idx="1">
                  <c:v>624832</c:v>
                </c:pt>
                <c:pt idx="2">
                  <c:v>511498.66666666669</c:v>
                </c:pt>
                <c:pt idx="3">
                  <c:v>494664</c:v>
                </c:pt>
                <c:pt idx="4">
                  <c:v>483609.60000000009</c:v>
                </c:pt>
                <c:pt idx="5">
                  <c:v>451909.33333333343</c:v>
                </c:pt>
                <c:pt idx="6">
                  <c:v>458400</c:v>
                </c:pt>
                <c:pt idx="7">
                  <c:v>419136.00000000006</c:v>
                </c:pt>
                <c:pt idx="8">
                  <c:v>431313.77777777781</c:v>
                </c:pt>
                <c:pt idx="9">
                  <c:v>432352</c:v>
                </c:pt>
                <c:pt idx="10">
                  <c:v>400561.45454545453</c:v>
                </c:pt>
                <c:pt idx="11">
                  <c:v>392330.66666666674</c:v>
                </c:pt>
                <c:pt idx="12">
                  <c:v>419185.23076923087</c:v>
                </c:pt>
                <c:pt idx="13">
                  <c:v>422242.28571428574</c:v>
                </c:pt>
                <c:pt idx="14">
                  <c:v>416268.80000000005</c:v>
                </c:pt>
                <c:pt idx="15">
                  <c:v>428652.5</c:v>
                </c:pt>
                <c:pt idx="16">
                  <c:v>431203.5294117647</c:v>
                </c:pt>
                <c:pt idx="17">
                  <c:v>404657.77777777781</c:v>
                </c:pt>
                <c:pt idx="18">
                  <c:v>388783.15789473685</c:v>
                </c:pt>
                <c:pt idx="19">
                  <c:v>406272.27999999997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'Oct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10'!$F$44:$Y$44</c:f>
              <c:numCache>
                <c:formatCode>0</c:formatCode>
                <c:ptCount val="20"/>
                <c:pt idx="0">
                  <c:v>1817182</c:v>
                </c:pt>
                <c:pt idx="1">
                  <c:v>1299062</c:v>
                </c:pt>
                <c:pt idx="2">
                  <c:v>1257272</c:v>
                </c:pt>
                <c:pt idx="3">
                  <c:v>1214969.5</c:v>
                </c:pt>
                <c:pt idx="4">
                  <c:v>1236118</c:v>
                </c:pt>
                <c:pt idx="5">
                  <c:v>1197439.6666666667</c:v>
                </c:pt>
                <c:pt idx="6">
                  <c:v>1211048.8571428573</c:v>
                </c:pt>
                <c:pt idx="7">
                  <c:v>1207148.75</c:v>
                </c:pt>
                <c:pt idx="8">
                  <c:v>1251061.111111111</c:v>
                </c:pt>
                <c:pt idx="9">
                  <c:v>1243121.6000000001</c:v>
                </c:pt>
                <c:pt idx="10">
                  <c:v>1171025.6363636365</c:v>
                </c:pt>
                <c:pt idx="11">
                  <c:v>1151665.6666666667</c:v>
                </c:pt>
                <c:pt idx="12">
                  <c:v>1166800.6153846155</c:v>
                </c:pt>
                <c:pt idx="13">
                  <c:v>1150472.2857142857</c:v>
                </c:pt>
                <c:pt idx="14">
                  <c:v>1139035.3333333335</c:v>
                </c:pt>
                <c:pt idx="15">
                  <c:v>1128367.5</c:v>
                </c:pt>
                <c:pt idx="16">
                  <c:v>1119657.6470588236</c:v>
                </c:pt>
                <c:pt idx="17">
                  <c:v>1085839.4444444445</c:v>
                </c:pt>
                <c:pt idx="18">
                  <c:v>1078782.6315789474</c:v>
                </c:pt>
                <c:pt idx="19">
                  <c:v>1085781.28</c:v>
                </c:pt>
              </c:numCache>
            </c:numRef>
          </c:val>
        </c:ser>
        <c:marker val="1"/>
        <c:axId val="121742848"/>
        <c:axId val="121744384"/>
      </c:lineChart>
      <c:catAx>
        <c:axId val="1217428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744384"/>
        <c:crosses val="autoZero"/>
        <c:auto val="1"/>
        <c:lblAlgn val="ctr"/>
        <c:lblOffset val="100"/>
      </c:catAx>
      <c:valAx>
        <c:axId val="121744384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174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991251093613978"/>
          <c:y val="0.92826178249459435"/>
          <c:w val="0.31213473315835538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October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'Oct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10'!$F$15:$Y$15</c:f>
              <c:numCache>
                <c:formatCode>0.0%</c:formatCode>
                <c:ptCount val="20"/>
                <c:pt idx="0">
                  <c:v>0.86143999999999998</c:v>
                </c:pt>
                <c:pt idx="1">
                  <c:v>0.76757333333333333</c:v>
                </c:pt>
                <c:pt idx="2">
                  <c:v>1.6315200000000001</c:v>
                </c:pt>
                <c:pt idx="3">
                  <c:v>0.6114666666666666</c:v>
                </c:pt>
                <c:pt idx="4">
                  <c:v>1.3856533333333334</c:v>
                </c:pt>
                <c:pt idx="5">
                  <c:v>0.40832000000000002</c:v>
                </c:pt>
                <c:pt idx="6">
                  <c:v>1.2364266666666666</c:v>
                </c:pt>
                <c:pt idx="7">
                  <c:v>1.61408</c:v>
                </c:pt>
                <c:pt idx="8">
                  <c:v>1.5104533333333334</c:v>
                </c:pt>
                <c:pt idx="9">
                  <c:v>1.2940266666666667</c:v>
                </c:pt>
                <c:pt idx="10">
                  <c:v>0.56474666666666673</c:v>
                </c:pt>
                <c:pt idx="11">
                  <c:v>0.7699733333333334</c:v>
                </c:pt>
                <c:pt idx="12">
                  <c:v>1.0150933333333334</c:v>
                </c:pt>
                <c:pt idx="13">
                  <c:v>0.70213333333333328</c:v>
                </c:pt>
                <c:pt idx="14">
                  <c:v>1.2628266666666668</c:v>
                </c:pt>
                <c:pt idx="15">
                  <c:v>0.86661333333333335</c:v>
                </c:pt>
                <c:pt idx="16">
                  <c:v>0.81717333333333331</c:v>
                </c:pt>
                <c:pt idx="17">
                  <c:v>1.0649066666666667</c:v>
                </c:pt>
                <c:pt idx="18">
                  <c:v>1.8952</c:v>
                </c:pt>
                <c:pt idx="19">
                  <c:v>0.45711999999999997</c:v>
                </c:pt>
              </c:numCache>
            </c:numRef>
          </c:val>
        </c:ser>
        <c:ser>
          <c:idx val="1"/>
          <c:order val="1"/>
          <c:tx>
            <c:strRef>
              <c:f>'Oct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10'!$F$16:$Y$16</c:f>
              <c:numCache>
                <c:formatCode>0.0%</c:formatCode>
                <c:ptCount val="20"/>
                <c:pt idx="0">
                  <c:v>0.39907692307692311</c:v>
                </c:pt>
                <c:pt idx="1">
                  <c:v>0.42400000000000004</c:v>
                </c:pt>
                <c:pt idx="2">
                  <c:v>0.86166153846153848</c:v>
                </c:pt>
                <c:pt idx="3">
                  <c:v>0.38738461538461544</c:v>
                </c:pt>
                <c:pt idx="4">
                  <c:v>1.1129230769230769</c:v>
                </c:pt>
                <c:pt idx="5">
                  <c:v>1.0513846153846154</c:v>
                </c:pt>
                <c:pt idx="6">
                  <c:v>0.96523076923076923</c:v>
                </c:pt>
                <c:pt idx="7">
                  <c:v>0.34307692307692306</c:v>
                </c:pt>
                <c:pt idx="8">
                  <c:v>0.98030769230769232</c:v>
                </c:pt>
                <c:pt idx="9">
                  <c:v>0.51230769230769235</c:v>
                </c:pt>
                <c:pt idx="10">
                  <c:v>0.3296</c:v>
                </c:pt>
                <c:pt idx="11">
                  <c:v>0.71169230769230762</c:v>
                </c:pt>
                <c:pt idx="12">
                  <c:v>0.64898461538461538</c:v>
                </c:pt>
                <c:pt idx="13">
                  <c:v>0.35661538461538467</c:v>
                </c:pt>
                <c:pt idx="14">
                  <c:v>0.1907692307692308</c:v>
                </c:pt>
                <c:pt idx="15">
                  <c:v>0.28892307692307695</c:v>
                </c:pt>
                <c:pt idx="16">
                  <c:v>0.16584615384615387</c:v>
                </c:pt>
                <c:pt idx="17">
                  <c:v>0.16584615384615387</c:v>
                </c:pt>
                <c:pt idx="18">
                  <c:v>0.42750769230769226</c:v>
                </c:pt>
                <c:pt idx="19">
                  <c:v>0.57200000000000006</c:v>
                </c:pt>
              </c:numCache>
            </c:numRef>
          </c:val>
        </c:ser>
        <c:ser>
          <c:idx val="2"/>
          <c:order val="2"/>
          <c:tx>
            <c:strRef>
              <c:f>'Oct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10'!$F$17:$Y$17</c:f>
              <c:numCache>
                <c:formatCode>0.0%</c:formatCode>
                <c:ptCount val="20"/>
                <c:pt idx="0">
                  <c:v>0.65803921568627444</c:v>
                </c:pt>
                <c:pt idx="1">
                  <c:v>0.53098039215686277</c:v>
                </c:pt>
                <c:pt idx="2">
                  <c:v>0.11764705882352944</c:v>
                </c:pt>
                <c:pt idx="3">
                  <c:v>1.2579607843137255</c:v>
                </c:pt>
                <c:pt idx="4">
                  <c:v>0</c:v>
                </c:pt>
                <c:pt idx="5">
                  <c:v>0.94039215686274513</c:v>
                </c:pt>
                <c:pt idx="6">
                  <c:v>0.48643137254901958</c:v>
                </c:pt>
                <c:pt idx="7">
                  <c:v>0.9986666666666667</c:v>
                </c:pt>
                <c:pt idx="8">
                  <c:v>0.64627450980392154</c:v>
                </c:pt>
                <c:pt idx="9">
                  <c:v>0.34078431372549023</c:v>
                </c:pt>
                <c:pt idx="10">
                  <c:v>0.21137254901960789</c:v>
                </c:pt>
                <c:pt idx="11">
                  <c:v>0.50925490196078438</c:v>
                </c:pt>
                <c:pt idx="12">
                  <c:v>0.68941176470588239</c:v>
                </c:pt>
                <c:pt idx="13">
                  <c:v>0</c:v>
                </c:pt>
                <c:pt idx="14">
                  <c:v>0.64674509803921576</c:v>
                </c:pt>
                <c:pt idx="15">
                  <c:v>0</c:v>
                </c:pt>
                <c:pt idx="16">
                  <c:v>0.64461873638344225</c:v>
                </c:pt>
                <c:pt idx="17">
                  <c:v>0.45450980392156859</c:v>
                </c:pt>
                <c:pt idx="18">
                  <c:v>0.66823529411764704</c:v>
                </c:pt>
                <c:pt idx="19">
                  <c:v>0.97529411764705887</c:v>
                </c:pt>
              </c:numCache>
            </c:numRef>
          </c:val>
        </c:ser>
        <c:ser>
          <c:idx val="3"/>
          <c:order val="3"/>
          <c:tx>
            <c:strRef>
              <c:f>'Oct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10'!$F$18:$Y$18</c:f>
              <c:numCache>
                <c:formatCode>0.0%</c:formatCode>
                <c:ptCount val="20"/>
                <c:pt idx="0">
                  <c:v>1.2188894654903997</c:v>
                </c:pt>
                <c:pt idx="1">
                  <c:v>0.76670472236637266</c:v>
                </c:pt>
                <c:pt idx="2">
                  <c:v>0.76396471198754545</c:v>
                </c:pt>
                <c:pt idx="3">
                  <c:v>1.2472859366891542</c:v>
                </c:pt>
                <c:pt idx="4">
                  <c:v>1.0368033212247016</c:v>
                </c:pt>
                <c:pt idx="5">
                  <c:v>0.76130773222625847</c:v>
                </c:pt>
                <c:pt idx="6">
                  <c:v>1.3720809548521018</c:v>
                </c:pt>
                <c:pt idx="7">
                  <c:v>0.37438505448884285</c:v>
                </c:pt>
                <c:pt idx="8">
                  <c:v>1.8519148936170213</c:v>
                </c:pt>
                <c:pt idx="9">
                  <c:v>1.1460716139076286</c:v>
                </c:pt>
                <c:pt idx="10">
                  <c:v>0.21446808510638293</c:v>
                </c:pt>
                <c:pt idx="11">
                  <c:v>0.88635184224182662</c:v>
                </c:pt>
                <c:pt idx="12">
                  <c:v>1.8412039439543331</c:v>
                </c:pt>
                <c:pt idx="13">
                  <c:v>1.6725687597301506</c:v>
                </c:pt>
                <c:pt idx="14">
                  <c:v>1.1414218993253762</c:v>
                </c:pt>
                <c:pt idx="15">
                  <c:v>1.2231966787752984</c:v>
                </c:pt>
                <c:pt idx="16">
                  <c:v>1.4089257913855735</c:v>
                </c:pt>
                <c:pt idx="17">
                  <c:v>0.65278671510119368</c:v>
                </c:pt>
                <c:pt idx="18">
                  <c:v>0.88934094447327461</c:v>
                </c:pt>
                <c:pt idx="19">
                  <c:v>1.634623767514271</c:v>
                </c:pt>
              </c:numCache>
            </c:numRef>
          </c:val>
        </c:ser>
        <c:ser>
          <c:idx val="4"/>
          <c:order val="4"/>
          <c:tx>
            <c:strRef>
              <c:f>'Oct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10'!$F$19:$Y$19</c:f>
              <c:numCache>
                <c:formatCode>0.0%</c:formatCode>
                <c:ptCount val="20"/>
                <c:pt idx="0">
                  <c:v>0.81642710472279267</c:v>
                </c:pt>
                <c:pt idx="1">
                  <c:v>0.64110426648414331</c:v>
                </c:pt>
                <c:pt idx="2">
                  <c:v>0.92272568256141152</c:v>
                </c:pt>
                <c:pt idx="3">
                  <c:v>0.85527872842041219</c:v>
                </c:pt>
                <c:pt idx="4">
                  <c:v>0.97414556240018246</c:v>
                </c:pt>
                <c:pt idx="5">
                  <c:v>0.76359266864400333</c:v>
                </c:pt>
                <c:pt idx="6">
                  <c:v>1.0782538596090958</c:v>
                </c:pt>
                <c:pt idx="7">
                  <c:v>0.82915963191117192</c:v>
                </c:pt>
                <c:pt idx="8">
                  <c:v>1.3286698608259182</c:v>
                </c:pt>
                <c:pt idx="9">
                  <c:v>0.89106852232108913</c:v>
                </c:pt>
                <c:pt idx="10">
                  <c:v>0.3422815423226101</c:v>
                </c:pt>
                <c:pt idx="11">
                  <c:v>0.74417370142216133</c:v>
                </c:pt>
                <c:pt idx="12">
                  <c:v>1.1098942885390524</c:v>
                </c:pt>
                <c:pt idx="13">
                  <c:v>0.77862042740892845</c:v>
                </c:pt>
                <c:pt idx="14">
                  <c:v>0.85473572134763109</c:v>
                </c:pt>
                <c:pt idx="15">
                  <c:v>0.67708570993991946</c:v>
                </c:pt>
                <c:pt idx="16">
                  <c:v>0.79951327097117653</c:v>
                </c:pt>
                <c:pt idx="17">
                  <c:v>0.61535782188759591</c:v>
                </c:pt>
                <c:pt idx="18">
                  <c:v>1.0234633812457221</c:v>
                </c:pt>
                <c:pt idx="19">
                  <c:v>0.9210844931173473</c:v>
                </c:pt>
              </c:numCache>
            </c:numRef>
          </c:val>
        </c:ser>
        <c:gapWidth val="75"/>
        <c:axId val="127016960"/>
        <c:axId val="127018496"/>
      </c:barChart>
      <c:catAx>
        <c:axId val="1270169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018496"/>
        <c:crosses val="autoZero"/>
        <c:auto val="1"/>
        <c:lblAlgn val="ctr"/>
        <c:lblOffset val="100"/>
      </c:catAx>
      <c:valAx>
        <c:axId val="1270184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016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Jan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8341187357250207E-2"/>
          <c:y val="0.13978523980435378"/>
          <c:w val="0.87558752352577862"/>
          <c:h val="0.7935500536585619"/>
        </c:manualLayout>
      </c:layout>
      <c:lineChart>
        <c:grouping val="standard"/>
        <c:ser>
          <c:idx val="0"/>
          <c:order val="0"/>
          <c:tx>
            <c:strRef>
              <c:f>'Jan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'Jan 10'!$F$31:$V$31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10'!$F$32:$V$32</c:f>
              <c:numCache>
                <c:formatCode>0.0%</c:formatCode>
                <c:ptCount val="17"/>
                <c:pt idx="0">
                  <c:v>0.81922499999999998</c:v>
                </c:pt>
                <c:pt idx="1">
                  <c:v>1.13388</c:v>
                </c:pt>
                <c:pt idx="2">
                  <c:v>0.94489999999999996</c:v>
                </c:pt>
                <c:pt idx="3">
                  <c:v>1.0022549999999999</c:v>
                </c:pt>
                <c:pt idx="4">
                  <c:v>0.97565000000000002</c:v>
                </c:pt>
                <c:pt idx="5">
                  <c:v>0.86724500000000004</c:v>
                </c:pt>
                <c:pt idx="6">
                  <c:v>0.87105999999999995</c:v>
                </c:pt>
                <c:pt idx="7">
                  <c:v>0.79187272727272739</c:v>
                </c:pt>
                <c:pt idx="8">
                  <c:v>0.89700000000000002</c:v>
                </c:pt>
                <c:pt idx="9">
                  <c:v>0.95849230769230764</c:v>
                </c:pt>
                <c:pt idx="10">
                  <c:v>0.98225333333333331</c:v>
                </c:pt>
                <c:pt idx="11">
                  <c:v>0.92086250000000003</c:v>
                </c:pt>
                <c:pt idx="12">
                  <c:v>0.92677058823529401</c:v>
                </c:pt>
                <c:pt idx="13">
                  <c:v>1.0303722222222222</c:v>
                </c:pt>
                <c:pt idx="14">
                  <c:v>1.0669263157894735</c:v>
                </c:pt>
                <c:pt idx="15">
                  <c:v>1.0578578947368422</c:v>
                </c:pt>
                <c:pt idx="16">
                  <c:v>1.1005</c:v>
                </c:pt>
              </c:numCache>
            </c:numRef>
          </c:val>
        </c:ser>
        <c:ser>
          <c:idx val="1"/>
          <c:order val="1"/>
          <c:tx>
            <c:strRef>
              <c:f>'Jan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'Jan 10'!$F$31:$V$31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10'!$F$33:$V$33</c:f>
              <c:numCache>
                <c:formatCode>0.0%</c:formatCode>
                <c:ptCount val="17"/>
                <c:pt idx="0">
                  <c:v>0.64949999999999997</c:v>
                </c:pt>
                <c:pt idx="1">
                  <c:v>1.5946</c:v>
                </c:pt>
                <c:pt idx="2">
                  <c:v>1.8188500000000001</c:v>
                </c:pt>
                <c:pt idx="3">
                  <c:v>1.6117999999999999</c:v>
                </c:pt>
                <c:pt idx="4">
                  <c:v>1.4634499999999999</c:v>
                </c:pt>
                <c:pt idx="5">
                  <c:v>1.4107350000000001</c:v>
                </c:pt>
                <c:pt idx="6">
                  <c:v>1.40306</c:v>
                </c:pt>
                <c:pt idx="7">
                  <c:v>1.368727272727273</c:v>
                </c:pt>
                <c:pt idx="8">
                  <c:v>1.3370833333333334</c:v>
                </c:pt>
                <c:pt idx="9">
                  <c:v>1.2573076923076922</c:v>
                </c:pt>
                <c:pt idx="10">
                  <c:v>1.2471142857142856</c:v>
                </c:pt>
                <c:pt idx="11">
                  <c:v>1.1639733333333335</c:v>
                </c:pt>
                <c:pt idx="12">
                  <c:v>1.1149125</c:v>
                </c:pt>
                <c:pt idx="13">
                  <c:v>1.1108882352941176</c:v>
                </c:pt>
                <c:pt idx="14">
                  <c:v>1.0837277777777778</c:v>
                </c:pt>
                <c:pt idx="15">
                  <c:v>1.0345842105263159</c:v>
                </c:pt>
                <c:pt idx="16">
                  <c:v>1.0049999999999999</c:v>
                </c:pt>
              </c:numCache>
            </c:numRef>
          </c:val>
        </c:ser>
        <c:ser>
          <c:idx val="2"/>
          <c:order val="2"/>
          <c:tx>
            <c:strRef>
              <c:f>'Jan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'Jan 10'!$F$31:$V$31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10'!$F$34:$V$34</c:f>
              <c:numCache>
                <c:formatCode>0.0%</c:formatCode>
                <c:ptCount val="17"/>
                <c:pt idx="0">
                  <c:v>0.40300000000000002</c:v>
                </c:pt>
                <c:pt idx="1">
                  <c:v>0.78800000000000003</c:v>
                </c:pt>
                <c:pt idx="2">
                  <c:v>0.84311111111111114</c:v>
                </c:pt>
                <c:pt idx="3">
                  <c:v>0.72266666666666668</c:v>
                </c:pt>
                <c:pt idx="4">
                  <c:v>0.70099999999999996</c:v>
                </c:pt>
                <c:pt idx="5">
                  <c:v>0.64355555555555555</c:v>
                </c:pt>
                <c:pt idx="6">
                  <c:v>0.59253333333333336</c:v>
                </c:pt>
                <c:pt idx="7">
                  <c:v>0.5623030303030303</c:v>
                </c:pt>
                <c:pt idx="8">
                  <c:v>0.51544444444444448</c:v>
                </c:pt>
                <c:pt idx="9">
                  <c:v>0.53517948717948716</c:v>
                </c:pt>
                <c:pt idx="10">
                  <c:v>0.5221904761904762</c:v>
                </c:pt>
                <c:pt idx="11">
                  <c:v>0.60991111111111107</c:v>
                </c:pt>
                <c:pt idx="12">
                  <c:v>0.64412499999999995</c:v>
                </c:pt>
                <c:pt idx="13">
                  <c:v>0.75584313725490193</c:v>
                </c:pt>
                <c:pt idx="14">
                  <c:v>0.71385185185185185</c:v>
                </c:pt>
                <c:pt idx="15">
                  <c:v>0.73171929824561399</c:v>
                </c:pt>
                <c:pt idx="16">
                  <c:v>0.76296296296296295</c:v>
                </c:pt>
              </c:numCache>
            </c:numRef>
          </c:val>
        </c:ser>
        <c:ser>
          <c:idx val="3"/>
          <c:order val="3"/>
          <c:tx>
            <c:strRef>
              <c:f>'Jan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'Jan 10'!$F$31:$V$31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10'!$F$35:$V$35</c:f>
              <c:numCache>
                <c:formatCode>0.0%</c:formatCode>
                <c:ptCount val="17"/>
                <c:pt idx="0">
                  <c:v>1.2853310104529616</c:v>
                </c:pt>
                <c:pt idx="1">
                  <c:v>1.2820766550522649</c:v>
                </c:pt>
                <c:pt idx="2">
                  <c:v>1.0242961672473867</c:v>
                </c:pt>
                <c:pt idx="3">
                  <c:v>0.9157491289198606</c:v>
                </c:pt>
                <c:pt idx="4">
                  <c:v>0.9541637630662021</c:v>
                </c:pt>
                <c:pt idx="5">
                  <c:v>0.97569337979094073</c:v>
                </c:pt>
                <c:pt idx="6">
                  <c:v>1.0135261324041811</c:v>
                </c:pt>
                <c:pt idx="7">
                  <c:v>1.0116363636363637</c:v>
                </c:pt>
                <c:pt idx="8">
                  <c:v>1.0256666666666665</c:v>
                </c:pt>
                <c:pt idx="9">
                  <c:v>1.1451956043956042</c:v>
                </c:pt>
                <c:pt idx="10">
                  <c:v>1.1621795918367346</c:v>
                </c:pt>
                <c:pt idx="11">
                  <c:v>1.1770438095238094</c:v>
                </c:pt>
                <c:pt idx="12">
                  <c:v>1.1779214285714286</c:v>
                </c:pt>
                <c:pt idx="13">
                  <c:v>1.1530823529411764</c:v>
                </c:pt>
                <c:pt idx="14">
                  <c:v>1.1513079365079364</c:v>
                </c:pt>
                <c:pt idx="15">
                  <c:v>1.1645353383458648</c:v>
                </c:pt>
                <c:pt idx="16">
                  <c:v>1.0801393728222997</c:v>
                </c:pt>
              </c:numCache>
            </c:numRef>
          </c:val>
        </c:ser>
        <c:ser>
          <c:idx val="4"/>
          <c:order val="4"/>
          <c:tx>
            <c:strRef>
              <c:f>'Jan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'Jan 10'!$F$31:$V$31</c:f>
              <c:strCache>
                <c:ptCount val="17"/>
                <c:pt idx="0">
                  <c:v>Day 4</c:v>
                </c:pt>
                <c:pt idx="1">
                  <c:v>Day 5</c:v>
                </c:pt>
                <c:pt idx="2">
                  <c:v>Day 6</c:v>
                </c:pt>
                <c:pt idx="3">
                  <c:v>Day 7</c:v>
                </c:pt>
                <c:pt idx="4">
                  <c:v>Day 8</c:v>
                </c:pt>
                <c:pt idx="5">
                  <c:v>Day 9</c:v>
                </c:pt>
                <c:pt idx="6">
                  <c:v>Day 10</c:v>
                </c:pt>
                <c:pt idx="7">
                  <c:v>Day 11</c:v>
                </c:pt>
                <c:pt idx="8">
                  <c:v>Day 12</c:v>
                </c:pt>
                <c:pt idx="9">
                  <c:v>Day 13</c:v>
                </c:pt>
                <c:pt idx="10">
                  <c:v>Day 14</c:v>
                </c:pt>
                <c:pt idx="11">
                  <c:v>Day 15</c:v>
                </c:pt>
                <c:pt idx="12">
                  <c:v>Day 16</c:v>
                </c:pt>
                <c:pt idx="13">
                  <c:v>Day 17</c:v>
                </c:pt>
                <c:pt idx="14">
                  <c:v>Day 18</c:v>
                </c:pt>
                <c:pt idx="15">
                  <c:v>Day 19</c:v>
                </c:pt>
                <c:pt idx="16">
                  <c:v>Day 20</c:v>
                </c:pt>
              </c:strCache>
            </c:strRef>
          </c:cat>
          <c:val>
            <c:numRef>
              <c:f>'Jan 10'!$F$36:$V$36</c:f>
              <c:numCache>
                <c:formatCode>0.0%</c:formatCode>
                <c:ptCount val="17"/>
                <c:pt idx="0">
                  <c:v>0.87231143552311441</c:v>
                </c:pt>
                <c:pt idx="1">
                  <c:v>1.2409148418491485</c:v>
                </c:pt>
                <c:pt idx="2">
                  <c:v>1.1685437956204379</c:v>
                </c:pt>
                <c:pt idx="3">
                  <c:v>1.0744416058394159</c:v>
                </c:pt>
                <c:pt idx="4">
                  <c:v>1.0417274939172749</c:v>
                </c:pt>
                <c:pt idx="5">
                  <c:v>1.0006082725060828</c:v>
                </c:pt>
                <c:pt idx="6">
                  <c:v>1.0044987834549879</c:v>
                </c:pt>
                <c:pt idx="7">
                  <c:v>0.97125370493253715</c:v>
                </c:pt>
                <c:pt idx="8">
                  <c:v>0.98633576642335763</c:v>
                </c:pt>
                <c:pt idx="9">
                  <c:v>1.0268617630544636</c:v>
                </c:pt>
                <c:pt idx="10">
                  <c:v>1.0339595875333101</c:v>
                </c:pt>
                <c:pt idx="11">
                  <c:v>1.018390194647202</c:v>
                </c:pt>
                <c:pt idx="12">
                  <c:v>1.0138162319307285</c:v>
                </c:pt>
                <c:pt idx="13">
                  <c:v>1.0477196475995103</c:v>
                </c:pt>
                <c:pt idx="14">
                  <c:v>1.042489290135314</c:v>
                </c:pt>
                <c:pt idx="15">
                  <c:v>1.035878550390575</c:v>
                </c:pt>
                <c:pt idx="16">
                  <c:v>1.014720194647202</c:v>
                </c:pt>
              </c:numCache>
            </c:numRef>
          </c:val>
        </c:ser>
        <c:marker val="1"/>
        <c:axId val="107426560"/>
        <c:axId val="107428096"/>
      </c:lineChart>
      <c:catAx>
        <c:axId val="1074265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428096"/>
        <c:crosses val="autoZero"/>
        <c:auto val="1"/>
        <c:lblAlgn val="ctr"/>
        <c:lblOffset val="100"/>
      </c:catAx>
      <c:valAx>
        <c:axId val="1074280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426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550885364682491"/>
          <c:y val="0.89677599977422151"/>
          <c:w val="0.34741808682366626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October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6.6666806675921314E-2"/>
          <c:w val="0.93299344501092496"/>
          <c:h val="0.73763595773682133"/>
        </c:manualLayout>
      </c:layout>
      <c:lineChart>
        <c:grouping val="standard"/>
        <c:ser>
          <c:idx val="0"/>
          <c:order val="0"/>
          <c:tx>
            <c:strRef>
              <c:f>'Oct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10'!$F$32:$Y$32</c:f>
              <c:numCache>
                <c:formatCode>0.0%</c:formatCode>
                <c:ptCount val="20"/>
                <c:pt idx="0">
                  <c:v>1.6172266666666666</c:v>
                </c:pt>
                <c:pt idx="1">
                  <c:v>1.1923999999999999</c:v>
                </c:pt>
                <c:pt idx="2">
                  <c:v>1.3387733333333334</c:v>
                </c:pt>
                <c:pt idx="3">
                  <c:v>1.1569466666666666</c:v>
                </c:pt>
                <c:pt idx="4">
                  <c:v>1.202688</c:v>
                </c:pt>
                <c:pt idx="5">
                  <c:v>1.0702933333333333</c:v>
                </c:pt>
                <c:pt idx="6">
                  <c:v>1.0940266666666667</c:v>
                </c:pt>
                <c:pt idx="7">
                  <c:v>1.1590333333333334</c:v>
                </c:pt>
                <c:pt idx="8">
                  <c:v>1.19808</c:v>
                </c:pt>
                <c:pt idx="9">
                  <c:v>1.2076746666666667</c:v>
                </c:pt>
                <c:pt idx="10">
                  <c:v>1.1492266666666666</c:v>
                </c:pt>
                <c:pt idx="11">
                  <c:v>1.1176222222222223</c:v>
                </c:pt>
                <c:pt idx="12">
                  <c:v>1.100340512820513</c:v>
                </c:pt>
                <c:pt idx="13">
                  <c:v>1.0718971428571427</c:v>
                </c:pt>
                <c:pt idx="14">
                  <c:v>1.0846257777777779</c:v>
                </c:pt>
                <c:pt idx="15">
                  <c:v>1.0601766666666668</c:v>
                </c:pt>
                <c:pt idx="16">
                  <c:v>1.0458823529411765</c:v>
                </c:pt>
                <c:pt idx="17">
                  <c:v>1.0469392592592592</c:v>
                </c:pt>
                <c:pt idx="18">
                  <c:v>1.0694259649122808</c:v>
                </c:pt>
                <c:pt idx="19">
                  <c:v>1.0040480000000001</c:v>
                </c:pt>
              </c:numCache>
            </c:numRef>
          </c:val>
        </c:ser>
        <c:ser>
          <c:idx val="1"/>
          <c:order val="1"/>
          <c:tx>
            <c:strRef>
              <c:f>'Oct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10'!$F$33:$Y$33</c:f>
              <c:numCache>
                <c:formatCode>0.0%</c:formatCode>
                <c:ptCount val="20"/>
                <c:pt idx="0">
                  <c:v>0.39907692307692305</c:v>
                </c:pt>
                <c:pt idx="1">
                  <c:v>0.41153846153846152</c:v>
                </c:pt>
                <c:pt idx="2">
                  <c:v>0.53081025641025636</c:v>
                </c:pt>
                <c:pt idx="3">
                  <c:v>0.49495384615384613</c:v>
                </c:pt>
                <c:pt idx="4">
                  <c:v>0.61854769230769235</c:v>
                </c:pt>
                <c:pt idx="5">
                  <c:v>0.69068717948717939</c:v>
                </c:pt>
                <c:pt idx="6">
                  <c:v>0.72990769230769226</c:v>
                </c:pt>
                <c:pt idx="7">
                  <c:v>0.68155384615384618</c:v>
                </c:pt>
                <c:pt idx="8">
                  <c:v>0.71474871794871786</c:v>
                </c:pt>
                <c:pt idx="9">
                  <c:v>0.69450461538461539</c:v>
                </c:pt>
                <c:pt idx="10">
                  <c:v>0.66133146853146862</c:v>
                </c:pt>
                <c:pt idx="11">
                  <c:v>0.66552820512820521</c:v>
                </c:pt>
                <c:pt idx="12">
                  <c:v>0.64129230769230772</c:v>
                </c:pt>
                <c:pt idx="13">
                  <c:v>0.64228131868131866</c:v>
                </c:pt>
                <c:pt idx="14">
                  <c:v>0.61218051282051278</c:v>
                </c:pt>
                <c:pt idx="15">
                  <c:v>0.59197692307692307</c:v>
                </c:pt>
                <c:pt idx="16">
                  <c:v>0.56691040723981911</c:v>
                </c:pt>
                <c:pt idx="17">
                  <c:v>0.54462905982905985</c:v>
                </c:pt>
                <c:pt idx="18">
                  <c:v>0.53846477732793518</c:v>
                </c:pt>
                <c:pt idx="19">
                  <c:v>0.55599692307692306</c:v>
                </c:pt>
              </c:numCache>
            </c:numRef>
          </c:val>
        </c:ser>
        <c:ser>
          <c:idx val="2"/>
          <c:order val="2"/>
          <c:tx>
            <c:strRef>
              <c:f>'Oct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10'!$F$34:$Y$34</c:f>
              <c:numCache>
                <c:formatCode>0.0%</c:formatCode>
                <c:ptCount val="20"/>
                <c:pt idx="0">
                  <c:v>0.49372549019607842</c:v>
                </c:pt>
                <c:pt idx="1">
                  <c:v>0.40666666666666668</c:v>
                </c:pt>
                <c:pt idx="2">
                  <c:v>0.31032679738562091</c:v>
                </c:pt>
                <c:pt idx="3">
                  <c:v>0.54723529411764715</c:v>
                </c:pt>
                <c:pt idx="4">
                  <c:v>0.43778823529411776</c:v>
                </c:pt>
                <c:pt idx="5">
                  <c:v>0.52155555555555544</c:v>
                </c:pt>
                <c:pt idx="6">
                  <c:v>0.45825210084033613</c:v>
                </c:pt>
                <c:pt idx="7">
                  <c:v>0.57459803921568631</c:v>
                </c:pt>
                <c:pt idx="8">
                  <c:v>0.60206535947712414</c:v>
                </c:pt>
                <c:pt idx="9">
                  <c:v>0.57593725490196079</c:v>
                </c:pt>
                <c:pt idx="10">
                  <c:v>0.54279500891265597</c:v>
                </c:pt>
                <c:pt idx="11">
                  <c:v>0.54</c:v>
                </c:pt>
                <c:pt idx="12">
                  <c:v>0.55149321266968332</c:v>
                </c:pt>
                <c:pt idx="13">
                  <c:v>0.51210084033613446</c:v>
                </c:pt>
                <c:pt idx="14">
                  <c:v>0.51012287581699356</c:v>
                </c:pt>
                <c:pt idx="15">
                  <c:v>0.47824074074074074</c:v>
                </c:pt>
                <c:pt idx="16">
                  <c:v>0.48802768166089966</c:v>
                </c:pt>
                <c:pt idx="17">
                  <c:v>0.48616557734204791</c:v>
                </c:pt>
                <c:pt idx="18">
                  <c:v>0.49657378740970076</c:v>
                </c:pt>
                <c:pt idx="19">
                  <c:v>0.53286274509803921</c:v>
                </c:pt>
              </c:numCache>
            </c:numRef>
          </c:val>
        </c:ser>
        <c:ser>
          <c:idx val="3"/>
          <c:order val="3"/>
          <c:tx>
            <c:strRef>
              <c:f>'Oct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10'!$F$35:$Y$35</c:f>
              <c:numCache>
                <c:formatCode>0.0%</c:formatCode>
                <c:ptCount val="20"/>
                <c:pt idx="0">
                  <c:v>2.5109289050337313</c:v>
                </c:pt>
                <c:pt idx="1">
                  <c:v>1.6212558380902957</c:v>
                </c:pt>
                <c:pt idx="2">
                  <c:v>1.3271890676353573</c:v>
                </c:pt>
                <c:pt idx="3">
                  <c:v>1.2835080435910742</c:v>
                </c:pt>
                <c:pt idx="4">
                  <c:v>1.2548251167618061</c:v>
                </c:pt>
                <c:pt idx="5">
                  <c:v>1.172572219339215</c:v>
                </c:pt>
                <c:pt idx="6">
                  <c:v>1.1894135962636223</c:v>
                </c:pt>
                <c:pt idx="7">
                  <c:v>1.0875350285417749</c:v>
                </c:pt>
                <c:pt idx="8">
                  <c:v>1.1191327913279134</c:v>
                </c:pt>
                <c:pt idx="9">
                  <c:v>1.1218266735858848</c:v>
                </c:pt>
                <c:pt idx="10">
                  <c:v>1.0393395291786574</c:v>
                </c:pt>
                <c:pt idx="11">
                  <c:v>1.0179830479155858</c:v>
                </c:pt>
                <c:pt idx="12">
                  <c:v>1.0876627679533755</c:v>
                </c:pt>
                <c:pt idx="13">
                  <c:v>1.0955949292015716</c:v>
                </c:pt>
                <c:pt idx="14">
                  <c:v>1.0800954852101714</c:v>
                </c:pt>
                <c:pt idx="15">
                  <c:v>1.1122275557861963</c:v>
                </c:pt>
                <c:pt idx="16">
                  <c:v>1.1188467291431363</c:v>
                </c:pt>
                <c:pt idx="17">
                  <c:v>1.0499682869169118</c:v>
                </c:pt>
                <c:pt idx="18">
                  <c:v>1.008778302788627</c:v>
                </c:pt>
                <c:pt idx="19">
                  <c:v>1.0541574468085106</c:v>
                </c:pt>
              </c:numCache>
            </c:numRef>
          </c:val>
        </c:ser>
        <c:ser>
          <c:idx val="4"/>
          <c:order val="4"/>
          <c:tx>
            <c:strRef>
              <c:f>'Oct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'Oct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'Oct 10'!$F$36:$Y$36</c:f>
              <c:numCache>
                <c:formatCode>0.0%</c:formatCode>
                <c:ptCount val="20"/>
                <c:pt idx="0">
                  <c:v>1.3819925469617462</c:v>
                </c:pt>
                <c:pt idx="1">
                  <c:v>0.98795497756483386</c:v>
                </c:pt>
                <c:pt idx="2">
                  <c:v>0.95617309301087539</c:v>
                </c:pt>
                <c:pt idx="3">
                  <c:v>0.92400144497680436</c:v>
                </c:pt>
                <c:pt idx="4">
                  <c:v>0.94008517758004406</c:v>
                </c:pt>
                <c:pt idx="5">
                  <c:v>0.91066975942403738</c:v>
                </c:pt>
                <c:pt idx="6">
                  <c:v>0.92101974077333426</c:v>
                </c:pt>
                <c:pt idx="7">
                  <c:v>0.91805365427028673</c:v>
                </c:pt>
                <c:pt idx="8">
                  <c:v>0.95144962439053238</c:v>
                </c:pt>
                <c:pt idx="9">
                  <c:v>0.94541151418358815</c:v>
                </c:pt>
                <c:pt idx="10">
                  <c:v>0.89058151674168107</c:v>
                </c:pt>
                <c:pt idx="11">
                  <c:v>0.87585798666565273</c:v>
                </c:pt>
                <c:pt idx="12">
                  <c:v>0.88736832868249715</c:v>
                </c:pt>
                <c:pt idx="13">
                  <c:v>0.87495040361570131</c:v>
                </c:pt>
                <c:pt idx="14">
                  <c:v>0.8662524399827618</c:v>
                </c:pt>
                <c:pt idx="15">
                  <c:v>0.85813940223591145</c:v>
                </c:pt>
                <c:pt idx="16">
                  <c:v>0.85151543619957681</c:v>
                </c:pt>
                <c:pt idx="17">
                  <c:v>0.82579621601980724</c:v>
                </c:pt>
                <c:pt idx="18">
                  <c:v>0.82042941028135019</c:v>
                </c:pt>
                <c:pt idx="19">
                  <c:v>0.82575198113925019</c:v>
                </c:pt>
              </c:numCache>
            </c:numRef>
          </c:val>
        </c:ser>
        <c:marker val="1"/>
        <c:axId val="127074304"/>
        <c:axId val="127075840"/>
      </c:lineChart>
      <c:catAx>
        <c:axId val="1270743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075840"/>
        <c:crosses val="autoZero"/>
        <c:auto val="1"/>
        <c:lblAlgn val="ctr"/>
        <c:lblOffset val="100"/>
      </c:catAx>
      <c:valAx>
        <c:axId val="127075840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07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11944646758901"/>
          <c:y val="0.91613106426212898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November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'Nov 10'!$F$39:$W$39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10'!$F$40:$W$40</c:f>
              <c:numCache>
                <c:formatCode>0</c:formatCode>
                <c:ptCount val="18"/>
                <c:pt idx="0">
                  <c:v>363660</c:v>
                </c:pt>
                <c:pt idx="1">
                  <c:v>404110</c:v>
                </c:pt>
                <c:pt idx="2">
                  <c:v>359633.33333333337</c:v>
                </c:pt>
                <c:pt idx="3">
                  <c:v>311710</c:v>
                </c:pt>
                <c:pt idx="4">
                  <c:v>362656</c:v>
                </c:pt>
                <c:pt idx="5">
                  <c:v>392210</c:v>
                </c:pt>
                <c:pt idx="6">
                  <c:v>408154.28571428574</c:v>
                </c:pt>
                <c:pt idx="7">
                  <c:v>407362.5</c:v>
                </c:pt>
                <c:pt idx="8">
                  <c:v>396033.33333333337</c:v>
                </c:pt>
                <c:pt idx="9">
                  <c:v>393150</c:v>
                </c:pt>
                <c:pt idx="10">
                  <c:v>387494.54545454541</c:v>
                </c:pt>
                <c:pt idx="11">
                  <c:v>373226.66666666663</c:v>
                </c:pt>
                <c:pt idx="12">
                  <c:v>356673.84615384619</c:v>
                </c:pt>
                <c:pt idx="13">
                  <c:v>371875.71428571426</c:v>
                </c:pt>
                <c:pt idx="14">
                  <c:v>385145.33333333331</c:v>
                </c:pt>
                <c:pt idx="15">
                  <c:v>416140</c:v>
                </c:pt>
                <c:pt idx="16">
                  <c:v>395236.4705882353</c:v>
                </c:pt>
                <c:pt idx="17">
                  <c:v>402364.44444444444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'Nov 10'!$F$39:$W$39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10'!$F$41:$W$41</c:f>
              <c:numCache>
                <c:formatCode>0</c:formatCode>
                <c:ptCount val="18"/>
                <c:pt idx="0">
                  <c:v>53940</c:v>
                </c:pt>
                <c:pt idx="1">
                  <c:v>80870</c:v>
                </c:pt>
                <c:pt idx="2">
                  <c:v>111526.66666666666</c:v>
                </c:pt>
                <c:pt idx="3">
                  <c:v>131595</c:v>
                </c:pt>
                <c:pt idx="4">
                  <c:v>167428</c:v>
                </c:pt>
                <c:pt idx="5">
                  <c:v>116730</c:v>
                </c:pt>
                <c:pt idx="6">
                  <c:v>130768.57142857143</c:v>
                </c:pt>
                <c:pt idx="7">
                  <c:v>130910</c:v>
                </c:pt>
                <c:pt idx="8">
                  <c:v>134575.55555555556</c:v>
                </c:pt>
                <c:pt idx="9">
                  <c:v>139208</c:v>
                </c:pt>
                <c:pt idx="10">
                  <c:v>133825.45454545453</c:v>
                </c:pt>
                <c:pt idx="11">
                  <c:v>128831.66666666666</c:v>
                </c:pt>
                <c:pt idx="12">
                  <c:v>124683.07692307691</c:v>
                </c:pt>
                <c:pt idx="13">
                  <c:v>130327.14285714287</c:v>
                </c:pt>
                <c:pt idx="14">
                  <c:v>136732</c:v>
                </c:pt>
                <c:pt idx="15">
                  <c:v>131555</c:v>
                </c:pt>
                <c:pt idx="16">
                  <c:v>126987.0588235294</c:v>
                </c:pt>
                <c:pt idx="17">
                  <c:v>127693.33333333334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'Nov 10'!$F$39:$W$39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10'!$F$42:$W$42</c:f>
              <c:numCache>
                <c:formatCode>0</c:formatCode>
                <c:ptCount val="18"/>
                <c:pt idx="0">
                  <c:v>133020</c:v>
                </c:pt>
                <c:pt idx="1">
                  <c:v>192564</c:v>
                </c:pt>
                <c:pt idx="2">
                  <c:v>209742</c:v>
                </c:pt>
                <c:pt idx="3">
                  <c:v>189157.5</c:v>
                </c:pt>
                <c:pt idx="4">
                  <c:v>176688</c:v>
                </c:pt>
                <c:pt idx="5">
                  <c:v>153360</c:v>
                </c:pt>
                <c:pt idx="6">
                  <c:v>152394.28571428571</c:v>
                </c:pt>
                <c:pt idx="7">
                  <c:v>144135</c:v>
                </c:pt>
                <c:pt idx="8">
                  <c:v>167191.11111111109</c:v>
                </c:pt>
                <c:pt idx="9">
                  <c:v>183096</c:v>
                </c:pt>
                <c:pt idx="10">
                  <c:v>194905.63636363635</c:v>
                </c:pt>
                <c:pt idx="11">
                  <c:v>207853.50000000003</c:v>
                </c:pt>
                <c:pt idx="12">
                  <c:v>211159.38461538462</c:v>
                </c:pt>
                <c:pt idx="13">
                  <c:v>208792.28571428571</c:v>
                </c:pt>
                <c:pt idx="14">
                  <c:v>210208.80000000002</c:v>
                </c:pt>
                <c:pt idx="15">
                  <c:v>210778.875</c:v>
                </c:pt>
                <c:pt idx="16">
                  <c:v>203669.41176470587</c:v>
                </c:pt>
                <c:pt idx="17">
                  <c:v>194999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'Nov 10'!$F$39:$W$39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10'!$F$43:$W$43</c:f>
              <c:numCache>
                <c:formatCode>0</c:formatCode>
                <c:ptCount val="18"/>
                <c:pt idx="0">
                  <c:v>299595.19999999995</c:v>
                </c:pt>
                <c:pt idx="1">
                  <c:v>321029.99999999994</c:v>
                </c:pt>
                <c:pt idx="2">
                  <c:v>366047.99999999994</c:v>
                </c:pt>
                <c:pt idx="3">
                  <c:v>454248</c:v>
                </c:pt>
                <c:pt idx="4">
                  <c:v>456284</c:v>
                </c:pt>
                <c:pt idx="5">
                  <c:v>417783.33333333337</c:v>
                </c:pt>
                <c:pt idx="6">
                  <c:v>405665.71428571426</c:v>
                </c:pt>
                <c:pt idx="7">
                  <c:v>400752.5</c:v>
                </c:pt>
                <c:pt idx="8">
                  <c:v>401966.66666666663</c:v>
                </c:pt>
                <c:pt idx="9">
                  <c:v>425396</c:v>
                </c:pt>
                <c:pt idx="10">
                  <c:v>393787.85454545455</c:v>
                </c:pt>
                <c:pt idx="11">
                  <c:v>377648.26666666666</c:v>
                </c:pt>
                <c:pt idx="12">
                  <c:v>373788.8</c:v>
                </c:pt>
                <c:pt idx="13">
                  <c:v>373568.57142857136</c:v>
                </c:pt>
                <c:pt idx="14">
                  <c:v>376283.78666666662</c:v>
                </c:pt>
                <c:pt idx="15">
                  <c:v>352766.04999999993</c:v>
                </c:pt>
                <c:pt idx="16">
                  <c:v>342543.9058823529</c:v>
                </c:pt>
                <c:pt idx="17">
                  <c:v>339589.33333333326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'Nov 10'!$F$39:$W$39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10'!$F$44:$W$44</c:f>
              <c:numCache>
                <c:formatCode>0</c:formatCode>
                <c:ptCount val="18"/>
                <c:pt idx="0">
                  <c:v>850215.2</c:v>
                </c:pt>
                <c:pt idx="1">
                  <c:v>998574</c:v>
                </c:pt>
                <c:pt idx="2">
                  <c:v>1046950</c:v>
                </c:pt>
                <c:pt idx="3">
                  <c:v>1086710.5</c:v>
                </c:pt>
                <c:pt idx="4">
                  <c:v>1163056</c:v>
                </c:pt>
                <c:pt idx="5">
                  <c:v>1080083.3333333335</c:v>
                </c:pt>
                <c:pt idx="6">
                  <c:v>1096982.857142857</c:v>
                </c:pt>
                <c:pt idx="7">
                  <c:v>1083160</c:v>
                </c:pt>
                <c:pt idx="8">
                  <c:v>1099766.6666666667</c:v>
                </c:pt>
                <c:pt idx="9">
                  <c:v>1140850</c:v>
                </c:pt>
                <c:pt idx="10">
                  <c:v>1110013.4909090907</c:v>
                </c:pt>
                <c:pt idx="11">
                  <c:v>1087560.0999999999</c:v>
                </c:pt>
                <c:pt idx="12">
                  <c:v>1066305.1076923078</c:v>
                </c:pt>
                <c:pt idx="13">
                  <c:v>1084563.7142857141</c:v>
                </c:pt>
                <c:pt idx="14">
                  <c:v>1108369.9199999999</c:v>
                </c:pt>
                <c:pt idx="15">
                  <c:v>1111239.9249999998</c:v>
                </c:pt>
                <c:pt idx="16">
                  <c:v>1068436.8470588236</c:v>
                </c:pt>
                <c:pt idx="17">
                  <c:v>1064646.111111111</c:v>
                </c:pt>
              </c:numCache>
            </c:numRef>
          </c:val>
        </c:ser>
        <c:marker val="1"/>
        <c:axId val="127263488"/>
        <c:axId val="127265024"/>
      </c:lineChart>
      <c:catAx>
        <c:axId val="1272634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265024"/>
        <c:crosses val="autoZero"/>
        <c:auto val="1"/>
        <c:lblAlgn val="ctr"/>
        <c:lblOffset val="100"/>
      </c:catAx>
      <c:valAx>
        <c:axId val="127265024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26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991251093613978"/>
          <c:y val="0.92826178249459435"/>
          <c:w val="0.31213473315835538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November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'Nov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'Nov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'Nov 10'!$F$15:$Y$15</c:f>
              <c:numCache>
                <c:formatCode>0.0%</c:formatCode>
                <c:ptCount val="20"/>
                <c:pt idx="0">
                  <c:v>0.84581333333333331</c:v>
                </c:pt>
                <c:pt idx="1">
                  <c:v>1.1854933333333333</c:v>
                </c:pt>
                <c:pt idx="2">
                  <c:v>0.72181333333333331</c:v>
                </c:pt>
                <c:pt idx="3">
                  <c:v>0.60581333333333331</c:v>
                </c:pt>
                <c:pt idx="4">
                  <c:v>1.47648</c:v>
                </c:pt>
                <c:pt idx="5">
                  <c:v>1.3160000000000001</c:v>
                </c:pt>
                <c:pt idx="6">
                  <c:v>1.5014933333333333</c:v>
                </c:pt>
                <c:pt idx="7">
                  <c:v>1.07152</c:v>
                </c:pt>
                <c:pt idx="8">
                  <c:v>0.81440000000000001</c:v>
                </c:pt>
                <c:pt idx="9">
                  <c:v>0.7234666666666667</c:v>
                </c:pt>
                <c:pt idx="10">
                  <c:v>0.88250666666666666</c:v>
                </c:pt>
                <c:pt idx="11">
                  <c:v>0.57674666666666674</c:v>
                </c:pt>
                <c:pt idx="12">
                  <c:v>0.56997333333333333</c:v>
                </c:pt>
                <c:pt idx="13">
                  <c:v>1.6766399999999999</c:v>
                </c:pt>
                <c:pt idx="14">
                  <c:v>1.5224533333333334</c:v>
                </c:pt>
                <c:pt idx="15">
                  <c:v>2.3494933333333332</c:v>
                </c:pt>
                <c:pt idx="16">
                  <c:v>0.16208</c:v>
                </c:pt>
                <c:pt idx="17">
                  <c:v>1.3961066666666666</c:v>
                </c:pt>
                <c:pt idx="18">
                  <c:v>1.8669866666666666</c:v>
                </c:pt>
                <c:pt idx="19">
                  <c:v>0.57589333333333337</c:v>
                </c:pt>
              </c:numCache>
            </c:numRef>
          </c:val>
        </c:ser>
        <c:ser>
          <c:idx val="1"/>
          <c:order val="1"/>
          <c:tx>
            <c:strRef>
              <c:f>'Nov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'Nov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'Nov 10'!$F$16:$Y$16</c:f>
              <c:numCache>
                <c:formatCode>0.0%</c:formatCode>
                <c:ptCount val="20"/>
                <c:pt idx="0">
                  <c:v>0.83323076923076922</c:v>
                </c:pt>
                <c:pt idx="1">
                  <c:v>0.31969230769230772</c:v>
                </c:pt>
                <c:pt idx="2">
                  <c:v>0.83889230769230771</c:v>
                </c:pt>
                <c:pt idx="3">
                  <c:v>0.46092307692307688</c:v>
                </c:pt>
                <c:pt idx="4">
                  <c:v>0.12307692307692308</c:v>
                </c:pt>
                <c:pt idx="5">
                  <c:v>0.41230769230769226</c:v>
                </c:pt>
                <c:pt idx="6">
                  <c:v>0.66153846153846152</c:v>
                </c:pt>
                <c:pt idx="7">
                  <c:v>0.40584615384615386</c:v>
                </c:pt>
                <c:pt idx="8">
                  <c:v>0.50430769230769235</c:v>
                </c:pt>
                <c:pt idx="9">
                  <c:v>0.55661538461538462</c:v>
                </c:pt>
                <c:pt idx="10">
                  <c:v>0.24615384615384617</c:v>
                </c:pt>
                <c:pt idx="11">
                  <c:v>0.22738461538461541</c:v>
                </c:pt>
                <c:pt idx="12">
                  <c:v>0.2304615384615385</c:v>
                </c:pt>
                <c:pt idx="13">
                  <c:v>0.62676923076923075</c:v>
                </c:pt>
                <c:pt idx="14">
                  <c:v>0.69661538461538464</c:v>
                </c:pt>
                <c:pt idx="15">
                  <c:v>0.16584615384615387</c:v>
                </c:pt>
                <c:pt idx="16">
                  <c:v>0.16584615384615387</c:v>
                </c:pt>
                <c:pt idx="17">
                  <c:v>0.42984615384615388</c:v>
                </c:pt>
                <c:pt idx="18">
                  <c:v>0.31969230769230772</c:v>
                </c:pt>
                <c:pt idx="19">
                  <c:v>1.1867692307692308</c:v>
                </c:pt>
              </c:numCache>
            </c:numRef>
          </c:val>
        </c:ser>
        <c:ser>
          <c:idx val="2"/>
          <c:order val="2"/>
          <c:tx>
            <c:strRef>
              <c:f>'Nov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'Nov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'Nov 10'!$F$17:$Y$17</c:f>
              <c:numCache>
                <c:formatCode>0.0%</c:formatCode>
                <c:ptCount val="20"/>
                <c:pt idx="0">
                  <c:v>0.84235294117647053</c:v>
                </c:pt>
                <c:pt idx="1">
                  <c:v>1.0985098039215686</c:v>
                </c:pt>
                <c:pt idx="2">
                  <c:v>1.0636078431372549</c:v>
                </c:pt>
                <c:pt idx="3">
                  <c:v>0.56909803921568636</c:v>
                </c:pt>
                <c:pt idx="4">
                  <c:v>0.289760348583878</c:v>
                </c:pt>
                <c:pt idx="5">
                  <c:v>0.21132897603485834</c:v>
                </c:pt>
                <c:pt idx="6">
                  <c:v>0.80348583877995639</c:v>
                </c:pt>
                <c:pt idx="7">
                  <c:v>0.97098039215686271</c:v>
                </c:pt>
                <c:pt idx="8">
                  <c:v>0.93725490196078431</c:v>
                </c:pt>
                <c:pt idx="9">
                  <c:v>1.4214379084967321</c:v>
                </c:pt>
                <c:pt idx="10">
                  <c:v>1.363843137254902</c:v>
                </c:pt>
                <c:pt idx="11">
                  <c:v>1.5262745098039217</c:v>
                </c:pt>
                <c:pt idx="12">
                  <c:v>1.0929411764705883</c:v>
                </c:pt>
                <c:pt idx="13">
                  <c:v>0.77568627450980387</c:v>
                </c:pt>
                <c:pt idx="14">
                  <c:v>1.2137254901960783</c:v>
                </c:pt>
                <c:pt idx="15">
                  <c:v>0.58745098039215682</c:v>
                </c:pt>
                <c:pt idx="16">
                  <c:v>0.42274509803921567</c:v>
                </c:pt>
                <c:pt idx="17">
                  <c:v>0.5050980392156863</c:v>
                </c:pt>
                <c:pt idx="18">
                  <c:v>0</c:v>
                </c:pt>
                <c:pt idx="19">
                  <c:v>1.111764705882353</c:v>
                </c:pt>
              </c:numCache>
            </c:numRef>
          </c:val>
        </c:ser>
        <c:ser>
          <c:idx val="3"/>
          <c:order val="3"/>
          <c:tx>
            <c:strRef>
              <c:f>'Nov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'Nov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'Nov 10'!$F$18:$Y$18</c:f>
              <c:numCache>
                <c:formatCode>0.0%</c:formatCode>
                <c:ptCount val="20"/>
                <c:pt idx="0">
                  <c:v>1.1755744680851063</c:v>
                </c:pt>
                <c:pt idx="1">
                  <c:v>0.90340425531914881</c:v>
                </c:pt>
                <c:pt idx="2">
                  <c:v>1.2892765957446808</c:v>
                </c:pt>
                <c:pt idx="3">
                  <c:v>1.8314063310845876</c:v>
                </c:pt>
                <c:pt idx="4">
                  <c:v>1.1581214322781526</c:v>
                </c:pt>
                <c:pt idx="5">
                  <c:v>0.51359626362221067</c:v>
                </c:pt>
                <c:pt idx="6">
                  <c:v>0.86388168137000521</c:v>
                </c:pt>
                <c:pt idx="7">
                  <c:v>0.95059678256357028</c:v>
                </c:pt>
                <c:pt idx="8">
                  <c:v>1.0681370005189414</c:v>
                </c:pt>
                <c:pt idx="9">
                  <c:v>1.7779968863518423</c:v>
                </c:pt>
                <c:pt idx="10">
                  <c:v>0.24953191489361704</c:v>
                </c:pt>
                <c:pt idx="11">
                  <c:v>0.62510638297872334</c:v>
                </c:pt>
                <c:pt idx="12">
                  <c:v>0.90765957446808498</c:v>
                </c:pt>
                <c:pt idx="13">
                  <c:v>0.96195744680851059</c:v>
                </c:pt>
                <c:pt idx="14">
                  <c:v>0.65931914893617027</c:v>
                </c:pt>
                <c:pt idx="15">
                  <c:v>1.3325106382978724</c:v>
                </c:pt>
                <c:pt idx="16">
                  <c:v>1.6601702127659574</c:v>
                </c:pt>
                <c:pt idx="17">
                  <c:v>0.7770212765957446</c:v>
                </c:pt>
                <c:pt idx="18">
                  <c:v>0.73004255319148925</c:v>
                </c:pt>
                <c:pt idx="19">
                  <c:v>1.2199148936170212</c:v>
                </c:pt>
              </c:numCache>
            </c:numRef>
          </c:val>
        </c:ser>
        <c:ser>
          <c:idx val="4"/>
          <c:order val="4"/>
          <c:tx>
            <c:strRef>
              <c:f>'Nov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'Nov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'Nov 10'!$F$19:$Y$19</c:f>
              <c:numCache>
                <c:formatCode>0.0%</c:formatCode>
                <c:ptCount val="20"/>
                <c:pt idx="0">
                  <c:v>0.9387530610692828</c:v>
                </c:pt>
                <c:pt idx="1">
                  <c:v>0.87363297589170275</c:v>
                </c:pt>
                <c:pt idx="2">
                  <c:v>0.97673222298273621</c:v>
                </c:pt>
                <c:pt idx="3">
                  <c:v>0.92281694425431604</c:v>
                </c:pt>
                <c:pt idx="4">
                  <c:v>0.84152407027150355</c:v>
                </c:pt>
                <c:pt idx="5">
                  <c:v>0.66464369914061905</c:v>
                </c:pt>
                <c:pt idx="6">
                  <c:v>0.98516997490303448</c:v>
                </c:pt>
                <c:pt idx="7">
                  <c:v>0.85399650163510532</c:v>
                </c:pt>
                <c:pt idx="8">
                  <c:v>0.83356909270666968</c:v>
                </c:pt>
                <c:pt idx="9">
                  <c:v>1.1131340786371586</c:v>
                </c:pt>
                <c:pt idx="10">
                  <c:v>0.62370644155449084</c:v>
                </c:pt>
                <c:pt idx="11">
                  <c:v>0.67029888204426191</c:v>
                </c:pt>
                <c:pt idx="12">
                  <c:v>0.67631150657844707</c:v>
                </c:pt>
                <c:pt idx="13">
                  <c:v>1.0504208685071108</c:v>
                </c:pt>
                <c:pt idx="14">
                  <c:v>1.0114621644231501</c:v>
                </c:pt>
                <c:pt idx="15">
                  <c:v>1.2041444976804319</c:v>
                </c:pt>
                <c:pt idx="16">
                  <c:v>0.64760027378507867</c:v>
                </c:pt>
                <c:pt idx="17">
                  <c:v>0.82030876872765979</c:v>
                </c:pt>
                <c:pt idx="18">
                  <c:v>0.82544558521560574</c:v>
                </c:pt>
                <c:pt idx="19">
                  <c:v>1.0091757548102516</c:v>
                </c:pt>
              </c:numCache>
            </c:numRef>
          </c:val>
        </c:ser>
        <c:gapWidth val="75"/>
        <c:axId val="127196160"/>
        <c:axId val="127288064"/>
      </c:barChart>
      <c:catAx>
        <c:axId val="1271961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288064"/>
        <c:crosses val="autoZero"/>
        <c:auto val="1"/>
        <c:lblAlgn val="ctr"/>
        <c:lblOffset val="100"/>
      </c:catAx>
      <c:valAx>
        <c:axId val="1272880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196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November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'Nov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'Nov 10'!$F$31:$W$31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10'!$F$32:$W$32</c:f>
              <c:numCache>
                <c:formatCode>0.0%</c:formatCode>
                <c:ptCount val="18"/>
                <c:pt idx="0">
                  <c:v>0.96975999999999996</c:v>
                </c:pt>
                <c:pt idx="1">
                  <c:v>1.0776266666666667</c:v>
                </c:pt>
                <c:pt idx="2">
                  <c:v>0.95902222222222233</c:v>
                </c:pt>
                <c:pt idx="3">
                  <c:v>0.83122666666666667</c:v>
                </c:pt>
                <c:pt idx="4">
                  <c:v>0.96708266666666665</c:v>
                </c:pt>
                <c:pt idx="5">
                  <c:v>1.0458933333333333</c:v>
                </c:pt>
                <c:pt idx="6">
                  <c:v>1.0884114285714286</c:v>
                </c:pt>
                <c:pt idx="7">
                  <c:v>1.0863</c:v>
                </c:pt>
                <c:pt idx="8">
                  <c:v>1.0560888888888891</c:v>
                </c:pt>
                <c:pt idx="9">
                  <c:v>1.0484</c:v>
                </c:pt>
                <c:pt idx="10">
                  <c:v>1.0333187878787877</c:v>
                </c:pt>
                <c:pt idx="11">
                  <c:v>0.995271111111111</c:v>
                </c:pt>
                <c:pt idx="12">
                  <c:v>0.9511302564102565</c:v>
                </c:pt>
                <c:pt idx="13">
                  <c:v>0.99166857142857134</c:v>
                </c:pt>
                <c:pt idx="14">
                  <c:v>1.0270542222222221</c:v>
                </c:pt>
                <c:pt idx="15">
                  <c:v>1.1097066666666666</c:v>
                </c:pt>
                <c:pt idx="16">
                  <c:v>1.0539639215686274</c:v>
                </c:pt>
                <c:pt idx="17">
                  <c:v>1.0729718518518518</c:v>
                </c:pt>
              </c:numCache>
            </c:numRef>
          </c:val>
        </c:ser>
        <c:ser>
          <c:idx val="1"/>
          <c:order val="1"/>
          <c:tx>
            <c:strRef>
              <c:f>'Nov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'Nov 10'!$F$31:$W$31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10'!$F$33:$W$33</c:f>
              <c:numCache>
                <c:formatCode>0.0%</c:formatCode>
                <c:ptCount val="18"/>
                <c:pt idx="0">
                  <c:v>0.16596923076923076</c:v>
                </c:pt>
                <c:pt idx="1">
                  <c:v>0.24883076923076924</c:v>
                </c:pt>
                <c:pt idx="2">
                  <c:v>0.34315897435897436</c:v>
                </c:pt>
                <c:pt idx="3">
                  <c:v>0.4049076923076923</c:v>
                </c:pt>
                <c:pt idx="4">
                  <c:v>0.51516307692307695</c:v>
                </c:pt>
                <c:pt idx="5">
                  <c:v>0.3591692307692308</c:v>
                </c:pt>
                <c:pt idx="6">
                  <c:v>0.40236483516483518</c:v>
                </c:pt>
                <c:pt idx="7">
                  <c:v>0.40279999999999999</c:v>
                </c:pt>
                <c:pt idx="8">
                  <c:v>0.41407863247863252</c:v>
                </c:pt>
                <c:pt idx="9">
                  <c:v>0.42833230769230768</c:v>
                </c:pt>
                <c:pt idx="10">
                  <c:v>0.4117706293706293</c:v>
                </c:pt>
                <c:pt idx="11">
                  <c:v>0.39640512820512819</c:v>
                </c:pt>
                <c:pt idx="12">
                  <c:v>0.38364023668639047</c:v>
                </c:pt>
                <c:pt idx="13">
                  <c:v>0.40100659340659345</c:v>
                </c:pt>
                <c:pt idx="14">
                  <c:v>0.42071384615384616</c:v>
                </c:pt>
                <c:pt idx="15">
                  <c:v>0.40478461538461541</c:v>
                </c:pt>
                <c:pt idx="16">
                  <c:v>0.39072941176470583</c:v>
                </c:pt>
                <c:pt idx="17">
                  <c:v>0.39290256410256413</c:v>
                </c:pt>
              </c:numCache>
            </c:numRef>
          </c:val>
        </c:ser>
        <c:ser>
          <c:idx val="2"/>
          <c:order val="2"/>
          <c:tx>
            <c:strRef>
              <c:f>'Nov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'Nov 10'!$F$31:$W$31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10'!$F$34:$W$34</c:f>
              <c:numCache>
                <c:formatCode>0.0%</c:formatCode>
                <c:ptCount val="18"/>
                <c:pt idx="0">
                  <c:v>0.57960784313725489</c:v>
                </c:pt>
                <c:pt idx="1">
                  <c:v>0.83905882352941175</c:v>
                </c:pt>
                <c:pt idx="2">
                  <c:v>0.91390849673202612</c:v>
                </c:pt>
                <c:pt idx="3">
                  <c:v>0.82421568627450981</c:v>
                </c:pt>
                <c:pt idx="4">
                  <c:v>0.76988235294117646</c:v>
                </c:pt>
                <c:pt idx="5">
                  <c:v>0.66823529411764704</c:v>
                </c:pt>
                <c:pt idx="6">
                  <c:v>0.66402738873327105</c:v>
                </c:pt>
                <c:pt idx="7">
                  <c:v>0.62803921568627452</c:v>
                </c:pt>
                <c:pt idx="8">
                  <c:v>0.72850157346889366</c:v>
                </c:pt>
                <c:pt idx="9">
                  <c:v>0.79780392156862745</c:v>
                </c:pt>
                <c:pt idx="10">
                  <c:v>0.8492620320855615</c:v>
                </c:pt>
                <c:pt idx="11">
                  <c:v>0.90567973856209161</c:v>
                </c:pt>
                <c:pt idx="12">
                  <c:v>0.92008446455505288</c:v>
                </c:pt>
                <c:pt idx="13">
                  <c:v>0.90977030812324933</c:v>
                </c:pt>
                <c:pt idx="14">
                  <c:v>0.91594248366013076</c:v>
                </c:pt>
                <c:pt idx="15">
                  <c:v>0.91842647058823534</c:v>
                </c:pt>
                <c:pt idx="16">
                  <c:v>0.88744841727540691</c:v>
                </c:pt>
                <c:pt idx="17">
                  <c:v>0.84966884531590414</c:v>
                </c:pt>
              </c:numCache>
            </c:numRef>
          </c:val>
        </c:ser>
        <c:ser>
          <c:idx val="3"/>
          <c:order val="3"/>
          <c:tx>
            <c:strRef>
              <c:f>'Nov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'Nov 10'!$F$31:$W$31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10'!$F$35:$W$35</c:f>
              <c:numCache>
                <c:formatCode>0.0%</c:formatCode>
                <c:ptCount val="18"/>
                <c:pt idx="0">
                  <c:v>0.77736170212765943</c:v>
                </c:pt>
                <c:pt idx="1">
                  <c:v>0.83297872340425516</c:v>
                </c:pt>
                <c:pt idx="2">
                  <c:v>0.94978723404255305</c:v>
                </c:pt>
                <c:pt idx="3">
                  <c:v>1.1786403736377788</c:v>
                </c:pt>
                <c:pt idx="4">
                  <c:v>1.1839231966787753</c:v>
                </c:pt>
                <c:pt idx="5">
                  <c:v>1.0840252551461687</c:v>
                </c:pt>
                <c:pt idx="6">
                  <c:v>1.0525835866261397</c:v>
                </c:pt>
                <c:pt idx="7">
                  <c:v>1.0398352361183187</c:v>
                </c:pt>
                <c:pt idx="8">
                  <c:v>1.0429856426223836</c:v>
                </c:pt>
                <c:pt idx="9">
                  <c:v>1.1037778930980799</c:v>
                </c:pt>
                <c:pt idx="10">
                  <c:v>1.0217640232108318</c:v>
                </c:pt>
                <c:pt idx="11">
                  <c:v>0.979886524822695</c:v>
                </c:pt>
                <c:pt idx="12">
                  <c:v>0.96987234042553183</c:v>
                </c:pt>
                <c:pt idx="13">
                  <c:v>0.96930091185410316</c:v>
                </c:pt>
                <c:pt idx="14">
                  <c:v>0.97634609929077998</c:v>
                </c:pt>
                <c:pt idx="15">
                  <c:v>0.91532446808510615</c:v>
                </c:pt>
                <c:pt idx="16">
                  <c:v>0.88880100125156436</c:v>
                </c:pt>
                <c:pt idx="17">
                  <c:v>0.88113475177304945</c:v>
                </c:pt>
              </c:numCache>
            </c:numRef>
          </c:val>
        </c:ser>
        <c:ser>
          <c:idx val="4"/>
          <c:order val="4"/>
          <c:tx>
            <c:strRef>
              <c:f>'Nov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'Nov 10'!$F$31:$W$31</c:f>
              <c:strCache>
                <c:ptCount val="1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</c:strCache>
            </c:strRef>
          </c:cat>
          <c:val>
            <c:numRef>
              <c:f>'Nov 10'!$F$36:$W$36</c:f>
              <c:numCache>
                <c:formatCode>0.0%</c:formatCode>
                <c:ptCount val="18"/>
                <c:pt idx="0">
                  <c:v>0.64660065404213241</c:v>
                </c:pt>
                <c:pt idx="1">
                  <c:v>0.75942961441934753</c:v>
                </c:pt>
                <c:pt idx="2">
                  <c:v>0.79622024488554266</c:v>
                </c:pt>
                <c:pt idx="3">
                  <c:v>0.82645866605825535</c:v>
                </c:pt>
                <c:pt idx="4">
                  <c:v>0.8845204958551981</c:v>
                </c:pt>
                <c:pt idx="5">
                  <c:v>0.82141861231525859</c:v>
                </c:pt>
                <c:pt idx="6">
                  <c:v>0.83427093858305346</c:v>
                </c:pt>
                <c:pt idx="7">
                  <c:v>0.82375846071944636</c:v>
                </c:pt>
                <c:pt idx="8">
                  <c:v>0.83638806499860574</c:v>
                </c:pt>
                <c:pt idx="9">
                  <c:v>0.86763251958323828</c:v>
                </c:pt>
                <c:pt idx="10">
                  <c:v>0.84418091939241824</c:v>
                </c:pt>
                <c:pt idx="11">
                  <c:v>0.82710479884401844</c:v>
                </c:pt>
                <c:pt idx="12">
                  <c:v>0.81094007733843465</c:v>
                </c:pt>
                <c:pt idx="13">
                  <c:v>0.8248260052366827</c:v>
                </c:pt>
                <c:pt idx="14">
                  <c:v>0.84293096052931771</c:v>
                </c:pt>
                <c:pt idx="15">
                  <c:v>0.84511363982051857</c:v>
                </c:pt>
                <c:pt idx="16">
                  <c:v>0.81256129520026132</c:v>
                </c:pt>
                <c:pt idx="17">
                  <c:v>0.80967838703407935</c:v>
                </c:pt>
              </c:numCache>
            </c:numRef>
          </c:val>
        </c:ser>
        <c:marker val="1"/>
        <c:axId val="127314944"/>
        <c:axId val="127337216"/>
      </c:lineChart>
      <c:catAx>
        <c:axId val="1273149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337216"/>
        <c:crosses val="autoZero"/>
        <c:auto val="1"/>
        <c:lblAlgn val="ctr"/>
        <c:lblOffset val="100"/>
      </c:catAx>
      <c:valAx>
        <c:axId val="12733721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31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11944646758901"/>
          <c:y val="0.91398052662772"/>
          <c:w val="0.3233794610342512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December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'Dec 10'!$B$44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10'!$F$44:$Y$44</c:f>
              <c:numCache>
                <c:formatCode>0</c:formatCode>
                <c:ptCount val="20"/>
                <c:pt idx="0">
                  <c:v>442180</c:v>
                </c:pt>
                <c:pt idx="1">
                  <c:v>429760</c:v>
                </c:pt>
                <c:pt idx="2">
                  <c:v>384786.66666666663</c:v>
                </c:pt>
                <c:pt idx="3">
                  <c:v>387315</c:v>
                </c:pt>
                <c:pt idx="4">
                  <c:v>371676</c:v>
                </c:pt>
                <c:pt idx="5">
                  <c:v>370803.33333333337</c:v>
                </c:pt>
                <c:pt idx="6">
                  <c:v>352037.14285714284</c:v>
                </c:pt>
                <c:pt idx="7">
                  <c:v>323227.5</c:v>
                </c:pt>
                <c:pt idx="8">
                  <c:v>325620</c:v>
                </c:pt>
                <c:pt idx="9">
                  <c:v>293058</c:v>
                </c:pt>
                <c:pt idx="10">
                  <c:v>266416.36363636365</c:v>
                </c:pt>
                <c:pt idx="11">
                  <c:v>276263.33333333331</c:v>
                </c:pt>
                <c:pt idx="12">
                  <c:v>272943.07692307694</c:v>
                </c:pt>
                <c:pt idx="13">
                  <c:v>281698.57142857142</c:v>
                </c:pt>
                <c:pt idx="14">
                  <c:v>281384</c:v>
                </c:pt>
                <c:pt idx="15">
                  <c:v>307280</c:v>
                </c:pt>
                <c:pt idx="16">
                  <c:v>289204.70588235295</c:v>
                </c:pt>
                <c:pt idx="17">
                  <c:v>279334.44444444444</c:v>
                </c:pt>
                <c:pt idx="18">
                  <c:v>286836.84210526315</c:v>
                </c:pt>
                <c:pt idx="19">
                  <c:v>355896</c:v>
                </c:pt>
              </c:numCache>
            </c:numRef>
          </c:val>
        </c:ser>
        <c:ser>
          <c:idx val="1"/>
          <c:order val="1"/>
          <c:tx>
            <c:strRef>
              <c:f>'Dec 10'!$B$45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10'!$F$45:$Y$45</c:f>
              <c:numCache>
                <c:formatCode>0</c:formatCode>
                <c:ptCount val="20"/>
                <c:pt idx="0">
                  <c:v>323700</c:v>
                </c:pt>
                <c:pt idx="1">
                  <c:v>402200</c:v>
                </c:pt>
                <c:pt idx="2">
                  <c:v>328400</c:v>
                </c:pt>
                <c:pt idx="3">
                  <c:v>277275</c:v>
                </c:pt>
                <c:pt idx="4">
                  <c:v>265780</c:v>
                </c:pt>
                <c:pt idx="5">
                  <c:v>237466.66666666669</c:v>
                </c:pt>
                <c:pt idx="6">
                  <c:v>278314.28571428574</c:v>
                </c:pt>
                <c:pt idx="7">
                  <c:v>291225</c:v>
                </c:pt>
                <c:pt idx="8">
                  <c:v>258866.66666666669</c:v>
                </c:pt>
                <c:pt idx="9">
                  <c:v>232980</c:v>
                </c:pt>
                <c:pt idx="10">
                  <c:v>227236.36363636365</c:v>
                </c:pt>
                <c:pt idx="11">
                  <c:v>223808.33333333331</c:v>
                </c:pt>
                <c:pt idx="12">
                  <c:v>206592.30769230769</c:v>
                </c:pt>
                <c:pt idx="13">
                  <c:v>202878.57142857142</c:v>
                </c:pt>
                <c:pt idx="14">
                  <c:v>189353.33333333331</c:v>
                </c:pt>
                <c:pt idx="15">
                  <c:v>201000</c:v>
                </c:pt>
                <c:pt idx="16">
                  <c:v>224976.47058823527</c:v>
                </c:pt>
                <c:pt idx="17">
                  <c:v>226016.66666666669</c:v>
                </c:pt>
                <c:pt idx="18">
                  <c:v>226957.89473684211</c:v>
                </c:pt>
                <c:pt idx="19">
                  <c:v>196235</c:v>
                </c:pt>
              </c:numCache>
            </c:numRef>
          </c:val>
        </c:ser>
        <c:ser>
          <c:idx val="2"/>
          <c:order val="2"/>
          <c:tx>
            <c:strRef>
              <c:f>'Dec 10'!$B$46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10'!$F$46:$Y$46</c:f>
              <c:numCache>
                <c:formatCode>0</c:formatCode>
                <c:ptCount val="20"/>
                <c:pt idx="0">
                  <c:v>208350</c:v>
                </c:pt>
                <c:pt idx="1">
                  <c:v>174780</c:v>
                </c:pt>
                <c:pt idx="2">
                  <c:v>126624.00000000001</c:v>
                </c:pt>
                <c:pt idx="3">
                  <c:v>105543.00000000001</c:v>
                </c:pt>
                <c:pt idx="4">
                  <c:v>116796</c:v>
                </c:pt>
                <c:pt idx="5">
                  <c:v>144220</c:v>
                </c:pt>
                <c:pt idx="6">
                  <c:v>131440</c:v>
                </c:pt>
                <c:pt idx="7">
                  <c:v>155560</c:v>
                </c:pt>
                <c:pt idx="8">
                  <c:v>164486.66666666669</c:v>
                </c:pt>
                <c:pt idx="9">
                  <c:v>165128</c:v>
                </c:pt>
                <c:pt idx="10">
                  <c:v>172236.36363636365</c:v>
                </c:pt>
                <c:pt idx="11">
                  <c:v>165075</c:v>
                </c:pt>
                <c:pt idx="12">
                  <c:v>165801.53846153847</c:v>
                </c:pt>
                <c:pt idx="13">
                  <c:v>161030</c:v>
                </c:pt>
                <c:pt idx="14">
                  <c:v>170561.33333333334</c:v>
                </c:pt>
                <c:pt idx="15">
                  <c:v>166477.5</c:v>
                </c:pt>
                <c:pt idx="16">
                  <c:v>156684.70588235295</c:v>
                </c:pt>
                <c:pt idx="17">
                  <c:v>158395.55555555556</c:v>
                </c:pt>
                <c:pt idx="18">
                  <c:v>161696.84210526315</c:v>
                </c:pt>
                <c:pt idx="19">
                  <c:v>150989</c:v>
                </c:pt>
              </c:numCache>
            </c:numRef>
          </c:val>
        </c:ser>
        <c:ser>
          <c:idx val="3"/>
          <c:order val="3"/>
          <c:tx>
            <c:strRef>
              <c:f>'Dec 10'!$B$47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10'!$F$47:$Y$47</c:f>
              <c:numCache>
                <c:formatCode>0</c:formatCode>
                <c:ptCount val="20"/>
                <c:pt idx="0">
                  <c:v>60000</c:v>
                </c:pt>
                <c:pt idx="1">
                  <c:v>30000</c:v>
                </c:pt>
                <c:pt idx="2">
                  <c:v>20000</c:v>
                </c:pt>
                <c:pt idx="3">
                  <c:v>15000</c:v>
                </c:pt>
                <c:pt idx="4">
                  <c:v>12000</c:v>
                </c:pt>
                <c:pt idx="5">
                  <c:v>10000</c:v>
                </c:pt>
                <c:pt idx="6">
                  <c:v>8571.4285714285706</c:v>
                </c:pt>
                <c:pt idx="7">
                  <c:v>7500</c:v>
                </c:pt>
                <c:pt idx="8">
                  <c:v>6666.6666666666661</c:v>
                </c:pt>
                <c:pt idx="9">
                  <c:v>6000</c:v>
                </c:pt>
                <c:pt idx="10">
                  <c:v>5454.545454545455</c:v>
                </c:pt>
                <c:pt idx="11">
                  <c:v>5000</c:v>
                </c:pt>
                <c:pt idx="12">
                  <c:v>4615.3846153846152</c:v>
                </c:pt>
                <c:pt idx="13">
                  <c:v>4285.7142857142853</c:v>
                </c:pt>
                <c:pt idx="14">
                  <c:v>4000</c:v>
                </c:pt>
                <c:pt idx="15">
                  <c:v>3750</c:v>
                </c:pt>
                <c:pt idx="16">
                  <c:v>4705.8823529411766</c:v>
                </c:pt>
                <c:pt idx="17">
                  <c:v>9772.2222222222226</c:v>
                </c:pt>
                <c:pt idx="18">
                  <c:v>9257.894736842105</c:v>
                </c:pt>
                <c:pt idx="19">
                  <c:v>4000</c:v>
                </c:pt>
              </c:numCache>
            </c:numRef>
          </c:val>
        </c:ser>
        <c:ser>
          <c:idx val="4"/>
          <c:order val="4"/>
          <c:tx>
            <c:strRef>
              <c:f>'Dec 10'!$B$48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10'!$F$48:$Y$48</c:f>
              <c:numCache>
                <c:formatCode>0</c:formatCode>
                <c:ptCount val="20"/>
                <c:pt idx="0">
                  <c:v>958809.59999999986</c:v>
                </c:pt>
                <c:pt idx="1">
                  <c:v>679911.2</c:v>
                </c:pt>
                <c:pt idx="2">
                  <c:v>564324</c:v>
                </c:pt>
                <c:pt idx="3">
                  <c:v>512680.39999999991</c:v>
                </c:pt>
                <c:pt idx="4">
                  <c:v>506928</c:v>
                </c:pt>
                <c:pt idx="5">
                  <c:v>497040</c:v>
                </c:pt>
                <c:pt idx="6">
                  <c:v>466905.71428571426</c:v>
                </c:pt>
                <c:pt idx="7">
                  <c:v>482885</c:v>
                </c:pt>
                <c:pt idx="8">
                  <c:v>491168.88888888888</c:v>
                </c:pt>
                <c:pt idx="9">
                  <c:v>474750</c:v>
                </c:pt>
                <c:pt idx="10">
                  <c:v>465760</c:v>
                </c:pt>
                <c:pt idx="11">
                  <c:v>481538.33333333337</c:v>
                </c:pt>
                <c:pt idx="12">
                  <c:v>470195.38461538462</c:v>
                </c:pt>
                <c:pt idx="13">
                  <c:v>447775.71428571426</c:v>
                </c:pt>
                <c:pt idx="14">
                  <c:v>430333.33333333337</c:v>
                </c:pt>
                <c:pt idx="15">
                  <c:v>425378.75</c:v>
                </c:pt>
                <c:pt idx="16">
                  <c:v>398476.4705882353</c:v>
                </c:pt>
                <c:pt idx="17">
                  <c:v>386075.55555555556</c:v>
                </c:pt>
                <c:pt idx="18">
                  <c:v>377818.94736842107</c:v>
                </c:pt>
                <c:pt idx="19">
                  <c:v>356560</c:v>
                </c:pt>
              </c:numCache>
            </c:numRef>
          </c:val>
        </c:ser>
        <c:ser>
          <c:idx val="5"/>
          <c:order val="5"/>
          <c:tx>
            <c:strRef>
              <c:f>'Dec 10'!$B$49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'Dec 10'!$F$43:$Y$43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10'!$F$49:$Y$49</c:f>
              <c:numCache>
                <c:formatCode>0</c:formatCode>
                <c:ptCount val="20"/>
                <c:pt idx="0">
                  <c:v>1993039.5999999999</c:v>
                </c:pt>
                <c:pt idx="1">
                  <c:v>1716651.2</c:v>
                </c:pt>
                <c:pt idx="2">
                  <c:v>1424134.6666666665</c:v>
                </c:pt>
                <c:pt idx="3">
                  <c:v>1297813.3999999999</c:v>
                </c:pt>
                <c:pt idx="4">
                  <c:v>1273180</c:v>
                </c:pt>
                <c:pt idx="5">
                  <c:v>1259530</c:v>
                </c:pt>
                <c:pt idx="6">
                  <c:v>1237268.5714285714</c:v>
                </c:pt>
                <c:pt idx="7">
                  <c:v>1260397.5</c:v>
                </c:pt>
                <c:pt idx="8">
                  <c:v>1246808.888888889</c:v>
                </c:pt>
                <c:pt idx="9">
                  <c:v>1171916</c:v>
                </c:pt>
                <c:pt idx="10">
                  <c:v>1137103.6363636362</c:v>
                </c:pt>
                <c:pt idx="11">
                  <c:v>1151685</c:v>
                </c:pt>
                <c:pt idx="12">
                  <c:v>1120147.6923076925</c:v>
                </c:pt>
                <c:pt idx="13">
                  <c:v>1097668.5714285714</c:v>
                </c:pt>
                <c:pt idx="14">
                  <c:v>1075632</c:v>
                </c:pt>
                <c:pt idx="15">
                  <c:v>1103886.25</c:v>
                </c:pt>
                <c:pt idx="16">
                  <c:v>1074048.2352941176</c:v>
                </c:pt>
                <c:pt idx="17">
                  <c:v>1059594.4444444445</c:v>
                </c:pt>
                <c:pt idx="18">
                  <c:v>1062568.4210526317</c:v>
                </c:pt>
                <c:pt idx="19">
                  <c:v>1063680</c:v>
                </c:pt>
              </c:numCache>
            </c:numRef>
          </c:val>
        </c:ser>
        <c:marker val="1"/>
        <c:axId val="127435520"/>
        <c:axId val="127437056"/>
      </c:lineChart>
      <c:catAx>
        <c:axId val="1274355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437056"/>
        <c:crosses val="autoZero"/>
        <c:auto val="1"/>
        <c:lblAlgn val="ctr"/>
        <c:lblOffset val="100"/>
      </c:catAx>
      <c:valAx>
        <c:axId val="12743705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43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970783257355993"/>
          <c:y val="0.92826178249459435"/>
          <c:w val="0.39254416662829938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December Daily Performance % vs Budget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'Dec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10'!$F$16:$Y$16</c:f>
              <c:numCache>
                <c:formatCode>0.0%</c:formatCode>
                <c:ptCount val="20"/>
                <c:pt idx="0">
                  <c:v>2.2639230769230769</c:v>
                </c:pt>
                <c:pt idx="1">
                  <c:v>1.6051538461538462</c:v>
                </c:pt>
                <c:pt idx="2">
                  <c:v>1.1339999999999999</c:v>
                </c:pt>
                <c:pt idx="3">
                  <c:v>1.518846153846154</c:v>
                </c:pt>
                <c:pt idx="4">
                  <c:v>1.188923076923077</c:v>
                </c:pt>
                <c:pt idx="5">
                  <c:v>1.4093846153846155</c:v>
                </c:pt>
                <c:pt idx="6">
                  <c:v>1.1763076923076923</c:v>
                </c:pt>
                <c:pt idx="7">
                  <c:v>0.46753846153846157</c:v>
                </c:pt>
                <c:pt idx="8">
                  <c:v>1.3260000000000001</c:v>
                </c:pt>
                <c:pt idx="9">
                  <c:v>0</c:v>
                </c:pt>
                <c:pt idx="10">
                  <c:v>0</c:v>
                </c:pt>
                <c:pt idx="11">
                  <c:v>1.7846153846153845</c:v>
                </c:pt>
                <c:pt idx="12">
                  <c:v>0.89653846153846151</c:v>
                </c:pt>
                <c:pt idx="13">
                  <c:v>1.5212307692307694</c:v>
                </c:pt>
                <c:pt idx="14">
                  <c:v>1.0653076923076923</c:v>
                </c:pt>
                <c:pt idx="15">
                  <c:v>2.2083076923076925</c:v>
                </c:pt>
                <c:pt idx="16">
                  <c:v>0.46753846153846157</c:v>
                </c:pt>
                <c:pt idx="17">
                  <c:v>0.63630769230769224</c:v>
                </c:pt>
                <c:pt idx="18">
                  <c:v>2.5176153846153846</c:v>
                </c:pt>
                <c:pt idx="19">
                  <c:v>2.4558461538461538</c:v>
                </c:pt>
              </c:numCache>
            </c:numRef>
          </c:val>
        </c:ser>
        <c:ser>
          <c:idx val="1"/>
          <c:order val="1"/>
          <c:tx>
            <c:strRef>
              <c:f>'Dec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10'!$F$17:$Y$17</c:f>
              <c:numCache>
                <c:formatCode>0.0%</c:formatCode>
                <c:ptCount val="20"/>
                <c:pt idx="0">
                  <c:v>0.83038461538461539</c:v>
                </c:pt>
                <c:pt idx="1">
                  <c:v>0.92653846153846153</c:v>
                </c:pt>
                <c:pt idx="2">
                  <c:v>0.69538461538461538</c:v>
                </c:pt>
                <c:pt idx="3">
                  <c:v>0.47653846153846158</c:v>
                </c:pt>
                <c:pt idx="4">
                  <c:v>0.92230769230769227</c:v>
                </c:pt>
                <c:pt idx="5">
                  <c:v>0.36884615384615382</c:v>
                </c:pt>
                <c:pt idx="6">
                  <c:v>2.0130769230769232</c:v>
                </c:pt>
                <c:pt idx="7">
                  <c:v>1.4676923076923076</c:v>
                </c:pt>
                <c:pt idx="8">
                  <c:v>0</c:v>
                </c:pt>
                <c:pt idx="9">
                  <c:v>0</c:v>
                </c:pt>
                <c:pt idx="10">
                  <c:v>0.65307692307692311</c:v>
                </c:pt>
                <c:pt idx="11">
                  <c:v>1</c:v>
                </c:pt>
                <c:pt idx="12">
                  <c:v>0</c:v>
                </c:pt>
                <c:pt idx="13">
                  <c:v>0.67153846153846153</c:v>
                </c:pt>
                <c:pt idx="14">
                  <c:v>0.36884615384615382</c:v>
                </c:pt>
                <c:pt idx="15">
                  <c:v>1.1915384615384617</c:v>
                </c:pt>
                <c:pt idx="16">
                  <c:v>2.2253846153846153</c:v>
                </c:pt>
                <c:pt idx="17">
                  <c:v>0.93730769230769229</c:v>
                </c:pt>
                <c:pt idx="18">
                  <c:v>0.93807692307692303</c:v>
                </c:pt>
                <c:pt idx="19">
                  <c:v>0.57615384615384613</c:v>
                </c:pt>
              </c:numCache>
            </c:numRef>
          </c:val>
        </c:ser>
        <c:ser>
          <c:idx val="2"/>
          <c:order val="2"/>
          <c:tx>
            <c:strRef>
              <c:f>'Dec 10'!$B$18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10'!$F$18:$Y$18</c:f>
              <c:numCache>
                <c:formatCode>0.0%</c:formatCode>
                <c:ptCount val="20"/>
                <c:pt idx="0">
                  <c:v>0.30800000000000005</c:v>
                </c:pt>
                <c:pt idx="1">
                  <c:v>0.89657142857142857</c:v>
                </c:pt>
                <c:pt idx="2">
                  <c:v>0.19245714285714288</c:v>
                </c:pt>
                <c:pt idx="3">
                  <c:v>0.30800000000000005</c:v>
                </c:pt>
                <c:pt idx="4">
                  <c:v>1.0274285714285714</c:v>
                </c:pt>
                <c:pt idx="5">
                  <c:v>1.4782222222222221</c:v>
                </c:pt>
                <c:pt idx="6">
                  <c:v>1.2926984126984127</c:v>
                </c:pt>
                <c:pt idx="7">
                  <c:v>2.0532063492063495</c:v>
                </c:pt>
                <c:pt idx="8">
                  <c:v>1.4977777777777779</c:v>
                </c:pt>
                <c:pt idx="9">
                  <c:v>1.0845714285714285</c:v>
                </c:pt>
                <c:pt idx="10">
                  <c:v>1.8528253968253967</c:v>
                </c:pt>
                <c:pt idx="11">
                  <c:v>0.54793650793650794</c:v>
                </c:pt>
                <c:pt idx="12">
                  <c:v>1.107936507936508</c:v>
                </c:pt>
                <c:pt idx="13">
                  <c:v>0.62857142857142856</c:v>
                </c:pt>
                <c:pt idx="14">
                  <c:v>1.9291428571428573</c:v>
                </c:pt>
                <c:pt idx="15">
                  <c:v>0.66793650793650794</c:v>
                </c:pt>
                <c:pt idx="16">
                  <c:v>1.3504761904761904</c:v>
                </c:pt>
                <c:pt idx="17">
                  <c:v>0.99949206349206354</c:v>
                </c:pt>
                <c:pt idx="18">
                  <c:v>1.5942857142857143</c:v>
                </c:pt>
                <c:pt idx="19">
                  <c:v>0.76571428571428568</c:v>
                </c:pt>
              </c:numCache>
            </c:numRef>
          </c:val>
        </c:ser>
        <c:ser>
          <c:idx val="3"/>
          <c:order val="3"/>
          <c:tx>
            <c:strRef>
              <c:f>'Dec 10'!$B$20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10'!$F$20:$Y$20</c:f>
              <c:numCache>
                <c:formatCode>0.0%</c:formatCode>
                <c:ptCount val="20"/>
                <c:pt idx="0">
                  <c:v>1.1482285714285714</c:v>
                </c:pt>
                <c:pt idx="1">
                  <c:v>1.3972571428571428</c:v>
                </c:pt>
                <c:pt idx="2">
                  <c:v>1.1608000000000001</c:v>
                </c:pt>
                <c:pt idx="3">
                  <c:v>1.2465142857142857</c:v>
                </c:pt>
                <c:pt idx="4">
                  <c:v>1.9568641114982577</c:v>
                </c:pt>
                <c:pt idx="5">
                  <c:v>1.5595121951219513</c:v>
                </c:pt>
                <c:pt idx="6">
                  <c:v>0.99686411149825782</c:v>
                </c:pt>
                <c:pt idx="7">
                  <c:v>2.0721951219512196</c:v>
                </c:pt>
                <c:pt idx="8">
                  <c:v>1.938815331010453</c:v>
                </c:pt>
                <c:pt idx="9">
                  <c:v>1.1393031358885017</c:v>
                </c:pt>
                <c:pt idx="10">
                  <c:v>1.3095470383275261</c:v>
                </c:pt>
                <c:pt idx="11">
                  <c:v>2.5589547038327529</c:v>
                </c:pt>
                <c:pt idx="12">
                  <c:v>1.1643902439024389</c:v>
                </c:pt>
                <c:pt idx="13">
                  <c:v>1.0521951219512196</c:v>
                </c:pt>
                <c:pt idx="14">
                  <c:v>1.3041811846689895</c:v>
                </c:pt>
                <c:pt idx="15">
                  <c:v>1.223135888501742</c:v>
                </c:pt>
                <c:pt idx="16">
                  <c:v>0.64968641114982573</c:v>
                </c:pt>
                <c:pt idx="17">
                  <c:v>1.0543554006968641</c:v>
                </c:pt>
                <c:pt idx="18">
                  <c:v>0.43324041811846692</c:v>
                </c:pt>
                <c:pt idx="19">
                  <c:v>2.4613240418118467</c:v>
                </c:pt>
              </c:numCache>
            </c:numRef>
          </c:val>
        </c:ser>
        <c:ser>
          <c:idx val="5"/>
          <c:order val="4"/>
          <c:tx>
            <c:strRef>
              <c:f>'Dec 10'!$B$9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'Dec 10'!$F$19:$Y$19</c:f>
              <c:numCache>
                <c:formatCode>0.0%</c:formatCode>
                <c:ptCount val="20"/>
                <c:pt idx="0">
                  <c:v>3.9999999999928981E-5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</c:v>
                </c:pt>
                <c:pt idx="17">
                  <c:v>1.9180000000000001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5"/>
          <c:tx>
            <c:strRef>
              <c:f>'Dec 10'!$B$21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10'!$F$21:$Y$21</c:f>
              <c:numCache>
                <c:formatCode>0.0%</c:formatCode>
                <c:ptCount val="20"/>
                <c:pt idx="0">
                  <c:v>1.1656713652045341</c:v>
                </c:pt>
                <c:pt idx="1">
                  <c:v>1.1833048792508625</c:v>
                </c:pt>
                <c:pt idx="2">
                  <c:v>0.82710852636766885</c:v>
                </c:pt>
                <c:pt idx="3">
                  <c:v>0.9118379497289304</c:v>
                </c:pt>
                <c:pt idx="4">
                  <c:v>1.2541744701823558</c:v>
                </c:pt>
                <c:pt idx="5">
                  <c:v>1.1264070970921636</c:v>
                </c:pt>
                <c:pt idx="6">
                  <c:v>1.3000887136520454</c:v>
                </c:pt>
                <c:pt idx="7">
                  <c:v>1.4009462789551503</c:v>
                </c:pt>
                <c:pt idx="8">
                  <c:v>1.1208477082306554</c:v>
                </c:pt>
                <c:pt idx="9">
                  <c:v>0.49068506653523902</c:v>
                </c:pt>
                <c:pt idx="10">
                  <c:v>0.8254903893543617</c:v>
                </c:pt>
                <c:pt idx="11">
                  <c:v>1.5226416954164614</c:v>
                </c:pt>
                <c:pt idx="12">
                  <c:v>0.7311779201577131</c:v>
                </c:pt>
                <c:pt idx="13">
                  <c:v>0.95722030556924598</c:v>
                </c:pt>
                <c:pt idx="14">
                  <c:v>1.0359980285855102</c:v>
                </c:pt>
                <c:pt idx="15">
                  <c:v>1.3210448496796452</c:v>
                </c:pt>
                <c:pt idx="16">
                  <c:v>1.1033218334154755</c:v>
                </c:pt>
                <c:pt idx="17">
                  <c:v>0.95126663380975851</c:v>
                </c:pt>
                <c:pt idx="18">
                  <c:v>1.2557121734844752</c:v>
                </c:pt>
                <c:pt idx="19">
                  <c:v>1.5922326269098077</c:v>
                </c:pt>
              </c:numCache>
            </c:numRef>
          </c:val>
        </c:ser>
        <c:gapWidth val="75"/>
        <c:axId val="127472000"/>
        <c:axId val="127473536"/>
      </c:barChart>
      <c:catAx>
        <c:axId val="1274720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473536"/>
        <c:crosses val="autoZero"/>
        <c:auto val="1"/>
        <c:lblAlgn val="ctr"/>
        <c:lblOffset val="100"/>
      </c:catAx>
      <c:valAx>
        <c:axId val="1274735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472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December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'Dec 10'!$B$35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10'!$F$35:$Y$35</c:f>
              <c:numCache>
                <c:formatCode>0.0%</c:formatCode>
                <c:ptCount val="20"/>
                <c:pt idx="0">
                  <c:v>1.7006923076923077</c:v>
                </c:pt>
                <c:pt idx="1">
                  <c:v>1.6529230769230769</c:v>
                </c:pt>
                <c:pt idx="2">
                  <c:v>1.4799487179487179</c:v>
                </c:pt>
                <c:pt idx="3">
                  <c:v>1.4896730769230768</c:v>
                </c:pt>
                <c:pt idx="4">
                  <c:v>1.4295230769230769</c:v>
                </c:pt>
                <c:pt idx="5">
                  <c:v>1.4261666666666668</c:v>
                </c:pt>
                <c:pt idx="6">
                  <c:v>1.3539890109890109</c:v>
                </c:pt>
                <c:pt idx="7">
                  <c:v>1.2431826923076923</c:v>
                </c:pt>
                <c:pt idx="8">
                  <c:v>1.2523846153846154</c:v>
                </c:pt>
                <c:pt idx="9">
                  <c:v>1.1271461538461538</c:v>
                </c:pt>
                <c:pt idx="10">
                  <c:v>1.0246783216783217</c:v>
                </c:pt>
                <c:pt idx="11">
                  <c:v>1.0625512820512819</c:v>
                </c:pt>
                <c:pt idx="12">
                  <c:v>1.0497810650887573</c:v>
                </c:pt>
                <c:pt idx="13">
                  <c:v>1.0834560439560439</c:v>
                </c:pt>
                <c:pt idx="14">
                  <c:v>1.0822461538461539</c:v>
                </c:pt>
                <c:pt idx="15">
                  <c:v>1.1818461538461538</c:v>
                </c:pt>
                <c:pt idx="16">
                  <c:v>1.1123257918552036</c:v>
                </c:pt>
                <c:pt idx="17">
                  <c:v>1.0743632478632479</c:v>
                </c:pt>
                <c:pt idx="18">
                  <c:v>1.1032186234817813</c:v>
                </c:pt>
                <c:pt idx="19">
                  <c:v>1.3688307692307693</c:v>
                </c:pt>
              </c:numCache>
            </c:numRef>
          </c:val>
        </c:ser>
        <c:ser>
          <c:idx val="1"/>
          <c:order val="1"/>
          <c:tx>
            <c:strRef>
              <c:f>'Dec 10'!$B$36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10'!$F$36:$Y$36</c:f>
              <c:numCache>
                <c:formatCode>0.0%</c:formatCode>
                <c:ptCount val="20"/>
                <c:pt idx="0">
                  <c:v>1.2450000000000001</c:v>
                </c:pt>
                <c:pt idx="1">
                  <c:v>1.5469230769230768</c:v>
                </c:pt>
                <c:pt idx="2">
                  <c:v>1.263076923076923</c:v>
                </c:pt>
                <c:pt idx="3">
                  <c:v>1.0664423076923077</c:v>
                </c:pt>
                <c:pt idx="4">
                  <c:v>1.0222307692307693</c:v>
                </c:pt>
                <c:pt idx="5">
                  <c:v>0.91333333333333344</c:v>
                </c:pt>
                <c:pt idx="6">
                  <c:v>1.0704395604395605</c:v>
                </c:pt>
                <c:pt idx="7">
                  <c:v>1.1200961538461538</c:v>
                </c:pt>
                <c:pt idx="8">
                  <c:v>0.99564102564102575</c:v>
                </c:pt>
                <c:pt idx="9">
                  <c:v>0.8960769230769231</c:v>
                </c:pt>
                <c:pt idx="10">
                  <c:v>0.87398601398601405</c:v>
                </c:pt>
                <c:pt idx="11">
                  <c:v>0.86080128205128192</c:v>
                </c:pt>
                <c:pt idx="12">
                  <c:v>0.79458579881656799</c:v>
                </c:pt>
                <c:pt idx="13">
                  <c:v>0.78030219780219778</c:v>
                </c:pt>
                <c:pt idx="14">
                  <c:v>0.72828205128205126</c:v>
                </c:pt>
                <c:pt idx="15">
                  <c:v>0.77307692307692311</c:v>
                </c:pt>
                <c:pt idx="16">
                  <c:v>0.86529411764705877</c:v>
                </c:pt>
                <c:pt idx="17">
                  <c:v>0.86929487179487186</c:v>
                </c:pt>
                <c:pt idx="18">
                  <c:v>0.87291497975708499</c:v>
                </c:pt>
                <c:pt idx="19">
                  <c:v>0.75475000000000003</c:v>
                </c:pt>
              </c:numCache>
            </c:numRef>
          </c:val>
        </c:ser>
        <c:ser>
          <c:idx val="2"/>
          <c:order val="2"/>
          <c:tx>
            <c:strRef>
              <c:f>'Dec 10'!$B$37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10'!$F$37:$Y$37</c:f>
              <c:numCache>
                <c:formatCode>0.0%</c:formatCode>
                <c:ptCount val="20"/>
                <c:pt idx="0">
                  <c:v>1.322857142857143</c:v>
                </c:pt>
                <c:pt idx="1">
                  <c:v>1.1097142857142857</c:v>
                </c:pt>
                <c:pt idx="2">
                  <c:v>0.80396190476190488</c:v>
                </c:pt>
                <c:pt idx="3">
                  <c:v>0.67011428571428577</c:v>
                </c:pt>
                <c:pt idx="4">
                  <c:v>0.74156190476190476</c:v>
                </c:pt>
                <c:pt idx="5">
                  <c:v>0.91568253968253965</c:v>
                </c:pt>
                <c:pt idx="6">
                  <c:v>0.83453968253968258</c:v>
                </c:pt>
                <c:pt idx="7">
                  <c:v>0.98768253968253972</c:v>
                </c:pt>
                <c:pt idx="8">
                  <c:v>1.0443597883597884</c:v>
                </c:pt>
                <c:pt idx="9">
                  <c:v>1.048431746031746</c:v>
                </c:pt>
                <c:pt idx="10">
                  <c:v>1.0935642135642136</c:v>
                </c:pt>
                <c:pt idx="11">
                  <c:v>1.0480952380952382</c:v>
                </c:pt>
                <c:pt idx="12">
                  <c:v>1.0527081807081808</c:v>
                </c:pt>
                <c:pt idx="13">
                  <c:v>1.0224126984126984</c:v>
                </c:pt>
                <c:pt idx="14">
                  <c:v>1.0829291005291006</c:v>
                </c:pt>
                <c:pt idx="15">
                  <c:v>1.0569999999999999</c:v>
                </c:pt>
                <c:pt idx="16">
                  <c:v>0.99482352941176477</c:v>
                </c:pt>
                <c:pt idx="17">
                  <c:v>1.0056860670194003</c:v>
                </c:pt>
                <c:pt idx="18">
                  <c:v>1.0266466165413533</c:v>
                </c:pt>
                <c:pt idx="19">
                  <c:v>0.95866031746031743</c:v>
                </c:pt>
              </c:numCache>
            </c:numRef>
          </c:val>
        </c:ser>
        <c:ser>
          <c:idx val="5"/>
          <c:order val="3"/>
          <c:tx>
            <c:strRef>
              <c:f>'Dec 10'!$B$38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10'!$F$38:$Y$38</c:f>
              <c:numCache>
                <c:formatCode>0.0%</c:formatCode>
                <c:ptCount val="20"/>
                <c:pt idx="0">
                  <c:v>0.38095238095238093</c:v>
                </c:pt>
                <c:pt idx="1">
                  <c:v>0.19047619047619047</c:v>
                </c:pt>
                <c:pt idx="2">
                  <c:v>0.12698412698412698</c:v>
                </c:pt>
                <c:pt idx="3">
                  <c:v>9.5238095238095233E-2</c:v>
                </c:pt>
                <c:pt idx="4">
                  <c:v>7.6190476190476197E-2</c:v>
                </c:pt>
                <c:pt idx="5">
                  <c:v>6.3492063492063489E-2</c:v>
                </c:pt>
                <c:pt idx="6">
                  <c:v>5.4421768707482991E-2</c:v>
                </c:pt>
                <c:pt idx="7">
                  <c:v>4.7619047619047616E-2</c:v>
                </c:pt>
                <c:pt idx="8">
                  <c:v>4.2328042328042326E-2</c:v>
                </c:pt>
                <c:pt idx="9">
                  <c:v>3.8095238095238099E-2</c:v>
                </c:pt>
                <c:pt idx="10">
                  <c:v>3.4632034632034632E-2</c:v>
                </c:pt>
                <c:pt idx="11">
                  <c:v>3.1746031746031744E-2</c:v>
                </c:pt>
                <c:pt idx="12">
                  <c:v>2.9304029304029304E-2</c:v>
                </c:pt>
                <c:pt idx="13">
                  <c:v>2.7210884353741496E-2</c:v>
                </c:pt>
                <c:pt idx="14">
                  <c:v>2.5396825396825397E-2</c:v>
                </c:pt>
                <c:pt idx="15">
                  <c:v>2.3809523809523808E-2</c:v>
                </c:pt>
                <c:pt idx="16">
                  <c:v>2.9878618113912233E-2</c:v>
                </c:pt>
                <c:pt idx="17">
                  <c:v>6.2045855379188712E-2</c:v>
                </c:pt>
                <c:pt idx="18">
                  <c:v>5.878028404344194E-2</c:v>
                </c:pt>
                <c:pt idx="19">
                  <c:v>2.5396825396825397E-2</c:v>
                </c:pt>
              </c:numCache>
            </c:numRef>
          </c:val>
        </c:ser>
        <c:ser>
          <c:idx val="3"/>
          <c:order val="4"/>
          <c:tx>
            <c:strRef>
              <c:f>'Dec 10'!$B$39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10'!$F$39:$Y$39</c:f>
              <c:numCache>
                <c:formatCode>0.0%</c:formatCode>
                <c:ptCount val="20"/>
                <c:pt idx="0">
                  <c:v>3.3407999999999993</c:v>
                </c:pt>
                <c:pt idx="1">
                  <c:v>2.3690285714285713</c:v>
                </c:pt>
                <c:pt idx="2">
                  <c:v>1.9662857142857142</c:v>
                </c:pt>
                <c:pt idx="3">
                  <c:v>1.7863428571428568</c:v>
                </c:pt>
                <c:pt idx="4">
                  <c:v>1.7662996515679443</c:v>
                </c:pt>
                <c:pt idx="5">
                  <c:v>1.7318466898954703</c:v>
                </c:pt>
                <c:pt idx="6">
                  <c:v>1.6268491786958685</c:v>
                </c:pt>
                <c:pt idx="7">
                  <c:v>1.6825261324041811</c:v>
                </c:pt>
                <c:pt idx="8">
                  <c:v>1.7113898567557104</c:v>
                </c:pt>
                <c:pt idx="9">
                  <c:v>1.6541811846689896</c:v>
                </c:pt>
                <c:pt idx="10">
                  <c:v>1.6228571428571428</c:v>
                </c:pt>
                <c:pt idx="11">
                  <c:v>1.6778339140534264</c:v>
                </c:pt>
                <c:pt idx="12">
                  <c:v>1.6383114446529081</c:v>
                </c:pt>
                <c:pt idx="13">
                  <c:v>1.5601941264310601</c:v>
                </c:pt>
                <c:pt idx="14">
                  <c:v>1.4994192799070849</c:v>
                </c:pt>
                <c:pt idx="15">
                  <c:v>1.4821559233449477</c:v>
                </c:pt>
                <c:pt idx="16">
                  <c:v>1.3884197581471613</c:v>
                </c:pt>
                <c:pt idx="17">
                  <c:v>1.3452109949670925</c:v>
                </c:pt>
                <c:pt idx="18">
                  <c:v>1.3164423253255089</c:v>
                </c:pt>
                <c:pt idx="19">
                  <c:v>1.2423693379790941</c:v>
                </c:pt>
              </c:numCache>
            </c:numRef>
          </c:val>
        </c:ser>
        <c:ser>
          <c:idx val="4"/>
          <c:order val="5"/>
          <c:tx>
            <c:strRef>
              <c:f>'Dec 10'!$B$40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'Dec 10'!$F$34:$Y$34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'Dec 10'!$F$40:$Y$40</c:f>
              <c:numCache>
                <c:formatCode>0.0%</c:formatCode>
                <c:ptCount val="20"/>
                <c:pt idx="0">
                  <c:v>1.9645535731887629</c:v>
                </c:pt>
                <c:pt idx="1">
                  <c:v>1.692115524889108</c:v>
                </c:pt>
                <c:pt idx="2">
                  <c:v>1.4037798587152948</c:v>
                </c:pt>
                <c:pt idx="3">
                  <c:v>1.2792640709709215</c:v>
                </c:pt>
                <c:pt idx="4">
                  <c:v>1.2549827501232134</c:v>
                </c:pt>
                <c:pt idx="5">
                  <c:v>1.2415278462296697</c:v>
                </c:pt>
                <c:pt idx="6">
                  <c:v>1.2195845948039146</c:v>
                </c:pt>
                <c:pt idx="7">
                  <c:v>1.2423829472646624</c:v>
                </c:pt>
                <c:pt idx="8">
                  <c:v>1.2289885548436559</c:v>
                </c:pt>
                <c:pt idx="9">
                  <c:v>1.1551660916707738</c:v>
                </c:pt>
                <c:pt idx="10">
                  <c:v>1.1208512926206371</c:v>
                </c:pt>
                <c:pt idx="11">
                  <c:v>1.1352242483982258</c:v>
                </c:pt>
                <c:pt idx="12">
                  <c:v>1.104137695719756</c:v>
                </c:pt>
                <c:pt idx="13">
                  <c:v>1.0819798634091389</c:v>
                </c:pt>
                <c:pt idx="14">
                  <c:v>1.0602582552981765</c:v>
                </c:pt>
                <c:pt idx="15">
                  <c:v>1.0881086742237556</c:v>
                </c:pt>
                <c:pt idx="16">
                  <c:v>1.0586971269532948</c:v>
                </c:pt>
                <c:pt idx="17">
                  <c:v>1.0444499205958053</c:v>
                </c:pt>
                <c:pt idx="18">
                  <c:v>1.047381390884802</c:v>
                </c:pt>
                <c:pt idx="19">
                  <c:v>1.048477082306555</c:v>
                </c:pt>
              </c:numCache>
            </c:numRef>
          </c:val>
        </c:ser>
        <c:marker val="1"/>
        <c:axId val="127607936"/>
        <c:axId val="127609472"/>
      </c:lineChart>
      <c:catAx>
        <c:axId val="1276079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609472"/>
        <c:crosses val="autoZero"/>
        <c:auto val="1"/>
        <c:lblAlgn val="ctr"/>
        <c:lblOffset val="100"/>
      </c:catAx>
      <c:valAx>
        <c:axId val="12760947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607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15950473415931"/>
          <c:y val="0.91398052662772"/>
          <c:w val="0.39111434814276275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January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Jan 2011'!$B$48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2011'!$F$48:$Y$48</c:f>
              <c:numCache>
                <c:formatCode>0</c:formatCode>
                <c:ptCount val="20"/>
                <c:pt idx="0">
                  <c:v>3933180</c:v>
                </c:pt>
                <c:pt idx="1">
                  <c:v>1966590</c:v>
                </c:pt>
                <c:pt idx="2">
                  <c:v>1311060</c:v>
                </c:pt>
                <c:pt idx="3">
                  <c:v>983295</c:v>
                </c:pt>
                <c:pt idx="4">
                  <c:v>786636</c:v>
                </c:pt>
                <c:pt idx="5">
                  <c:v>655530</c:v>
                </c:pt>
                <c:pt idx="6">
                  <c:v>616131.42857142852</c:v>
                </c:pt>
                <c:pt idx="7">
                  <c:v>560655</c:v>
                </c:pt>
                <c:pt idx="8">
                  <c:v>523146.66666666663</c:v>
                </c:pt>
                <c:pt idx="9">
                  <c:v>481822</c:v>
                </c:pt>
                <c:pt idx="10">
                  <c:v>467529.09090909088</c:v>
                </c:pt>
                <c:pt idx="11">
                  <c:v>459753.33333333337</c:v>
                </c:pt>
                <c:pt idx="12">
                  <c:v>452470.76923076925</c:v>
                </c:pt>
                <c:pt idx="13">
                  <c:v>424492.85714285716</c:v>
                </c:pt>
                <c:pt idx="14">
                  <c:v>411065.33333333331</c:v>
                </c:pt>
                <c:pt idx="15">
                  <c:v>398690</c:v>
                </c:pt>
                <c:pt idx="16">
                  <c:v>375237.6470588235</c:v>
                </c:pt>
                <c:pt idx="17">
                  <c:v>354391.11111111112</c:v>
                </c:pt>
                <c:pt idx="18">
                  <c:v>321326.31578947371</c:v>
                </c:pt>
                <c:pt idx="19">
                  <c:v>297400</c:v>
                </c:pt>
              </c:numCache>
            </c:numRef>
          </c:val>
        </c:ser>
        <c:ser>
          <c:idx val="6"/>
          <c:order val="1"/>
          <c:tx>
            <c:strRef>
              <c:f>'Month - Jan 2011'!$B$49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2011'!$F$49:$Y$49</c:f>
              <c:numCache>
                <c:formatCode>0</c:formatCode>
                <c:ptCount val="20"/>
                <c:pt idx="0">
                  <c:v>799600</c:v>
                </c:pt>
                <c:pt idx="1">
                  <c:v>399800</c:v>
                </c:pt>
                <c:pt idx="2">
                  <c:v>266533.33333333331</c:v>
                </c:pt>
                <c:pt idx="3">
                  <c:v>199900</c:v>
                </c:pt>
                <c:pt idx="4">
                  <c:v>159920</c:v>
                </c:pt>
                <c:pt idx="5">
                  <c:v>133266.66666666666</c:v>
                </c:pt>
                <c:pt idx="6">
                  <c:v>114228.57142857143</c:v>
                </c:pt>
                <c:pt idx="7">
                  <c:v>99950</c:v>
                </c:pt>
                <c:pt idx="8">
                  <c:v>104388.88888888889</c:v>
                </c:pt>
                <c:pt idx="9">
                  <c:v>93950</c:v>
                </c:pt>
                <c:pt idx="10">
                  <c:v>104127.27272727272</c:v>
                </c:pt>
                <c:pt idx="11">
                  <c:v>103441.66666666666</c:v>
                </c:pt>
                <c:pt idx="12">
                  <c:v>99630.769230769234</c:v>
                </c:pt>
                <c:pt idx="13">
                  <c:v>99364.28571428571</c:v>
                </c:pt>
                <c:pt idx="14">
                  <c:v>92740</c:v>
                </c:pt>
                <c:pt idx="15">
                  <c:v>86943.75</c:v>
                </c:pt>
                <c:pt idx="16">
                  <c:v>81829.411764705888</c:v>
                </c:pt>
                <c:pt idx="17">
                  <c:v>77283.333333333328</c:v>
                </c:pt>
                <c:pt idx="18">
                  <c:v>78889.473684210519</c:v>
                </c:pt>
                <c:pt idx="19">
                  <c:v>82030</c:v>
                </c:pt>
              </c:numCache>
            </c:numRef>
          </c:val>
        </c:ser>
        <c:ser>
          <c:idx val="1"/>
          <c:order val="2"/>
          <c:tx>
            <c:strRef>
              <c:f>'Month - Jan 2011'!$B$50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2011'!$F$50:$Y$50</c:f>
              <c:numCache>
                <c:formatCode>0</c:formatCode>
                <c:ptCount val="20"/>
                <c:pt idx="0">
                  <c:v>2338900</c:v>
                </c:pt>
                <c:pt idx="1">
                  <c:v>1169450</c:v>
                </c:pt>
                <c:pt idx="2">
                  <c:v>779633.33333333326</c:v>
                </c:pt>
                <c:pt idx="3">
                  <c:v>584725</c:v>
                </c:pt>
                <c:pt idx="4">
                  <c:v>467780</c:v>
                </c:pt>
                <c:pt idx="5">
                  <c:v>389816.66666666663</c:v>
                </c:pt>
                <c:pt idx="6">
                  <c:v>348414.28571428574</c:v>
                </c:pt>
                <c:pt idx="7">
                  <c:v>304862.5</c:v>
                </c:pt>
                <c:pt idx="8">
                  <c:v>276977.77777777775</c:v>
                </c:pt>
                <c:pt idx="9">
                  <c:v>283250</c:v>
                </c:pt>
                <c:pt idx="10">
                  <c:v>287427.27272727271</c:v>
                </c:pt>
                <c:pt idx="11">
                  <c:v>267966.66666666669</c:v>
                </c:pt>
                <c:pt idx="12">
                  <c:v>251500</c:v>
                </c:pt>
                <c:pt idx="13">
                  <c:v>247507.14285714287</c:v>
                </c:pt>
                <c:pt idx="14">
                  <c:v>254060</c:v>
                </c:pt>
                <c:pt idx="15">
                  <c:v>250168.75</c:v>
                </c:pt>
                <c:pt idx="16">
                  <c:v>232982.35294117648</c:v>
                </c:pt>
                <c:pt idx="17">
                  <c:v>224694.44444444444</c:v>
                </c:pt>
                <c:pt idx="18">
                  <c:v>217547.36842105264</c:v>
                </c:pt>
                <c:pt idx="19">
                  <c:v>211770</c:v>
                </c:pt>
              </c:numCache>
            </c:numRef>
          </c:val>
        </c:ser>
        <c:ser>
          <c:idx val="2"/>
          <c:order val="3"/>
          <c:tx>
            <c:strRef>
              <c:f>'Month - Jan 2011'!$B$51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2011'!$F$51:$Y$51</c:f>
              <c:numCache>
                <c:formatCode>0</c:formatCode>
                <c:ptCount val="20"/>
                <c:pt idx="0">
                  <c:v>1880140</c:v>
                </c:pt>
                <c:pt idx="1">
                  <c:v>940070</c:v>
                </c:pt>
                <c:pt idx="2">
                  <c:v>626713.33333333337</c:v>
                </c:pt>
                <c:pt idx="3">
                  <c:v>470035</c:v>
                </c:pt>
                <c:pt idx="4">
                  <c:v>376028</c:v>
                </c:pt>
                <c:pt idx="5">
                  <c:v>313356.66666666669</c:v>
                </c:pt>
                <c:pt idx="6">
                  <c:v>279380</c:v>
                </c:pt>
                <c:pt idx="7">
                  <c:v>265810</c:v>
                </c:pt>
                <c:pt idx="8">
                  <c:v>271084.44444444444</c:v>
                </c:pt>
                <c:pt idx="9">
                  <c:v>269158</c:v>
                </c:pt>
                <c:pt idx="10">
                  <c:v>253509.09090909091</c:v>
                </c:pt>
                <c:pt idx="11">
                  <c:v>239058.33333333331</c:v>
                </c:pt>
                <c:pt idx="12">
                  <c:v>237796.92307692309</c:v>
                </c:pt>
                <c:pt idx="13">
                  <c:v>249631.42857142858</c:v>
                </c:pt>
                <c:pt idx="14">
                  <c:v>245157.33333333334</c:v>
                </c:pt>
                <c:pt idx="15">
                  <c:v>245567.5</c:v>
                </c:pt>
                <c:pt idx="16">
                  <c:v>237623.52941176473</c:v>
                </c:pt>
                <c:pt idx="17">
                  <c:v>230367.77777777778</c:v>
                </c:pt>
                <c:pt idx="18">
                  <c:v>218243.15789473683</c:v>
                </c:pt>
                <c:pt idx="19">
                  <c:v>224000</c:v>
                </c:pt>
              </c:numCache>
            </c:numRef>
          </c:val>
        </c:ser>
        <c:ser>
          <c:idx val="3"/>
          <c:order val="4"/>
          <c:tx>
            <c:strRef>
              <c:f>'Month - Jan 2011'!$B$52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2011'!$F$52:$Y$52</c:f>
              <c:numCache>
                <c:formatCode>0</c:formatCode>
                <c:ptCount val="20"/>
                <c:pt idx="0">
                  <c:v>108540</c:v>
                </c:pt>
                <c:pt idx="1">
                  <c:v>54270</c:v>
                </c:pt>
                <c:pt idx="2">
                  <c:v>36180</c:v>
                </c:pt>
                <c:pt idx="3">
                  <c:v>27135</c:v>
                </c:pt>
                <c:pt idx="4">
                  <c:v>21708</c:v>
                </c:pt>
                <c:pt idx="5">
                  <c:v>18090</c:v>
                </c:pt>
                <c:pt idx="6">
                  <c:v>15505.714285714286</c:v>
                </c:pt>
                <c:pt idx="7">
                  <c:v>36055</c:v>
                </c:pt>
                <c:pt idx="8">
                  <c:v>32048.888888888887</c:v>
                </c:pt>
                <c:pt idx="9">
                  <c:v>28844</c:v>
                </c:pt>
                <c:pt idx="10">
                  <c:v>26221.81818181818</c:v>
                </c:pt>
                <c:pt idx="11">
                  <c:v>24036.666666666664</c:v>
                </c:pt>
                <c:pt idx="12">
                  <c:v>22187.692307692309</c:v>
                </c:pt>
                <c:pt idx="13">
                  <c:v>30602.857142857141</c:v>
                </c:pt>
                <c:pt idx="14">
                  <c:v>28562.666666666668</c:v>
                </c:pt>
                <c:pt idx="15">
                  <c:v>26777.5</c:v>
                </c:pt>
                <c:pt idx="16">
                  <c:v>25202.352941176468</c:v>
                </c:pt>
                <c:pt idx="17">
                  <c:v>23802.222222222223</c:v>
                </c:pt>
                <c:pt idx="18">
                  <c:v>22549.473684210527</c:v>
                </c:pt>
                <c:pt idx="19">
                  <c:v>21422</c:v>
                </c:pt>
              </c:numCache>
            </c:numRef>
          </c:val>
        </c:ser>
        <c:ser>
          <c:idx val="4"/>
          <c:order val="5"/>
          <c:tx>
            <c:strRef>
              <c:f>'Month - Jan 2011'!$B$53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2011'!$F$53:$Y$53</c:f>
              <c:numCache>
                <c:formatCode>0</c:formatCode>
                <c:ptCount val="20"/>
                <c:pt idx="0">
                  <c:v>2540940</c:v>
                </c:pt>
                <c:pt idx="1">
                  <c:v>1270470</c:v>
                </c:pt>
                <c:pt idx="2">
                  <c:v>846980</c:v>
                </c:pt>
                <c:pt idx="3">
                  <c:v>635235</c:v>
                </c:pt>
                <c:pt idx="4">
                  <c:v>508188</c:v>
                </c:pt>
                <c:pt idx="5">
                  <c:v>423490</c:v>
                </c:pt>
                <c:pt idx="6">
                  <c:v>362991.42857142852</c:v>
                </c:pt>
                <c:pt idx="7">
                  <c:v>328157.5</c:v>
                </c:pt>
                <c:pt idx="8">
                  <c:v>296091.11111111112</c:v>
                </c:pt>
                <c:pt idx="9">
                  <c:v>277726</c:v>
                </c:pt>
                <c:pt idx="10">
                  <c:v>284425.45454545459</c:v>
                </c:pt>
                <c:pt idx="11">
                  <c:v>276751.66666666669</c:v>
                </c:pt>
                <c:pt idx="12">
                  <c:v>266556.92307692306</c:v>
                </c:pt>
                <c:pt idx="13">
                  <c:v>271962.85714285716</c:v>
                </c:pt>
                <c:pt idx="14">
                  <c:v>264057.33333333331</c:v>
                </c:pt>
                <c:pt idx="15">
                  <c:v>249261.25</c:v>
                </c:pt>
                <c:pt idx="16">
                  <c:v>245449.41176470587</c:v>
                </c:pt>
                <c:pt idx="17">
                  <c:v>234242.22222222222</c:v>
                </c:pt>
                <c:pt idx="18">
                  <c:v>225953.68421052629</c:v>
                </c:pt>
                <c:pt idx="19">
                  <c:v>221000</c:v>
                </c:pt>
              </c:numCache>
            </c:numRef>
          </c:val>
        </c:ser>
        <c:ser>
          <c:idx val="5"/>
          <c:order val="6"/>
          <c:tx>
            <c:strRef>
              <c:f>'Month - Jan 2011'!$B$54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Jan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2011'!$F$54:$Y$54</c:f>
              <c:numCache>
                <c:formatCode>0</c:formatCode>
                <c:ptCount val="20"/>
                <c:pt idx="0">
                  <c:v>11601300</c:v>
                </c:pt>
                <c:pt idx="1">
                  <c:v>5800650</c:v>
                </c:pt>
                <c:pt idx="2">
                  <c:v>3867100</c:v>
                </c:pt>
                <c:pt idx="3">
                  <c:v>2900325</c:v>
                </c:pt>
                <c:pt idx="4">
                  <c:v>2320260</c:v>
                </c:pt>
                <c:pt idx="5">
                  <c:v>1933550</c:v>
                </c:pt>
                <c:pt idx="6">
                  <c:v>1736651.4285714286</c:v>
                </c:pt>
                <c:pt idx="7">
                  <c:v>1595490</c:v>
                </c:pt>
                <c:pt idx="8">
                  <c:v>1503737.777777778</c:v>
                </c:pt>
                <c:pt idx="9">
                  <c:v>1434750</c:v>
                </c:pt>
                <c:pt idx="10">
                  <c:v>1423240</c:v>
                </c:pt>
                <c:pt idx="11">
                  <c:v>1371008.3333333335</c:v>
                </c:pt>
                <c:pt idx="12">
                  <c:v>1330143.076923077</c:v>
                </c:pt>
                <c:pt idx="13">
                  <c:v>1323561.4285714286</c:v>
                </c:pt>
                <c:pt idx="14">
                  <c:v>1295642.6666666665</c:v>
                </c:pt>
                <c:pt idx="15">
                  <c:v>1257408.75</c:v>
                </c:pt>
                <c:pt idx="16">
                  <c:v>1198324.705882353</c:v>
                </c:pt>
                <c:pt idx="17">
                  <c:v>1144781.111111111</c:v>
                </c:pt>
                <c:pt idx="18">
                  <c:v>1084509.4736842106</c:v>
                </c:pt>
                <c:pt idx="19">
                  <c:v>1057622</c:v>
                </c:pt>
              </c:numCache>
            </c:numRef>
          </c:val>
        </c:ser>
        <c:marker val="1"/>
        <c:axId val="127671680"/>
        <c:axId val="127677568"/>
      </c:lineChart>
      <c:catAx>
        <c:axId val="1276716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677568"/>
        <c:crosses val="autoZero"/>
        <c:auto val="1"/>
        <c:lblAlgn val="ctr"/>
        <c:lblOffset val="100"/>
      </c:catAx>
      <c:valAx>
        <c:axId val="127677568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67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January 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Jan 2011'!$B$6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2011'!$F$17:$Y$17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1.3808727272727273</c:v>
                </c:pt>
                <c:pt idx="7">
                  <c:v>0.62661818181818174</c:v>
                </c:pt>
                <c:pt idx="8">
                  <c:v>0.81120000000000003</c:v>
                </c:pt>
                <c:pt idx="9">
                  <c:v>0.40559999999999996</c:v>
                </c:pt>
                <c:pt idx="10">
                  <c:v>1.1803636363636363</c:v>
                </c:pt>
                <c:pt idx="11">
                  <c:v>1.3608</c:v>
                </c:pt>
                <c:pt idx="12">
                  <c:v>1.6815272727272728</c:v>
                </c:pt>
                <c:pt idx="13">
                  <c:v>0.44203636363636367</c:v>
                </c:pt>
                <c:pt idx="14">
                  <c:v>1.2532363636363637</c:v>
                </c:pt>
                <c:pt idx="15">
                  <c:v>1.4378181818181819</c:v>
                </c:pt>
                <c:pt idx="16">
                  <c:v>1.2168000000000001</c:v>
                </c:pt>
                <c:pt idx="17">
                  <c:v>1.0686545454545455</c:v>
                </c:pt>
                <c:pt idx="18">
                  <c:v>1.0322181818181819</c:v>
                </c:pt>
                <c:pt idx="19">
                  <c:v>2.5290909090909093</c:v>
                </c:pt>
              </c:numCache>
            </c:numRef>
          </c:val>
        </c:ser>
        <c:ser>
          <c:idx val="6"/>
          <c:order val="1"/>
          <c:tx>
            <c:strRef>
              <c:f>'Month - Jan 2011'!$B$18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Jan 2011'!$F$18:$Y$18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1.8653333333333333</c:v>
                </c:pt>
                <c:pt idx="9">
                  <c:v>0</c:v>
                </c:pt>
                <c:pt idx="10">
                  <c:v>2.7453333333333334</c:v>
                </c:pt>
                <c:pt idx="11">
                  <c:v>1.2786666666666666</c:v>
                </c:pt>
                <c:pt idx="12">
                  <c:v>0.71866666666666668</c:v>
                </c:pt>
                <c:pt idx="13">
                  <c:v>1.2786666666666666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1.4373333333333334</c:v>
                </c:pt>
                <c:pt idx="19">
                  <c:v>1.1439999999999999</c:v>
                </c:pt>
              </c:numCache>
            </c:numRef>
          </c:val>
        </c:ser>
        <c:ser>
          <c:idx val="1"/>
          <c:order val="2"/>
          <c:tx>
            <c:strRef>
              <c:f>'Month - Jan 2011'!$B$8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2011'!$F$19:$Y$19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0.5714285714285714</c:v>
                </c:pt>
                <c:pt idx="7">
                  <c:v>0</c:v>
                </c:pt>
                <c:pt idx="8">
                  <c:v>0.30800000000000005</c:v>
                </c:pt>
                <c:pt idx="9">
                  <c:v>2.2491428571428571</c:v>
                </c:pt>
                <c:pt idx="10">
                  <c:v>1.5731428571428572</c:v>
                </c:pt>
                <c:pt idx="11">
                  <c:v>0.61599999999999999</c:v>
                </c:pt>
                <c:pt idx="12">
                  <c:v>0.80971428571428572</c:v>
                </c:pt>
                <c:pt idx="13">
                  <c:v>0.61599999999999999</c:v>
                </c:pt>
                <c:pt idx="14">
                  <c:v>1.976</c:v>
                </c:pt>
                <c:pt idx="15">
                  <c:v>1.0960000000000001</c:v>
                </c:pt>
                <c:pt idx="16">
                  <c:v>1.1857142857142857</c:v>
                </c:pt>
                <c:pt idx="17">
                  <c:v>1.334857142857143</c:v>
                </c:pt>
                <c:pt idx="18">
                  <c:v>0.97371428571428575</c:v>
                </c:pt>
                <c:pt idx="19">
                  <c:v>1.9702857142857142</c:v>
                </c:pt>
              </c:numCache>
            </c:numRef>
          </c:val>
        </c:ser>
        <c:ser>
          <c:idx val="2"/>
          <c:order val="3"/>
          <c:tx>
            <c:strRef>
              <c:f>'Month - Jan 2011'!$B$20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2011'!$F$20:$Y$20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0.53744444444444439</c:v>
                </c:pt>
                <c:pt idx="6">
                  <c:v>0.4194444444444444</c:v>
                </c:pt>
                <c:pt idx="7">
                  <c:v>0.94899999999999995</c:v>
                </c:pt>
                <c:pt idx="8">
                  <c:v>1.7404444444444445</c:v>
                </c:pt>
                <c:pt idx="9">
                  <c:v>1.399</c:v>
                </c:pt>
                <c:pt idx="10">
                  <c:v>0.53899999999999992</c:v>
                </c:pt>
                <c:pt idx="11">
                  <c:v>0.44499999999999995</c:v>
                </c:pt>
                <c:pt idx="12">
                  <c:v>1.2370000000000001</c:v>
                </c:pt>
                <c:pt idx="13">
                  <c:v>2.2414444444444444</c:v>
                </c:pt>
                <c:pt idx="14">
                  <c:v>1.014</c:v>
                </c:pt>
                <c:pt idx="15">
                  <c:v>1.8082222222222222</c:v>
                </c:pt>
                <c:pt idx="16">
                  <c:v>0.61399999999999999</c:v>
                </c:pt>
                <c:pt idx="17">
                  <c:v>1.3734444444444445</c:v>
                </c:pt>
                <c:pt idx="18">
                  <c:v>0.44944444444444442</c:v>
                </c:pt>
                <c:pt idx="19">
                  <c:v>0.60399999999999998</c:v>
                </c:pt>
              </c:numCache>
            </c:numRef>
          </c:val>
        </c:ser>
        <c:ser>
          <c:idx val="3"/>
          <c:order val="4"/>
          <c:tx>
            <c:strRef>
              <c:f>'Month - Jan 2011'!$B$22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2011'!$F$22:$Y$22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0.1326829268292683</c:v>
                </c:pt>
                <c:pt idx="8">
                  <c:v>0.30024390243902443</c:v>
                </c:pt>
                <c:pt idx="9">
                  <c:v>0.34274390243902442</c:v>
                </c:pt>
                <c:pt idx="10">
                  <c:v>1.0713414634146341</c:v>
                </c:pt>
                <c:pt idx="11">
                  <c:v>0.58634146341463422</c:v>
                </c:pt>
                <c:pt idx="12">
                  <c:v>0.56408536585365854</c:v>
                </c:pt>
                <c:pt idx="13">
                  <c:v>1.0433536585365855</c:v>
                </c:pt>
                <c:pt idx="14">
                  <c:v>0.46756097560975607</c:v>
                </c:pt>
                <c:pt idx="15">
                  <c:v>8.3292682926829231E-2</c:v>
                </c:pt>
                <c:pt idx="16">
                  <c:v>0.5623780487804878</c:v>
                </c:pt>
                <c:pt idx="17">
                  <c:v>0.41719512195121955</c:v>
                </c:pt>
                <c:pt idx="18">
                  <c:v>0.23396341463414638</c:v>
                </c:pt>
                <c:pt idx="19">
                  <c:v>1.2559756097560975</c:v>
                </c:pt>
              </c:numCache>
            </c:numRef>
          </c:val>
        </c:ser>
        <c:ser>
          <c:idx val="5"/>
          <c:order val="5"/>
          <c:tx>
            <c:strRef>
              <c:f>'Month - Jan 2011'!$B$10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3.5979999999999999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</c:ser>
        <c:ser>
          <c:idx val="4"/>
          <c:order val="6"/>
          <c:tx>
            <c:strRef>
              <c:f>'Month - Jan 2011'!$B$23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2011'!$F$23:$Y$23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8.9325946445059978E-2</c:v>
                </c:pt>
                <c:pt idx="6">
                  <c:v>0.51268698060941831</c:v>
                </c:pt>
                <c:pt idx="7">
                  <c:v>0.52313942751615883</c:v>
                </c:pt>
                <c:pt idx="8">
                  <c:v>0.7651338873499538</c:v>
                </c:pt>
                <c:pt idx="9">
                  <c:v>0.80275161588180977</c:v>
                </c:pt>
                <c:pt idx="10">
                  <c:v>1.1580978762696215</c:v>
                </c:pt>
                <c:pt idx="11">
                  <c:v>0.78517082179132047</c:v>
                </c:pt>
                <c:pt idx="12">
                  <c:v>0.9840258541089566</c:v>
                </c:pt>
                <c:pt idx="13">
                  <c:v>1.1181348107109881</c:v>
                </c:pt>
                <c:pt idx="14">
                  <c:v>0.9476638965835642</c:v>
                </c:pt>
                <c:pt idx="15">
                  <c:v>0.86795937211449681</c:v>
                </c:pt>
                <c:pt idx="16">
                  <c:v>0.77294552169898434</c:v>
                </c:pt>
                <c:pt idx="17">
                  <c:v>0.84168051708217917</c:v>
                </c:pt>
                <c:pt idx="18">
                  <c:v>0.66454293628808858</c:v>
                </c:pt>
                <c:pt idx="19">
                  <c:v>1.6129085872576177</c:v>
                </c:pt>
              </c:numCache>
            </c:numRef>
          </c:val>
        </c:ser>
        <c:gapWidth val="75"/>
        <c:axId val="127918464"/>
        <c:axId val="127920000"/>
      </c:barChart>
      <c:catAx>
        <c:axId val="1279184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920000"/>
        <c:crosses val="autoZero"/>
        <c:auto val="1"/>
        <c:lblAlgn val="ctr"/>
        <c:lblOffset val="100"/>
      </c:catAx>
      <c:valAx>
        <c:axId val="1279200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27918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January 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Jan 2011'!$B$38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2011'!$F$38:$Y$38</c:f>
              <c:numCache>
                <c:formatCode>0.0%</c:formatCode>
                <c:ptCount val="20"/>
                <c:pt idx="0">
                  <c:v>14.302472727272727</c:v>
                </c:pt>
                <c:pt idx="1">
                  <c:v>7.1512363636363636</c:v>
                </c:pt>
                <c:pt idx="2">
                  <c:v>4.7674909090909088</c:v>
                </c:pt>
                <c:pt idx="3">
                  <c:v>3.5756181818181818</c:v>
                </c:pt>
                <c:pt idx="4">
                  <c:v>2.8604945454545456</c:v>
                </c:pt>
                <c:pt idx="5">
                  <c:v>2.3837454545454544</c:v>
                </c:pt>
                <c:pt idx="6">
                  <c:v>2.2404779220779218</c:v>
                </c:pt>
                <c:pt idx="7">
                  <c:v>2.0387454545454546</c:v>
                </c:pt>
                <c:pt idx="8">
                  <c:v>1.9023515151515149</c:v>
                </c:pt>
                <c:pt idx="9">
                  <c:v>1.7520800000000001</c:v>
                </c:pt>
                <c:pt idx="10">
                  <c:v>1.7001057851239669</c:v>
                </c:pt>
                <c:pt idx="11">
                  <c:v>1.6718303030303032</c:v>
                </c:pt>
                <c:pt idx="12">
                  <c:v>1.6453482517482518</c:v>
                </c:pt>
                <c:pt idx="13">
                  <c:v>1.5436103896103897</c:v>
                </c:pt>
                <c:pt idx="14">
                  <c:v>1.4947830303030303</c:v>
                </c:pt>
                <c:pt idx="15">
                  <c:v>1.4497818181818183</c:v>
                </c:pt>
                <c:pt idx="16">
                  <c:v>1.3645005347593582</c:v>
                </c:pt>
                <c:pt idx="17">
                  <c:v>1.2886949494949496</c:v>
                </c:pt>
                <c:pt idx="18">
                  <c:v>1.1684593301435409</c:v>
                </c:pt>
                <c:pt idx="19">
                  <c:v>1.0814545454545454</c:v>
                </c:pt>
              </c:numCache>
            </c:numRef>
          </c:val>
        </c:ser>
        <c:ser>
          <c:idx val="6"/>
          <c:order val="1"/>
          <c:tx>
            <c:strRef>
              <c:f>'Month - Jan 2011'!$B$39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2011'!$F$39:$Y$39</c:f>
              <c:numCache>
                <c:formatCode>0.0%</c:formatCode>
                <c:ptCount val="20"/>
                <c:pt idx="0">
                  <c:v>10.661333333333333</c:v>
                </c:pt>
                <c:pt idx="1">
                  <c:v>5.3306666666666667</c:v>
                </c:pt>
                <c:pt idx="2">
                  <c:v>3.5537777777777775</c:v>
                </c:pt>
                <c:pt idx="3">
                  <c:v>2.6653333333333333</c:v>
                </c:pt>
                <c:pt idx="4">
                  <c:v>2.1322666666666668</c:v>
                </c:pt>
                <c:pt idx="5">
                  <c:v>1.7768888888888887</c:v>
                </c:pt>
                <c:pt idx="6">
                  <c:v>1.5230476190476192</c:v>
                </c:pt>
                <c:pt idx="7">
                  <c:v>1.3326666666666667</c:v>
                </c:pt>
                <c:pt idx="8">
                  <c:v>1.3918518518518519</c:v>
                </c:pt>
                <c:pt idx="9">
                  <c:v>1.2526666666666666</c:v>
                </c:pt>
                <c:pt idx="10">
                  <c:v>1.3883636363636362</c:v>
                </c:pt>
                <c:pt idx="11">
                  <c:v>1.3792222222222221</c:v>
                </c:pt>
                <c:pt idx="12">
                  <c:v>1.3284102564102565</c:v>
                </c:pt>
                <c:pt idx="13">
                  <c:v>1.3248571428571427</c:v>
                </c:pt>
                <c:pt idx="14">
                  <c:v>1.2365333333333333</c:v>
                </c:pt>
                <c:pt idx="15">
                  <c:v>1.1592499999999999</c:v>
                </c:pt>
                <c:pt idx="16">
                  <c:v>1.0910588235294119</c:v>
                </c:pt>
                <c:pt idx="17">
                  <c:v>1.0304444444444443</c:v>
                </c:pt>
                <c:pt idx="18">
                  <c:v>1.0518596491228069</c:v>
                </c:pt>
                <c:pt idx="19">
                  <c:v>1.0937333333333332</c:v>
                </c:pt>
              </c:numCache>
            </c:numRef>
          </c:val>
        </c:ser>
        <c:ser>
          <c:idx val="1"/>
          <c:order val="2"/>
          <c:tx>
            <c:strRef>
              <c:f>'Month - Jan 2011'!$B$40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2011'!$F$40:$Y$40</c:f>
              <c:numCache>
                <c:formatCode>0.0%</c:formatCode>
                <c:ptCount val="20"/>
                <c:pt idx="0">
                  <c:v>13.365142857142857</c:v>
                </c:pt>
                <c:pt idx="1">
                  <c:v>6.6825714285714284</c:v>
                </c:pt>
                <c:pt idx="2">
                  <c:v>4.4550476190476189</c:v>
                </c:pt>
                <c:pt idx="3">
                  <c:v>3.3412857142857142</c:v>
                </c:pt>
                <c:pt idx="4">
                  <c:v>2.6730285714285715</c:v>
                </c:pt>
                <c:pt idx="5">
                  <c:v>2.2275238095238095</c:v>
                </c:pt>
                <c:pt idx="6">
                  <c:v>1.9909387755102042</c:v>
                </c:pt>
                <c:pt idx="7">
                  <c:v>1.7420714285714285</c:v>
                </c:pt>
                <c:pt idx="8">
                  <c:v>1.5827301587301585</c:v>
                </c:pt>
                <c:pt idx="9">
                  <c:v>1.6185714285714285</c:v>
                </c:pt>
                <c:pt idx="10">
                  <c:v>1.6424415584415584</c:v>
                </c:pt>
                <c:pt idx="11">
                  <c:v>1.5312380952380953</c:v>
                </c:pt>
                <c:pt idx="12">
                  <c:v>1.4371428571428571</c:v>
                </c:pt>
                <c:pt idx="13">
                  <c:v>1.414326530612245</c:v>
                </c:pt>
                <c:pt idx="14">
                  <c:v>1.4517714285714285</c:v>
                </c:pt>
                <c:pt idx="15">
                  <c:v>1.4295357142857144</c:v>
                </c:pt>
                <c:pt idx="16">
                  <c:v>1.331327731092437</c:v>
                </c:pt>
                <c:pt idx="17">
                  <c:v>1.283968253968254</c:v>
                </c:pt>
                <c:pt idx="18">
                  <c:v>1.2431278195488722</c:v>
                </c:pt>
                <c:pt idx="19">
                  <c:v>1.2101142857142857</c:v>
                </c:pt>
              </c:numCache>
            </c:numRef>
          </c:val>
        </c:ser>
        <c:ser>
          <c:idx val="2"/>
          <c:order val="3"/>
          <c:tx>
            <c:strRef>
              <c:f>'Month - Jan 2011'!$B$41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2011'!$F$41:$Y$41</c:f>
              <c:numCache>
                <c:formatCode>0.0%</c:formatCode>
                <c:ptCount val="20"/>
                <c:pt idx="0">
                  <c:v>10.445222222222222</c:v>
                </c:pt>
                <c:pt idx="1">
                  <c:v>5.2226111111111111</c:v>
                </c:pt>
                <c:pt idx="2">
                  <c:v>3.481740740740741</c:v>
                </c:pt>
                <c:pt idx="3">
                  <c:v>2.6113055555555555</c:v>
                </c:pt>
                <c:pt idx="4">
                  <c:v>2.0890444444444443</c:v>
                </c:pt>
                <c:pt idx="5">
                  <c:v>1.7408703703703705</c:v>
                </c:pt>
                <c:pt idx="6">
                  <c:v>1.5521111111111112</c:v>
                </c:pt>
                <c:pt idx="7">
                  <c:v>1.4767222222222223</c:v>
                </c:pt>
                <c:pt idx="8">
                  <c:v>1.5060246913580246</c:v>
                </c:pt>
                <c:pt idx="9">
                  <c:v>1.4953222222222222</c:v>
                </c:pt>
                <c:pt idx="10">
                  <c:v>1.4083838383838383</c:v>
                </c:pt>
                <c:pt idx="11">
                  <c:v>1.3281018518518517</c:v>
                </c:pt>
                <c:pt idx="12">
                  <c:v>1.3210940170940171</c:v>
                </c:pt>
                <c:pt idx="13">
                  <c:v>1.38684126984127</c:v>
                </c:pt>
                <c:pt idx="14">
                  <c:v>1.3619851851851852</c:v>
                </c:pt>
                <c:pt idx="15">
                  <c:v>1.3642638888888889</c:v>
                </c:pt>
                <c:pt idx="16">
                  <c:v>1.3201307189542484</c:v>
                </c:pt>
                <c:pt idx="17">
                  <c:v>1.279820987654321</c:v>
                </c:pt>
                <c:pt idx="18">
                  <c:v>1.2124619883040935</c:v>
                </c:pt>
                <c:pt idx="19">
                  <c:v>1.2444444444444445</c:v>
                </c:pt>
              </c:numCache>
            </c:numRef>
          </c:val>
        </c:ser>
        <c:ser>
          <c:idx val="5"/>
          <c:order val="4"/>
          <c:tx>
            <c:strRef>
              <c:f>'Month - Jan 2011'!$B$42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2011'!$F$42:$Y$42</c:f>
              <c:numCache>
                <c:formatCode>0.0%</c:formatCode>
                <c:ptCount val="20"/>
                <c:pt idx="0">
                  <c:v>0.60299999999999998</c:v>
                </c:pt>
                <c:pt idx="1">
                  <c:v>0.30149999999999999</c:v>
                </c:pt>
                <c:pt idx="2">
                  <c:v>0.20100000000000001</c:v>
                </c:pt>
                <c:pt idx="3">
                  <c:v>0.15075</c:v>
                </c:pt>
                <c:pt idx="4">
                  <c:v>0.1206</c:v>
                </c:pt>
                <c:pt idx="5">
                  <c:v>0.10050000000000001</c:v>
                </c:pt>
                <c:pt idx="6">
                  <c:v>8.6142857142857146E-2</c:v>
                </c:pt>
                <c:pt idx="7">
                  <c:v>0.20030555555555554</c:v>
                </c:pt>
                <c:pt idx="8">
                  <c:v>0.17804938271604936</c:v>
                </c:pt>
                <c:pt idx="9">
                  <c:v>0.16024444444444444</c:v>
                </c:pt>
                <c:pt idx="10">
                  <c:v>0.14567676767676765</c:v>
                </c:pt>
                <c:pt idx="11">
                  <c:v>0.13353703703703704</c:v>
                </c:pt>
                <c:pt idx="12">
                  <c:v>0.12326495726495727</c:v>
                </c:pt>
                <c:pt idx="13">
                  <c:v>0.17001587301587301</c:v>
                </c:pt>
                <c:pt idx="14">
                  <c:v>0.15868148148148148</c:v>
                </c:pt>
                <c:pt idx="15">
                  <c:v>0.14876388888888889</c:v>
                </c:pt>
                <c:pt idx="16">
                  <c:v>0.14001307189542483</c:v>
                </c:pt>
                <c:pt idx="17">
                  <c:v>0.13223456790123456</c:v>
                </c:pt>
                <c:pt idx="18">
                  <c:v>0.12527485380116959</c:v>
                </c:pt>
                <c:pt idx="19">
                  <c:v>0.11901111111111111</c:v>
                </c:pt>
              </c:numCache>
            </c:numRef>
          </c:val>
        </c:ser>
        <c:ser>
          <c:idx val="3"/>
          <c:order val="5"/>
          <c:tx>
            <c:strRef>
              <c:f>'Month - Jan 2011'!$B$43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2011'!$F$43:$Y$43</c:f>
              <c:numCache>
                <c:formatCode>0.0%</c:formatCode>
                <c:ptCount val="20"/>
                <c:pt idx="0">
                  <c:v>7.7467682926829271</c:v>
                </c:pt>
                <c:pt idx="1">
                  <c:v>3.8733841463414636</c:v>
                </c:pt>
                <c:pt idx="2">
                  <c:v>2.5822560975609754</c:v>
                </c:pt>
                <c:pt idx="3">
                  <c:v>1.9366920731707318</c:v>
                </c:pt>
                <c:pt idx="4">
                  <c:v>1.5493536585365855</c:v>
                </c:pt>
                <c:pt idx="5">
                  <c:v>1.2911280487804877</c:v>
                </c:pt>
                <c:pt idx="6">
                  <c:v>1.1066811846689895</c:v>
                </c:pt>
                <c:pt idx="7">
                  <c:v>1.0004801829268293</c:v>
                </c:pt>
                <c:pt idx="8">
                  <c:v>0.90271680216802175</c:v>
                </c:pt>
                <c:pt idx="9">
                  <c:v>0.84672560975609756</c:v>
                </c:pt>
                <c:pt idx="10">
                  <c:v>0.86715077605321522</c:v>
                </c:pt>
                <c:pt idx="11">
                  <c:v>0.84375508130081311</c:v>
                </c:pt>
                <c:pt idx="12">
                  <c:v>0.81267354596622887</c:v>
                </c:pt>
                <c:pt idx="13">
                  <c:v>0.82915505226480846</c:v>
                </c:pt>
                <c:pt idx="14">
                  <c:v>0.80505284552845524</c:v>
                </c:pt>
                <c:pt idx="15">
                  <c:v>0.75994283536585361</c:v>
                </c:pt>
                <c:pt idx="16">
                  <c:v>0.74832137733142035</c:v>
                </c:pt>
                <c:pt idx="17">
                  <c:v>0.71415311653116531</c:v>
                </c:pt>
                <c:pt idx="18">
                  <c:v>0.68888318356867773</c:v>
                </c:pt>
                <c:pt idx="19">
                  <c:v>0.67378048780487809</c:v>
                </c:pt>
              </c:numCache>
            </c:numRef>
          </c:val>
        </c:ser>
        <c:ser>
          <c:idx val="4"/>
          <c:order val="6"/>
          <c:tx>
            <c:strRef>
              <c:f>'Month - Jan 2011'!$B$44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Jan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2011'!$F$44:$Y$44</c:f>
              <c:numCache>
                <c:formatCode>0.0%</c:formatCode>
                <c:ptCount val="20"/>
                <c:pt idx="0">
                  <c:v>10.71218836565097</c:v>
                </c:pt>
                <c:pt idx="1">
                  <c:v>5.3560941828254851</c:v>
                </c:pt>
                <c:pt idx="2">
                  <c:v>3.5707294552169899</c:v>
                </c:pt>
                <c:pt idx="3">
                  <c:v>2.6780470914127426</c:v>
                </c:pt>
                <c:pt idx="4">
                  <c:v>2.142437673130194</c:v>
                </c:pt>
                <c:pt idx="5">
                  <c:v>1.785364727608495</c:v>
                </c:pt>
                <c:pt idx="6">
                  <c:v>1.6035562590687245</c:v>
                </c:pt>
                <c:pt idx="7">
                  <c:v>1.473213296398892</c:v>
                </c:pt>
                <c:pt idx="8">
                  <c:v>1.3884928696009031</c:v>
                </c:pt>
                <c:pt idx="9">
                  <c:v>1.324792243767313</c:v>
                </c:pt>
                <c:pt idx="10">
                  <c:v>1.3141643582640812</c:v>
                </c:pt>
                <c:pt idx="11">
                  <c:v>1.26593567251462</c:v>
                </c:pt>
                <c:pt idx="12">
                  <c:v>1.2282022870942539</c:v>
                </c:pt>
                <c:pt idx="13">
                  <c:v>1.2221250494657698</c:v>
                </c:pt>
                <c:pt idx="14">
                  <c:v>1.1963459526008</c:v>
                </c:pt>
                <c:pt idx="15">
                  <c:v>1.1610422437673129</c:v>
                </c:pt>
                <c:pt idx="16">
                  <c:v>1.1064863396882298</c:v>
                </c:pt>
                <c:pt idx="17">
                  <c:v>1.0570462706473787</c:v>
                </c:pt>
                <c:pt idx="18">
                  <c:v>1.0013937891820965</c:v>
                </c:pt>
                <c:pt idx="19">
                  <c:v>0.97656694367497687</c:v>
                </c:pt>
              </c:numCache>
            </c:numRef>
          </c:val>
        </c:ser>
        <c:marker val="1"/>
        <c:axId val="133281664"/>
        <c:axId val="133283200"/>
      </c:lineChart>
      <c:catAx>
        <c:axId val="133281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283200"/>
        <c:crosses val="autoZero"/>
        <c:auto val="1"/>
        <c:lblAlgn val="ctr"/>
        <c:lblOffset val="100"/>
      </c:catAx>
      <c:valAx>
        <c:axId val="133283200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28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1398052662772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Feb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479573910057696E-2"/>
          <c:y val="0.14130449781812823"/>
          <c:w val="0.85891874180397199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'Feb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('Feb 10'!$F$39:$X$39,'Feb 10'!$Y$39)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10'!$F$40:$Y$40</c:f>
              <c:numCache>
                <c:formatCode>0</c:formatCode>
                <c:ptCount val="20"/>
                <c:pt idx="0">
                  <c:v>1113200</c:v>
                </c:pt>
                <c:pt idx="1">
                  <c:v>638330</c:v>
                </c:pt>
                <c:pt idx="2">
                  <c:v>480053.33333333337</c:v>
                </c:pt>
                <c:pt idx="3">
                  <c:v>429665</c:v>
                </c:pt>
                <c:pt idx="4">
                  <c:v>343732</c:v>
                </c:pt>
                <c:pt idx="5">
                  <c:v>347040</c:v>
                </c:pt>
                <c:pt idx="6">
                  <c:v>329445.71428571426</c:v>
                </c:pt>
                <c:pt idx="7">
                  <c:v>327730</c:v>
                </c:pt>
                <c:pt idx="8">
                  <c:v>340635.55555555556</c:v>
                </c:pt>
                <c:pt idx="9">
                  <c:v>317712</c:v>
                </c:pt>
                <c:pt idx="10">
                  <c:v>316634.54545454541</c:v>
                </c:pt>
                <c:pt idx="11">
                  <c:v>303720</c:v>
                </c:pt>
                <c:pt idx="12">
                  <c:v>306256.92307692306</c:v>
                </c:pt>
                <c:pt idx="13">
                  <c:v>291684.28571428574</c:v>
                </c:pt>
                <c:pt idx="14">
                  <c:v>289365.33333333331</c:v>
                </c:pt>
                <c:pt idx="15">
                  <c:v>293015</c:v>
                </c:pt>
                <c:pt idx="16">
                  <c:v>283575.29411764705</c:v>
                </c:pt>
                <c:pt idx="17">
                  <c:v>272167.77777777775</c:v>
                </c:pt>
                <c:pt idx="18">
                  <c:v>265662.10526315792</c:v>
                </c:pt>
                <c:pt idx="19">
                  <c:v>251294</c:v>
                </c:pt>
              </c:numCache>
            </c:numRef>
          </c:val>
        </c:ser>
        <c:ser>
          <c:idx val="1"/>
          <c:order val="1"/>
          <c:tx>
            <c:strRef>
              <c:f>'Feb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('Feb 10'!$F$39:$X$39,'Feb 10'!$Y$39)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10'!$F$41:$Y$41</c:f>
              <c:numCache>
                <c:formatCode>0</c:formatCode>
                <c:ptCount val="20"/>
                <c:pt idx="0">
                  <c:v>379080</c:v>
                </c:pt>
                <c:pt idx="1">
                  <c:v>227890</c:v>
                </c:pt>
                <c:pt idx="2">
                  <c:v>257766.66666666669</c:v>
                </c:pt>
                <c:pt idx="3">
                  <c:v>254745</c:v>
                </c:pt>
                <c:pt idx="4">
                  <c:v>212788</c:v>
                </c:pt>
                <c:pt idx="5">
                  <c:v>189640</c:v>
                </c:pt>
                <c:pt idx="6">
                  <c:v>174191.42857142858</c:v>
                </c:pt>
                <c:pt idx="7">
                  <c:v>184970</c:v>
                </c:pt>
                <c:pt idx="8">
                  <c:v>197751.11111111109</c:v>
                </c:pt>
                <c:pt idx="9">
                  <c:v>208216</c:v>
                </c:pt>
                <c:pt idx="10">
                  <c:v>202905.45454545456</c:v>
                </c:pt>
                <c:pt idx="11">
                  <c:v>185996.66666666669</c:v>
                </c:pt>
                <c:pt idx="12">
                  <c:v>192743.07692307691</c:v>
                </c:pt>
                <c:pt idx="13">
                  <c:v>175978.57142857142</c:v>
                </c:pt>
                <c:pt idx="14">
                  <c:v>164246.66666666669</c:v>
                </c:pt>
                <c:pt idx="15">
                  <c:v>153981.25</c:v>
                </c:pt>
                <c:pt idx="16">
                  <c:v>153735.29411764705</c:v>
                </c:pt>
                <c:pt idx="17">
                  <c:v>140682.22222222222</c:v>
                </c:pt>
                <c:pt idx="18">
                  <c:v>141788.42105263157</c:v>
                </c:pt>
                <c:pt idx="19">
                  <c:v>139439</c:v>
                </c:pt>
              </c:numCache>
            </c:numRef>
          </c:val>
        </c:ser>
        <c:ser>
          <c:idx val="2"/>
          <c:order val="2"/>
          <c:tx>
            <c:strRef>
              <c:f>'Feb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('Feb 10'!$F$39:$X$39,'Feb 10'!$Y$39)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10'!$F$42:$Y$42</c:f>
              <c:numCache>
                <c:formatCode>0</c:formatCode>
                <c:ptCount val="20"/>
                <c:pt idx="0">
                  <c:v>445770</c:v>
                </c:pt>
                <c:pt idx="1">
                  <c:v>314550</c:v>
                </c:pt>
                <c:pt idx="2">
                  <c:v>288840</c:v>
                </c:pt>
                <c:pt idx="3">
                  <c:v>232375.5</c:v>
                </c:pt>
                <c:pt idx="4">
                  <c:v>221108.4</c:v>
                </c:pt>
                <c:pt idx="5">
                  <c:v>190557</c:v>
                </c:pt>
                <c:pt idx="6">
                  <c:v>170262.85714285713</c:v>
                </c:pt>
                <c:pt idx="7">
                  <c:v>157520.25</c:v>
                </c:pt>
                <c:pt idx="8">
                  <c:v>139738</c:v>
                </c:pt>
                <c:pt idx="9">
                  <c:v>145168.20000000001</c:v>
                </c:pt>
                <c:pt idx="10">
                  <c:v>150290.18181818182</c:v>
                </c:pt>
                <c:pt idx="11">
                  <c:v>140016</c:v>
                </c:pt>
                <c:pt idx="12">
                  <c:v>134361.69230769231</c:v>
                </c:pt>
                <c:pt idx="13">
                  <c:v>127458.00000000001</c:v>
                </c:pt>
                <c:pt idx="14">
                  <c:v>136680</c:v>
                </c:pt>
                <c:pt idx="15">
                  <c:v>128137.5</c:v>
                </c:pt>
                <c:pt idx="16">
                  <c:v>125767.0588235294</c:v>
                </c:pt>
                <c:pt idx="17">
                  <c:v>122975</c:v>
                </c:pt>
                <c:pt idx="18">
                  <c:v>116502.63157894736</c:v>
                </c:pt>
                <c:pt idx="19">
                  <c:v>112837</c:v>
                </c:pt>
              </c:numCache>
            </c:numRef>
          </c:val>
        </c:ser>
        <c:ser>
          <c:idx val="3"/>
          <c:order val="3"/>
          <c:tx>
            <c:strRef>
              <c:f>'Feb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('Feb 10'!$F$39:$X$39,'Feb 10'!$Y$39)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10'!$F$43:$Y$43</c:f>
              <c:numCache>
                <c:formatCode>0</c:formatCode>
                <c:ptCount val="20"/>
                <c:pt idx="0">
                  <c:v>1769166.4</c:v>
                </c:pt>
                <c:pt idx="1">
                  <c:v>1075413.6000000001</c:v>
                </c:pt>
                <c:pt idx="2">
                  <c:v>901365.8666666667</c:v>
                </c:pt>
                <c:pt idx="3">
                  <c:v>764707.39999999991</c:v>
                </c:pt>
                <c:pt idx="4">
                  <c:v>656505.12</c:v>
                </c:pt>
                <c:pt idx="5">
                  <c:v>578455.33333333326</c:v>
                </c:pt>
                <c:pt idx="6">
                  <c:v>575254.28571428568</c:v>
                </c:pt>
                <c:pt idx="7">
                  <c:v>560716</c:v>
                </c:pt>
                <c:pt idx="8">
                  <c:v>525076.97777777771</c:v>
                </c:pt>
                <c:pt idx="9">
                  <c:v>532501.43999999994</c:v>
                </c:pt>
                <c:pt idx="10">
                  <c:v>529281.67272727261</c:v>
                </c:pt>
                <c:pt idx="11">
                  <c:v>543591.66666666663</c:v>
                </c:pt>
                <c:pt idx="12">
                  <c:v>540374.9538461538</c:v>
                </c:pt>
                <c:pt idx="13">
                  <c:v>537217.14285714284</c:v>
                </c:pt>
                <c:pt idx="14">
                  <c:v>531357.81333333335</c:v>
                </c:pt>
                <c:pt idx="15">
                  <c:v>504666.95</c:v>
                </c:pt>
                <c:pt idx="16">
                  <c:v>484581.41176470584</c:v>
                </c:pt>
                <c:pt idx="17">
                  <c:v>467443.73333333328</c:v>
                </c:pt>
                <c:pt idx="18">
                  <c:v>455213.93684210523</c:v>
                </c:pt>
                <c:pt idx="19">
                  <c:v>384580</c:v>
                </c:pt>
              </c:numCache>
            </c:numRef>
          </c:val>
        </c:ser>
        <c:ser>
          <c:idx val="4"/>
          <c:order val="4"/>
          <c:tx>
            <c:strRef>
              <c:f>'Feb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('Feb 10'!$F$39:$X$39,'Feb 10'!$Y$39)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10'!$F$44:$Y$44</c:f>
              <c:numCache>
                <c:formatCode>0</c:formatCode>
                <c:ptCount val="20"/>
                <c:pt idx="0">
                  <c:v>3707216.4</c:v>
                </c:pt>
                <c:pt idx="1">
                  <c:v>2256183.6</c:v>
                </c:pt>
                <c:pt idx="2">
                  <c:v>1928025.8666666667</c:v>
                </c:pt>
                <c:pt idx="3">
                  <c:v>1681492.9</c:v>
                </c:pt>
                <c:pt idx="4">
                  <c:v>1434133.52</c:v>
                </c:pt>
                <c:pt idx="5">
                  <c:v>1305692.3333333333</c:v>
                </c:pt>
                <c:pt idx="6">
                  <c:v>1249154.2857142857</c:v>
                </c:pt>
                <c:pt idx="7">
                  <c:v>1230936.25</c:v>
                </c:pt>
                <c:pt idx="8">
                  <c:v>1203201.6444444442</c:v>
                </c:pt>
                <c:pt idx="9">
                  <c:v>1203597.6399999999</c:v>
                </c:pt>
                <c:pt idx="10">
                  <c:v>1199111.8545454545</c:v>
                </c:pt>
                <c:pt idx="11">
                  <c:v>1173324.3333333335</c:v>
                </c:pt>
                <c:pt idx="12">
                  <c:v>1173736.6461538461</c:v>
                </c:pt>
                <c:pt idx="13">
                  <c:v>1132338</c:v>
                </c:pt>
                <c:pt idx="14">
                  <c:v>1121649.8133333335</c:v>
                </c:pt>
                <c:pt idx="15">
                  <c:v>1079800.7</c:v>
                </c:pt>
                <c:pt idx="16">
                  <c:v>1047659.0588235294</c:v>
                </c:pt>
                <c:pt idx="17">
                  <c:v>1003268.7333333333</c:v>
                </c:pt>
                <c:pt idx="18">
                  <c:v>979167.09473684209</c:v>
                </c:pt>
                <c:pt idx="19">
                  <c:v>888150</c:v>
                </c:pt>
              </c:numCache>
            </c:numRef>
          </c:val>
        </c:ser>
        <c:marker val="1"/>
        <c:axId val="107877888"/>
        <c:axId val="107879424"/>
      </c:lineChart>
      <c:catAx>
        <c:axId val="1078778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879424"/>
        <c:crosses val="autoZero"/>
        <c:auto val="1"/>
        <c:lblAlgn val="ctr"/>
        <c:lblOffset val="100"/>
      </c:catAx>
      <c:valAx>
        <c:axId val="1078794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87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98853432796383"/>
          <c:y val="0.90434873901631796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Feb 2011'!$B$48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2011'!$F$48:$Y$48</c:f>
              <c:numCache>
                <c:formatCode>0</c:formatCode>
                <c:ptCount val="20"/>
                <c:pt idx="0">
                  <c:v>3600360</c:v>
                </c:pt>
                <c:pt idx="1">
                  <c:v>1928160</c:v>
                </c:pt>
                <c:pt idx="2">
                  <c:v>1424680</c:v>
                </c:pt>
                <c:pt idx="3">
                  <c:v>1141980</c:v>
                </c:pt>
                <c:pt idx="4">
                  <c:v>982536</c:v>
                </c:pt>
                <c:pt idx="5">
                  <c:v>901493.33333333326</c:v>
                </c:pt>
                <c:pt idx="6">
                  <c:v>797325.71428571432</c:v>
                </c:pt>
                <c:pt idx="7">
                  <c:v>763532.5</c:v>
                </c:pt>
                <c:pt idx="8">
                  <c:v>671942.22222222225</c:v>
                </c:pt>
                <c:pt idx="9">
                  <c:v>662522</c:v>
                </c:pt>
                <c:pt idx="10">
                  <c:v>613343.63636363635</c:v>
                </c:pt>
                <c:pt idx="11">
                  <c:v>586721.66666666663</c:v>
                </c:pt>
                <c:pt idx="12">
                  <c:v>576689.23076923075</c:v>
                </c:pt>
                <c:pt idx="13">
                  <c:v>564430</c:v>
                </c:pt>
                <c:pt idx="14">
                  <c:v>546910.66666666663</c:v>
                </c:pt>
                <c:pt idx="15">
                  <c:v>512728.75</c:v>
                </c:pt>
                <c:pt idx="16">
                  <c:v>494257.6470588235</c:v>
                </c:pt>
                <c:pt idx="17">
                  <c:v>480305.55555555556</c:v>
                </c:pt>
                <c:pt idx="18">
                  <c:v>448628.42105263157</c:v>
                </c:pt>
                <c:pt idx="19">
                  <c:v>397310</c:v>
                </c:pt>
              </c:numCache>
            </c:numRef>
          </c:val>
        </c:ser>
        <c:ser>
          <c:idx val="6"/>
          <c:order val="1"/>
          <c:tx>
            <c:strRef>
              <c:f>'Month - Feb 2011'!$B$49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2011'!$F$49:$Y$49</c:f>
              <c:numCache>
                <c:formatCode>0</c:formatCode>
                <c:ptCount val="20"/>
                <c:pt idx="0">
                  <c:v>513500</c:v>
                </c:pt>
                <c:pt idx="1">
                  <c:v>353650</c:v>
                </c:pt>
                <c:pt idx="2">
                  <c:v>235706.66666666669</c:v>
                </c:pt>
                <c:pt idx="3">
                  <c:v>176825</c:v>
                </c:pt>
                <c:pt idx="4">
                  <c:v>160640</c:v>
                </c:pt>
                <c:pt idx="5">
                  <c:v>133866.66666666666</c:v>
                </c:pt>
                <c:pt idx="6">
                  <c:v>122442.85714285713</c:v>
                </c:pt>
                <c:pt idx="7">
                  <c:v>114625</c:v>
                </c:pt>
                <c:pt idx="8">
                  <c:v>115200</c:v>
                </c:pt>
                <c:pt idx="9">
                  <c:v>109670</c:v>
                </c:pt>
                <c:pt idx="10">
                  <c:v>99700</c:v>
                </c:pt>
                <c:pt idx="11">
                  <c:v>96383.333333333343</c:v>
                </c:pt>
                <c:pt idx="12">
                  <c:v>88969.230769230766</c:v>
                </c:pt>
                <c:pt idx="13">
                  <c:v>94742.85714285713</c:v>
                </c:pt>
                <c:pt idx="14">
                  <c:v>88160</c:v>
                </c:pt>
                <c:pt idx="15">
                  <c:v>83275</c:v>
                </c:pt>
                <c:pt idx="16">
                  <c:v>85423.529411764699</c:v>
                </c:pt>
                <c:pt idx="17">
                  <c:v>80677.777777777781</c:v>
                </c:pt>
                <c:pt idx="18">
                  <c:v>79584.210526315786</c:v>
                </c:pt>
                <c:pt idx="19">
                  <c:v>78905</c:v>
                </c:pt>
              </c:numCache>
            </c:numRef>
          </c:val>
        </c:ser>
        <c:ser>
          <c:idx val="1"/>
          <c:order val="2"/>
          <c:tx>
            <c:strRef>
              <c:f>'Month - Feb 2011'!$B$50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2011'!$F$50:$Y$50</c:f>
              <c:numCache>
                <c:formatCode>0</c:formatCode>
                <c:ptCount val="20"/>
                <c:pt idx="0">
                  <c:v>1920300</c:v>
                </c:pt>
                <c:pt idx="1">
                  <c:v>1015100</c:v>
                </c:pt>
                <c:pt idx="2">
                  <c:v>757006.66666666674</c:v>
                </c:pt>
                <c:pt idx="3">
                  <c:v>579205</c:v>
                </c:pt>
                <c:pt idx="4">
                  <c:v>491344</c:v>
                </c:pt>
                <c:pt idx="5">
                  <c:v>429103.33333333337</c:v>
                </c:pt>
                <c:pt idx="6">
                  <c:v>404617.14285714284</c:v>
                </c:pt>
                <c:pt idx="7">
                  <c:v>389652.5</c:v>
                </c:pt>
                <c:pt idx="8">
                  <c:v>376991.11111111112</c:v>
                </c:pt>
                <c:pt idx="9">
                  <c:v>357262</c:v>
                </c:pt>
                <c:pt idx="10">
                  <c:v>337856.36363636359</c:v>
                </c:pt>
                <c:pt idx="11">
                  <c:v>343326.66666666663</c:v>
                </c:pt>
                <c:pt idx="12">
                  <c:v>340286.15384615381</c:v>
                </c:pt>
                <c:pt idx="13">
                  <c:v>324537.14285714284</c:v>
                </c:pt>
                <c:pt idx="14">
                  <c:v>321608</c:v>
                </c:pt>
                <c:pt idx="15">
                  <c:v>301507.5</c:v>
                </c:pt>
                <c:pt idx="16">
                  <c:v>297924.70588235295</c:v>
                </c:pt>
                <c:pt idx="17">
                  <c:v>281373.33333333331</c:v>
                </c:pt>
                <c:pt idx="18">
                  <c:v>266564.21052631579</c:v>
                </c:pt>
                <c:pt idx="19">
                  <c:v>249781</c:v>
                </c:pt>
              </c:numCache>
            </c:numRef>
          </c:val>
        </c:ser>
        <c:ser>
          <c:idx val="2"/>
          <c:order val="3"/>
          <c:tx>
            <c:strRef>
              <c:f>'Month - Feb 2011'!$B$51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2011'!$F$51:$Y$51</c:f>
              <c:numCache>
                <c:formatCode>0</c:formatCode>
                <c:ptCount val="20"/>
                <c:pt idx="0">
                  <c:v>922300</c:v>
                </c:pt>
                <c:pt idx="1">
                  <c:v>509700</c:v>
                </c:pt>
                <c:pt idx="2">
                  <c:v>390773.33333333337</c:v>
                </c:pt>
                <c:pt idx="3">
                  <c:v>327910</c:v>
                </c:pt>
                <c:pt idx="4">
                  <c:v>282472</c:v>
                </c:pt>
                <c:pt idx="5">
                  <c:v>281550</c:v>
                </c:pt>
                <c:pt idx="6">
                  <c:v>252634.28571428574</c:v>
                </c:pt>
                <c:pt idx="7">
                  <c:v>243982.5</c:v>
                </c:pt>
                <c:pt idx="8">
                  <c:v>216873.33333333331</c:v>
                </c:pt>
                <c:pt idx="9">
                  <c:v>226874</c:v>
                </c:pt>
                <c:pt idx="10">
                  <c:v>196243.63636363635</c:v>
                </c:pt>
                <c:pt idx="11">
                  <c:v>184381.66666666669</c:v>
                </c:pt>
                <c:pt idx="12">
                  <c:v>186809.23076923078</c:v>
                </c:pt>
                <c:pt idx="13">
                  <c:v>178608.57142857142</c:v>
                </c:pt>
                <c:pt idx="14">
                  <c:v>176834.66666666669</c:v>
                </c:pt>
                <c:pt idx="15">
                  <c:v>165782.5</c:v>
                </c:pt>
                <c:pt idx="16">
                  <c:v>165344.70588235295</c:v>
                </c:pt>
                <c:pt idx="17">
                  <c:v>156158.88888888888</c:v>
                </c:pt>
                <c:pt idx="18">
                  <c:v>142265.26315789472</c:v>
                </c:pt>
                <c:pt idx="19">
                  <c:v>147169</c:v>
                </c:pt>
              </c:numCache>
            </c:numRef>
          </c:val>
        </c:ser>
        <c:ser>
          <c:idx val="3"/>
          <c:order val="4"/>
          <c:tx>
            <c:strRef>
              <c:f>'Month - Feb 2011'!$B$52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2011'!$F$52:$Y$52</c:f>
              <c:numCache>
                <c:formatCode>0</c:formatCode>
                <c:ptCount val="20"/>
                <c:pt idx="0">
                  <c:v>252240</c:v>
                </c:pt>
                <c:pt idx="1">
                  <c:v>196070</c:v>
                </c:pt>
                <c:pt idx="2">
                  <c:v>130713.33333333334</c:v>
                </c:pt>
                <c:pt idx="3">
                  <c:v>132110</c:v>
                </c:pt>
                <c:pt idx="4">
                  <c:v>98096</c:v>
                </c:pt>
                <c:pt idx="5">
                  <c:v>81746.666666666672</c:v>
                </c:pt>
                <c:pt idx="6">
                  <c:v>88340</c:v>
                </c:pt>
                <c:pt idx="7">
                  <c:v>97285</c:v>
                </c:pt>
                <c:pt idx="8">
                  <c:v>91413.333333333343</c:v>
                </c:pt>
                <c:pt idx="9">
                  <c:v>82272</c:v>
                </c:pt>
                <c:pt idx="10">
                  <c:v>74792.727272727265</c:v>
                </c:pt>
                <c:pt idx="11">
                  <c:v>68560</c:v>
                </c:pt>
                <c:pt idx="12">
                  <c:v>63286.153846153844</c:v>
                </c:pt>
                <c:pt idx="13">
                  <c:v>65908.571428571435</c:v>
                </c:pt>
                <c:pt idx="14">
                  <c:v>61514.666666666664</c:v>
                </c:pt>
                <c:pt idx="15">
                  <c:v>69315</c:v>
                </c:pt>
                <c:pt idx="16">
                  <c:v>65237.647058823532</c:v>
                </c:pt>
                <c:pt idx="17">
                  <c:v>61613.333333333328</c:v>
                </c:pt>
                <c:pt idx="18">
                  <c:v>58370.526315789473</c:v>
                </c:pt>
                <c:pt idx="19">
                  <c:v>55452</c:v>
                </c:pt>
              </c:numCache>
            </c:numRef>
          </c:val>
        </c:ser>
        <c:ser>
          <c:idx val="4"/>
          <c:order val="5"/>
          <c:tx>
            <c:strRef>
              <c:f>'Month - Feb 2011'!$B$53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2011'!$F$53:$Y$53</c:f>
              <c:numCache>
                <c:formatCode>0</c:formatCode>
                <c:ptCount val="20"/>
                <c:pt idx="0">
                  <c:v>2028760</c:v>
                </c:pt>
                <c:pt idx="1">
                  <c:v>1338240</c:v>
                </c:pt>
                <c:pt idx="2">
                  <c:v>1123866.6666666667</c:v>
                </c:pt>
                <c:pt idx="3">
                  <c:v>914560</c:v>
                </c:pt>
                <c:pt idx="4">
                  <c:v>757252</c:v>
                </c:pt>
                <c:pt idx="5">
                  <c:v>639243.33333333337</c:v>
                </c:pt>
                <c:pt idx="6">
                  <c:v>635288.57142857148</c:v>
                </c:pt>
                <c:pt idx="7">
                  <c:v>625302.5</c:v>
                </c:pt>
                <c:pt idx="8">
                  <c:v>585722.22222222225</c:v>
                </c:pt>
                <c:pt idx="9">
                  <c:v>561946</c:v>
                </c:pt>
                <c:pt idx="10">
                  <c:v>514909.09090909088</c:v>
                </c:pt>
                <c:pt idx="11">
                  <c:v>480200</c:v>
                </c:pt>
                <c:pt idx="12">
                  <c:v>465383.07692307694</c:v>
                </c:pt>
                <c:pt idx="13">
                  <c:v>455551.42857142852</c:v>
                </c:pt>
                <c:pt idx="14">
                  <c:v>438208</c:v>
                </c:pt>
                <c:pt idx="15">
                  <c:v>431045</c:v>
                </c:pt>
                <c:pt idx="16">
                  <c:v>418101.17647058825</c:v>
                </c:pt>
                <c:pt idx="17">
                  <c:v>407102.22222222219</c:v>
                </c:pt>
                <c:pt idx="18">
                  <c:v>416286.31578947365</c:v>
                </c:pt>
                <c:pt idx="19">
                  <c:v>365782</c:v>
                </c:pt>
              </c:numCache>
            </c:numRef>
          </c:val>
        </c:ser>
        <c:ser>
          <c:idx val="5"/>
          <c:order val="6"/>
          <c:tx>
            <c:strRef>
              <c:f>'Month - Feb 2011'!$B$54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Feb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2011'!$F$54:$Y$54</c:f>
              <c:numCache>
                <c:formatCode>0</c:formatCode>
                <c:ptCount val="20"/>
                <c:pt idx="0">
                  <c:v>9237460</c:v>
                </c:pt>
                <c:pt idx="1">
                  <c:v>5340920</c:v>
                </c:pt>
                <c:pt idx="2">
                  <c:v>4062746.666666667</c:v>
                </c:pt>
                <c:pt idx="3">
                  <c:v>3272590</c:v>
                </c:pt>
                <c:pt idx="4">
                  <c:v>2772340</c:v>
                </c:pt>
                <c:pt idx="5">
                  <c:v>2467003.3333333335</c:v>
                </c:pt>
                <c:pt idx="6">
                  <c:v>2300648.5714285714</c:v>
                </c:pt>
                <c:pt idx="7">
                  <c:v>2234380</c:v>
                </c:pt>
                <c:pt idx="8">
                  <c:v>2058142.2222222222</c:v>
                </c:pt>
                <c:pt idx="9">
                  <c:v>2000546</c:v>
                </c:pt>
                <c:pt idx="10">
                  <c:v>1836845.4545454544</c:v>
                </c:pt>
                <c:pt idx="11">
                  <c:v>1759573.3333333333</c:v>
                </c:pt>
                <c:pt idx="12">
                  <c:v>1721423.0769230768</c:v>
                </c:pt>
                <c:pt idx="13">
                  <c:v>1683778.5714285714</c:v>
                </c:pt>
                <c:pt idx="14">
                  <c:v>1633236</c:v>
                </c:pt>
                <c:pt idx="15">
                  <c:v>1563653.75</c:v>
                </c:pt>
                <c:pt idx="16">
                  <c:v>1526289.411764706</c:v>
                </c:pt>
                <c:pt idx="17">
                  <c:v>1467231.1111111112</c:v>
                </c:pt>
                <c:pt idx="18">
                  <c:v>1411698.9473684209</c:v>
                </c:pt>
                <c:pt idx="19">
                  <c:v>1294399</c:v>
                </c:pt>
              </c:numCache>
            </c:numRef>
          </c:val>
        </c:ser>
        <c:marker val="1"/>
        <c:axId val="133468544"/>
        <c:axId val="133470080"/>
      </c:lineChart>
      <c:catAx>
        <c:axId val="1334685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470080"/>
        <c:crosses val="autoZero"/>
        <c:auto val="1"/>
        <c:lblAlgn val="ctr"/>
        <c:lblOffset val="100"/>
      </c:catAx>
      <c:valAx>
        <c:axId val="13347008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46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Feb 2011'!$B$6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2011'!$F$17:$Y$17</c:f>
              <c:numCache>
                <c:formatCode>0.0%</c:formatCode>
                <c:ptCount val="20"/>
                <c:pt idx="0">
                  <c:v>1.0900281690140845</c:v>
                </c:pt>
                <c:pt idx="1">
                  <c:v>0.68552112676056343</c:v>
                </c:pt>
                <c:pt idx="2">
                  <c:v>1.2121690140845069</c:v>
                </c:pt>
                <c:pt idx="3">
                  <c:v>0.82783098591549298</c:v>
                </c:pt>
                <c:pt idx="4">
                  <c:v>0.97115492957746474</c:v>
                </c:pt>
                <c:pt idx="5">
                  <c:v>1.3979718309859155</c:v>
                </c:pt>
                <c:pt idx="6">
                  <c:v>0.48540845070422534</c:v>
                </c:pt>
                <c:pt idx="7">
                  <c:v>1.4844507042253521</c:v>
                </c:pt>
                <c:pt idx="8">
                  <c:v>0</c:v>
                </c:pt>
                <c:pt idx="9">
                  <c:v>1.6274366197183099</c:v>
                </c:pt>
                <c:pt idx="10">
                  <c:v>0.34242253521126764</c:v>
                </c:pt>
                <c:pt idx="11">
                  <c:v>0.82783098591549298</c:v>
                </c:pt>
                <c:pt idx="12">
                  <c:v>1.2853521126760563</c:v>
                </c:pt>
                <c:pt idx="13">
                  <c:v>1.9123943661971832</c:v>
                </c:pt>
                <c:pt idx="14">
                  <c:v>1.6210704225352113</c:v>
                </c:pt>
                <c:pt idx="15">
                  <c:v>0.77138028169014083</c:v>
                </c:pt>
                <c:pt idx="16">
                  <c:v>0.87650704225352116</c:v>
                </c:pt>
                <c:pt idx="17">
                  <c:v>1.6274366197183099</c:v>
                </c:pt>
                <c:pt idx="18">
                  <c:v>1.2850140845070421</c:v>
                </c:pt>
                <c:pt idx="19">
                  <c:v>1.1138028169014085</c:v>
                </c:pt>
              </c:numCache>
            </c:numRef>
          </c:val>
        </c:ser>
        <c:ser>
          <c:idx val="6"/>
          <c:order val="1"/>
          <c:tx>
            <c:strRef>
              <c:f>'Month - Feb 2011'!$B$18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Feb 2011'!$F$18:$Y$18</c:f>
              <c:numCache>
                <c:formatCode>0.0%</c:formatCode>
                <c:ptCount val="20"/>
                <c:pt idx="0">
                  <c:v>0.59888888888888892</c:v>
                </c:pt>
                <c:pt idx="1">
                  <c:v>1.5544444444444445</c:v>
                </c:pt>
                <c:pt idx="2">
                  <c:v>0</c:v>
                </c:pt>
                <c:pt idx="3">
                  <c:v>0</c:v>
                </c:pt>
                <c:pt idx="4">
                  <c:v>1.0655555555555556</c:v>
                </c:pt>
                <c:pt idx="5">
                  <c:v>0</c:v>
                </c:pt>
                <c:pt idx="6">
                  <c:v>0.59888888888888892</c:v>
                </c:pt>
                <c:pt idx="7">
                  <c:v>0.66555555555555557</c:v>
                </c:pt>
                <c:pt idx="8">
                  <c:v>1.3311111111111111</c:v>
                </c:pt>
                <c:pt idx="9">
                  <c:v>0.66555555555555557</c:v>
                </c:pt>
                <c:pt idx="10">
                  <c:v>0</c:v>
                </c:pt>
                <c:pt idx="11">
                  <c:v>0.66555555555555557</c:v>
                </c:pt>
                <c:pt idx="12">
                  <c:v>0</c:v>
                </c:pt>
                <c:pt idx="13">
                  <c:v>1.8866666666666667</c:v>
                </c:pt>
                <c:pt idx="14">
                  <c:v>0.66555555555555557</c:v>
                </c:pt>
                <c:pt idx="15">
                  <c:v>0</c:v>
                </c:pt>
                <c:pt idx="16">
                  <c:v>1.3311111111111111</c:v>
                </c:pt>
                <c:pt idx="17">
                  <c:v>0</c:v>
                </c:pt>
                <c:pt idx="18">
                  <c:v>0.66555555555555557</c:v>
                </c:pt>
                <c:pt idx="19">
                  <c:v>0</c:v>
                </c:pt>
              </c:numCache>
            </c:numRef>
          </c:val>
        </c:ser>
        <c:ser>
          <c:idx val="1"/>
          <c:order val="2"/>
          <c:tx>
            <c:strRef>
              <c:f>'Month - Feb 2011'!$B$8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2011'!$F$19:$Y$19</c:f>
              <c:numCache>
                <c:formatCode>0.0%</c:formatCode>
                <c:ptCount val="20"/>
                <c:pt idx="0">
                  <c:v>1.1465000000000001</c:v>
                </c:pt>
                <c:pt idx="1">
                  <c:v>0.54949999999999999</c:v>
                </c:pt>
                <c:pt idx="2">
                  <c:v>1.2040999999999999</c:v>
                </c:pt>
                <c:pt idx="3">
                  <c:v>0.22899999999999998</c:v>
                </c:pt>
                <c:pt idx="4">
                  <c:v>0.69950000000000001</c:v>
                </c:pt>
                <c:pt idx="5">
                  <c:v>0.58950000000000002</c:v>
                </c:pt>
                <c:pt idx="6">
                  <c:v>1.2885</c:v>
                </c:pt>
                <c:pt idx="7">
                  <c:v>1.724</c:v>
                </c:pt>
                <c:pt idx="8">
                  <c:v>1.079</c:v>
                </c:pt>
                <c:pt idx="9">
                  <c:v>0.89849999999999997</c:v>
                </c:pt>
                <c:pt idx="10">
                  <c:v>0.71899999999999997</c:v>
                </c:pt>
                <c:pt idx="11">
                  <c:v>2.0175000000000001</c:v>
                </c:pt>
                <c:pt idx="12">
                  <c:v>1.5190000000000001</c:v>
                </c:pt>
                <c:pt idx="13">
                  <c:v>0.59899999999999998</c:v>
                </c:pt>
                <c:pt idx="14">
                  <c:v>1.403</c:v>
                </c:pt>
                <c:pt idx="15">
                  <c:v>0</c:v>
                </c:pt>
                <c:pt idx="16">
                  <c:v>2.427</c:v>
                </c:pt>
                <c:pt idx="17">
                  <c:v>1.1034999999999999</c:v>
                </c:pt>
                <c:pt idx="18">
                  <c:v>1.2989999999999999</c:v>
                </c:pt>
                <c:pt idx="19">
                  <c:v>0.55400000000000005</c:v>
                </c:pt>
              </c:numCache>
            </c:numRef>
          </c:val>
        </c:ser>
        <c:ser>
          <c:idx val="2"/>
          <c:order val="3"/>
          <c:tx>
            <c:strRef>
              <c:f>'Month - Feb 2011'!$B$20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2011'!$F$20:$Y$20</c:f>
              <c:numCache>
                <c:formatCode>0.0%</c:formatCode>
                <c:ptCount val="20"/>
                <c:pt idx="0">
                  <c:v>1.1215463917525774</c:v>
                </c:pt>
                <c:pt idx="1">
                  <c:v>0.50051546391752577</c:v>
                </c:pt>
                <c:pt idx="2">
                  <c:v>0.78814432989690719</c:v>
                </c:pt>
                <c:pt idx="3">
                  <c:v>0.71814432989690724</c:v>
                </c:pt>
                <c:pt idx="4">
                  <c:v>0.51917525773195883</c:v>
                </c:pt>
                <c:pt idx="5">
                  <c:v>1.4275257731958764</c:v>
                </c:pt>
                <c:pt idx="6">
                  <c:v>0.40783505154639177</c:v>
                </c:pt>
                <c:pt idx="7">
                  <c:v>0.94546391752577319</c:v>
                </c:pt>
                <c:pt idx="8">
                  <c:v>0</c:v>
                </c:pt>
                <c:pt idx="9">
                  <c:v>0.46391752577319589</c:v>
                </c:pt>
                <c:pt idx="10">
                  <c:v>0.60216494845360824</c:v>
                </c:pt>
                <c:pt idx="11">
                  <c:v>0.27783505154639176</c:v>
                </c:pt>
                <c:pt idx="12">
                  <c:v>1.1129896907216494</c:v>
                </c:pt>
                <c:pt idx="13">
                  <c:v>0.37113402061855671</c:v>
                </c:pt>
                <c:pt idx="14">
                  <c:v>1.5717525773195877</c:v>
                </c:pt>
                <c:pt idx="15">
                  <c:v>0</c:v>
                </c:pt>
                <c:pt idx="16">
                  <c:v>0</c:v>
                </c:pt>
                <c:pt idx="17">
                  <c:v>0.18505154639175259</c:v>
                </c:pt>
                <c:pt idx="18">
                  <c:v>0.37525773195876289</c:v>
                </c:pt>
                <c:pt idx="19">
                  <c:v>1.3714432989690721</c:v>
                </c:pt>
              </c:numCache>
            </c:numRef>
          </c:val>
        </c:ser>
        <c:ser>
          <c:idx val="3"/>
          <c:order val="4"/>
          <c:tx>
            <c:strRef>
              <c:f>'Month - Feb 2011'!$B$22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2011'!$F$22:$Y$22</c:f>
              <c:numCache>
                <c:formatCode>0.0%</c:formatCode>
                <c:ptCount val="20"/>
                <c:pt idx="0">
                  <c:v>0.82422764227642276</c:v>
                </c:pt>
                <c:pt idx="1">
                  <c:v>1.7552845528455285</c:v>
                </c:pt>
                <c:pt idx="2">
                  <c:v>1.8837940379403793</c:v>
                </c:pt>
                <c:pt idx="3">
                  <c:v>1.0125745257452574</c:v>
                </c:pt>
                <c:pt idx="4">
                  <c:v>0.11111111111111116</c:v>
                </c:pt>
                <c:pt idx="5">
                  <c:v>0.1333333333333333</c:v>
                </c:pt>
                <c:pt idx="6">
                  <c:v>1.2131165311653116</c:v>
                </c:pt>
                <c:pt idx="7">
                  <c:v>2.1020054200542004</c:v>
                </c:pt>
                <c:pt idx="8">
                  <c:v>0.57653116531165316</c:v>
                </c:pt>
                <c:pt idx="9">
                  <c:v>0.94298102981029808</c:v>
                </c:pt>
                <c:pt idx="10">
                  <c:v>0.12070460704607044</c:v>
                </c:pt>
                <c:pt idx="11">
                  <c:v>0.26666666666666672</c:v>
                </c:pt>
                <c:pt idx="12">
                  <c:v>0.77934959349593491</c:v>
                </c:pt>
                <c:pt idx="13">
                  <c:v>0.88813008130081306</c:v>
                </c:pt>
                <c:pt idx="14">
                  <c:v>0.9453116531165312</c:v>
                </c:pt>
                <c:pt idx="15">
                  <c:v>0.87696476964769643</c:v>
                </c:pt>
                <c:pt idx="16">
                  <c:v>1.0779403794037941</c:v>
                </c:pt>
                <c:pt idx="17">
                  <c:v>0.59653116531165318</c:v>
                </c:pt>
                <c:pt idx="18">
                  <c:v>1.6428184281842819</c:v>
                </c:pt>
                <c:pt idx="19">
                  <c:v>0.94336043360433608</c:v>
                </c:pt>
              </c:numCache>
            </c:numRef>
          </c:val>
        </c:ser>
        <c:ser>
          <c:idx val="5"/>
          <c:order val="5"/>
          <c:tx>
            <c:strRef>
              <c:f>'Month - Feb 2011'!$B$10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2011'!$F$21:$Y$21</c:f>
              <c:numCache>
                <c:formatCode>0.0%</c:formatCode>
                <c:ptCount val="20"/>
                <c:pt idx="0">
                  <c:v>0</c:v>
                </c:pt>
                <c:pt idx="1">
                  <c:v>2.798</c:v>
                </c:pt>
                <c:pt idx="2">
                  <c:v>0</c:v>
                </c:pt>
                <c:pt idx="3">
                  <c:v>1.9668000000000001</c:v>
                </c:pt>
                <c:pt idx="4">
                  <c:v>0</c:v>
                </c:pt>
                <c:pt idx="5">
                  <c:v>0</c:v>
                </c:pt>
                <c:pt idx="6">
                  <c:v>2.5579999999999998</c:v>
                </c:pt>
                <c:pt idx="7">
                  <c:v>3.198</c:v>
                </c:pt>
                <c:pt idx="8">
                  <c:v>0.88880000000000003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1.7263999999999999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Feb 2011'!$B$23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2011'!$F$23:$Y$23</c:f>
              <c:numCache>
                <c:formatCode>0.0%</c:formatCode>
                <c:ptCount val="20"/>
                <c:pt idx="0">
                  <c:v>0.94744038155802857</c:v>
                </c:pt>
                <c:pt idx="1">
                  <c:v>1.0952782193958663</c:v>
                </c:pt>
                <c:pt idx="2">
                  <c:v>1.2075993640699523</c:v>
                </c:pt>
                <c:pt idx="3">
                  <c:v>0.75594594594594589</c:v>
                </c:pt>
                <c:pt idx="4">
                  <c:v>0.57414944356120823</c:v>
                </c:pt>
                <c:pt idx="5">
                  <c:v>0.74747217806041333</c:v>
                </c:pt>
                <c:pt idx="6">
                  <c:v>0.90507154213036567</c:v>
                </c:pt>
                <c:pt idx="7">
                  <c:v>1.630079491255962</c:v>
                </c:pt>
                <c:pt idx="8">
                  <c:v>0.47120826709062003</c:v>
                </c:pt>
                <c:pt idx="9">
                  <c:v>0.99785373608903016</c:v>
                </c:pt>
                <c:pt idx="10">
                  <c:v>0.33920508744038158</c:v>
                </c:pt>
                <c:pt idx="11">
                  <c:v>0.72303656597774246</c:v>
                </c:pt>
                <c:pt idx="12">
                  <c:v>1.0044515103338634</c:v>
                </c:pt>
                <c:pt idx="13">
                  <c:v>1.1671065182829889</c:v>
                </c:pt>
                <c:pt idx="14">
                  <c:v>1.2477901430842606</c:v>
                </c:pt>
                <c:pt idx="15">
                  <c:v>0.54352941176470582</c:v>
                </c:pt>
                <c:pt idx="16">
                  <c:v>1.0446104928457869</c:v>
                </c:pt>
                <c:pt idx="17">
                  <c:v>0.83820349761526236</c:v>
                </c:pt>
                <c:pt idx="18">
                  <c:v>1.1565023847376787</c:v>
                </c:pt>
                <c:pt idx="19">
                  <c:v>0.89058823529411768</c:v>
                </c:pt>
              </c:numCache>
            </c:numRef>
          </c:val>
        </c:ser>
        <c:gapWidth val="75"/>
        <c:axId val="111547520"/>
        <c:axId val="111549056"/>
      </c:barChart>
      <c:catAx>
        <c:axId val="1115475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11549056"/>
        <c:crosses val="autoZero"/>
        <c:auto val="1"/>
        <c:lblAlgn val="ctr"/>
        <c:lblOffset val="100"/>
      </c:catAx>
      <c:valAx>
        <c:axId val="1115490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115475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Feb 2011'!$B$38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2011'!$F$38:$Y$38</c:f>
              <c:numCache>
                <c:formatCode>0.0%</c:formatCode>
                <c:ptCount val="20"/>
                <c:pt idx="0">
                  <c:v>10.141859154929577</c:v>
                </c:pt>
                <c:pt idx="1">
                  <c:v>5.4314366197183102</c:v>
                </c:pt>
                <c:pt idx="2">
                  <c:v>4.0131830985915489</c:v>
                </c:pt>
                <c:pt idx="3">
                  <c:v>3.2168450704225351</c:v>
                </c:pt>
                <c:pt idx="4">
                  <c:v>2.7677070422535213</c:v>
                </c:pt>
                <c:pt idx="5">
                  <c:v>2.5394178403755867</c:v>
                </c:pt>
                <c:pt idx="6">
                  <c:v>2.2459879275653925</c:v>
                </c:pt>
                <c:pt idx="7">
                  <c:v>2.1507957746478872</c:v>
                </c:pt>
                <c:pt idx="8">
                  <c:v>1.892794992175274</c:v>
                </c:pt>
                <c:pt idx="9">
                  <c:v>1.8662591549295775</c:v>
                </c:pt>
                <c:pt idx="10">
                  <c:v>1.7277285531370039</c:v>
                </c:pt>
                <c:pt idx="11">
                  <c:v>1.6527370892018778</c:v>
                </c:pt>
                <c:pt idx="12">
                  <c:v>1.6244767063921992</c:v>
                </c:pt>
                <c:pt idx="13">
                  <c:v>1.589943661971831</c:v>
                </c:pt>
                <c:pt idx="14">
                  <c:v>1.5405934272300468</c:v>
                </c:pt>
                <c:pt idx="15">
                  <c:v>1.4443063380281691</c:v>
                </c:pt>
                <c:pt idx="16">
                  <c:v>1.392275062137531</c:v>
                </c:pt>
                <c:pt idx="17">
                  <c:v>1.3529733959311425</c:v>
                </c:pt>
                <c:pt idx="18">
                  <c:v>1.2637420311341734</c:v>
                </c:pt>
                <c:pt idx="19">
                  <c:v>1.1191830985915492</c:v>
                </c:pt>
              </c:numCache>
            </c:numRef>
          </c:val>
        </c:ser>
        <c:ser>
          <c:idx val="6"/>
          <c:order val="1"/>
          <c:tx>
            <c:strRef>
              <c:f>'Month - Feb 2011'!$B$39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2011'!$F$39:$Y$39</c:f>
              <c:numCache>
                <c:formatCode>0.0%</c:formatCode>
                <c:ptCount val="20"/>
                <c:pt idx="0">
                  <c:v>5.7055555555555557</c:v>
                </c:pt>
                <c:pt idx="1">
                  <c:v>3.9294444444444445</c:v>
                </c:pt>
                <c:pt idx="2">
                  <c:v>2.6189629629629634</c:v>
                </c:pt>
                <c:pt idx="3">
                  <c:v>1.9647222222222223</c:v>
                </c:pt>
                <c:pt idx="4">
                  <c:v>1.784888888888889</c:v>
                </c:pt>
                <c:pt idx="5">
                  <c:v>1.4874074074074073</c:v>
                </c:pt>
                <c:pt idx="6">
                  <c:v>1.3604761904761904</c:v>
                </c:pt>
                <c:pt idx="7">
                  <c:v>1.273611111111111</c:v>
                </c:pt>
                <c:pt idx="8">
                  <c:v>1.28</c:v>
                </c:pt>
                <c:pt idx="9">
                  <c:v>1.2185555555555556</c:v>
                </c:pt>
                <c:pt idx="10">
                  <c:v>1.1077777777777778</c:v>
                </c:pt>
                <c:pt idx="11">
                  <c:v>1.0709259259259261</c:v>
                </c:pt>
                <c:pt idx="12">
                  <c:v>0.9885470085470085</c:v>
                </c:pt>
                <c:pt idx="13">
                  <c:v>1.0526984126984125</c:v>
                </c:pt>
                <c:pt idx="14">
                  <c:v>0.97955555555555551</c:v>
                </c:pt>
                <c:pt idx="15">
                  <c:v>0.92527777777777775</c:v>
                </c:pt>
                <c:pt idx="16">
                  <c:v>0.94915032679738554</c:v>
                </c:pt>
                <c:pt idx="17">
                  <c:v>0.89641975308641975</c:v>
                </c:pt>
                <c:pt idx="18">
                  <c:v>0.8842690058479532</c:v>
                </c:pt>
                <c:pt idx="19">
                  <c:v>0.87672222222222218</c:v>
                </c:pt>
              </c:numCache>
            </c:numRef>
          </c:val>
        </c:ser>
        <c:ser>
          <c:idx val="1"/>
          <c:order val="2"/>
          <c:tx>
            <c:strRef>
              <c:f>'Month - Feb 2011'!$B$40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2011'!$F$40:$Y$40</c:f>
              <c:numCache>
                <c:formatCode>0.0%</c:formatCode>
                <c:ptCount val="20"/>
                <c:pt idx="0">
                  <c:v>9.6014999999999997</c:v>
                </c:pt>
                <c:pt idx="1">
                  <c:v>5.0754999999999999</c:v>
                </c:pt>
                <c:pt idx="2">
                  <c:v>3.7850333333333337</c:v>
                </c:pt>
                <c:pt idx="3">
                  <c:v>2.8960249999999998</c:v>
                </c:pt>
                <c:pt idx="4">
                  <c:v>2.4567199999999998</c:v>
                </c:pt>
                <c:pt idx="5">
                  <c:v>2.145516666666667</c:v>
                </c:pt>
                <c:pt idx="6">
                  <c:v>2.0230857142857142</c:v>
                </c:pt>
                <c:pt idx="7">
                  <c:v>1.9482625</c:v>
                </c:pt>
                <c:pt idx="8">
                  <c:v>1.8849555555555557</c:v>
                </c:pt>
                <c:pt idx="9">
                  <c:v>1.7863100000000001</c:v>
                </c:pt>
                <c:pt idx="10">
                  <c:v>1.6892818181818179</c:v>
                </c:pt>
                <c:pt idx="11">
                  <c:v>1.7166333333333332</c:v>
                </c:pt>
                <c:pt idx="12">
                  <c:v>1.7014307692307691</c:v>
                </c:pt>
                <c:pt idx="13">
                  <c:v>1.6226857142857143</c:v>
                </c:pt>
                <c:pt idx="14">
                  <c:v>1.6080399999999999</c:v>
                </c:pt>
                <c:pt idx="15">
                  <c:v>1.5075375</c:v>
                </c:pt>
                <c:pt idx="16">
                  <c:v>1.4896235294117648</c:v>
                </c:pt>
                <c:pt idx="17">
                  <c:v>1.4068666666666665</c:v>
                </c:pt>
                <c:pt idx="18">
                  <c:v>1.3328210526315789</c:v>
                </c:pt>
                <c:pt idx="19">
                  <c:v>1.2489049999999999</c:v>
                </c:pt>
              </c:numCache>
            </c:numRef>
          </c:val>
        </c:ser>
        <c:ser>
          <c:idx val="2"/>
          <c:order val="3"/>
          <c:tx>
            <c:strRef>
              <c:f>'Month - Feb 2011'!$B$41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2011'!$F$41:$Y$41</c:f>
              <c:numCache>
                <c:formatCode>0.0%</c:formatCode>
                <c:ptCount val="20"/>
                <c:pt idx="0">
                  <c:v>4.7541237113402062</c:v>
                </c:pt>
                <c:pt idx="1">
                  <c:v>2.627319587628866</c:v>
                </c:pt>
                <c:pt idx="2">
                  <c:v>2.0142955326460483</c:v>
                </c:pt>
                <c:pt idx="3">
                  <c:v>1.6902577319587628</c:v>
                </c:pt>
                <c:pt idx="4">
                  <c:v>1.4560412371134022</c:v>
                </c:pt>
                <c:pt idx="5">
                  <c:v>1.4512886597938144</c:v>
                </c:pt>
                <c:pt idx="6">
                  <c:v>1.3022385861561121</c:v>
                </c:pt>
                <c:pt idx="7">
                  <c:v>1.2576417525773196</c:v>
                </c:pt>
                <c:pt idx="8">
                  <c:v>1.1179037800687284</c:v>
                </c:pt>
                <c:pt idx="9">
                  <c:v>1.1694536082474227</c:v>
                </c:pt>
                <c:pt idx="10">
                  <c:v>1.0115651358950328</c:v>
                </c:pt>
                <c:pt idx="11">
                  <c:v>0.95042096219931282</c:v>
                </c:pt>
                <c:pt idx="12">
                  <c:v>0.96293417922283908</c:v>
                </c:pt>
                <c:pt idx="13">
                  <c:v>0.92066273932253306</c:v>
                </c:pt>
                <c:pt idx="14">
                  <c:v>0.91151890034364269</c:v>
                </c:pt>
                <c:pt idx="15">
                  <c:v>0.85454896907216493</c:v>
                </c:pt>
                <c:pt idx="16">
                  <c:v>0.85229229836264409</c:v>
                </c:pt>
                <c:pt idx="17">
                  <c:v>0.80494272623138596</c:v>
                </c:pt>
                <c:pt idx="18">
                  <c:v>0.73332609875203458</c:v>
                </c:pt>
                <c:pt idx="19">
                  <c:v>0.75860309278350513</c:v>
                </c:pt>
              </c:numCache>
            </c:numRef>
          </c:val>
        </c:ser>
        <c:ser>
          <c:idx val="5"/>
          <c:order val="4"/>
          <c:tx>
            <c:strRef>
              <c:f>'Month - Feb 2011'!$B$42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2011'!$F$42:$Y$42</c:f>
              <c:numCache>
                <c:formatCode>0.0%</c:formatCode>
                <c:ptCount val="20"/>
                <c:pt idx="0">
                  <c:v>1.3002061855670104</c:v>
                </c:pt>
                <c:pt idx="1">
                  <c:v>1.0106701030927836</c:v>
                </c:pt>
                <c:pt idx="2">
                  <c:v>0.67378006872852236</c:v>
                </c:pt>
                <c:pt idx="3">
                  <c:v>0.68097938144329895</c:v>
                </c:pt>
                <c:pt idx="4">
                  <c:v>0.50564948453608249</c:v>
                </c:pt>
                <c:pt idx="5">
                  <c:v>0.42137457044673543</c:v>
                </c:pt>
                <c:pt idx="6">
                  <c:v>0.45536082474226802</c:v>
                </c:pt>
                <c:pt idx="7">
                  <c:v>0.5014690721649484</c:v>
                </c:pt>
                <c:pt idx="8">
                  <c:v>0.4712027491408935</c:v>
                </c:pt>
                <c:pt idx="9">
                  <c:v>0.42408247422680412</c:v>
                </c:pt>
                <c:pt idx="10">
                  <c:v>0.38552952202436735</c:v>
                </c:pt>
                <c:pt idx="11">
                  <c:v>0.35340206185567008</c:v>
                </c:pt>
                <c:pt idx="12">
                  <c:v>0.3262172878667724</c:v>
                </c:pt>
                <c:pt idx="13">
                  <c:v>0.33973490427098679</c:v>
                </c:pt>
                <c:pt idx="14">
                  <c:v>0.31708591065292097</c:v>
                </c:pt>
                <c:pt idx="15">
                  <c:v>0.35729381443298969</c:v>
                </c:pt>
                <c:pt idx="16">
                  <c:v>0.33627653123104911</c:v>
                </c:pt>
                <c:pt idx="17">
                  <c:v>0.31759450171821302</c:v>
                </c:pt>
                <c:pt idx="18">
                  <c:v>0.30087900162778081</c:v>
                </c:pt>
                <c:pt idx="19">
                  <c:v>0.28583505154639177</c:v>
                </c:pt>
              </c:numCache>
            </c:numRef>
          </c:val>
        </c:ser>
        <c:ser>
          <c:idx val="3"/>
          <c:order val="5"/>
          <c:tx>
            <c:strRef>
              <c:f>'Month - Feb 2011'!$B$43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2011'!$F$43:$Y$43</c:f>
              <c:numCache>
                <c:formatCode>0.0%</c:formatCode>
                <c:ptCount val="20"/>
                <c:pt idx="0">
                  <c:v>5.4979945799457992</c:v>
                </c:pt>
                <c:pt idx="1">
                  <c:v>3.6266666666666665</c:v>
                </c:pt>
                <c:pt idx="2">
                  <c:v>3.0457091237579044</c:v>
                </c:pt>
                <c:pt idx="3">
                  <c:v>2.4784823848238484</c:v>
                </c:pt>
                <c:pt idx="4">
                  <c:v>2.0521734417344173</c:v>
                </c:pt>
                <c:pt idx="5">
                  <c:v>1.7323667570009034</c:v>
                </c:pt>
                <c:pt idx="6">
                  <c:v>1.7216492450638794</c:v>
                </c:pt>
                <c:pt idx="7">
                  <c:v>1.6945867208672087</c:v>
                </c:pt>
                <c:pt idx="8">
                  <c:v>1.5873230954531767</c:v>
                </c:pt>
                <c:pt idx="9">
                  <c:v>1.522888888888889</c:v>
                </c:pt>
                <c:pt idx="10">
                  <c:v>1.3954175905395416</c:v>
                </c:pt>
                <c:pt idx="11">
                  <c:v>1.3013550135501355</c:v>
                </c:pt>
                <c:pt idx="12">
                  <c:v>1.2612007504690432</c:v>
                </c:pt>
                <c:pt idx="13">
                  <c:v>1.2345567169957412</c:v>
                </c:pt>
                <c:pt idx="14">
                  <c:v>1.1875555555555555</c:v>
                </c:pt>
                <c:pt idx="15">
                  <c:v>1.1681436314363143</c:v>
                </c:pt>
                <c:pt idx="16">
                  <c:v>1.133065518890483</c:v>
                </c:pt>
                <c:pt idx="17">
                  <c:v>1.1032580548027702</c:v>
                </c:pt>
                <c:pt idx="18">
                  <c:v>1.1281471972614463</c:v>
                </c:pt>
                <c:pt idx="19">
                  <c:v>0.99127913279132795</c:v>
                </c:pt>
              </c:numCache>
            </c:numRef>
          </c:val>
        </c:ser>
        <c:ser>
          <c:idx val="4"/>
          <c:order val="6"/>
          <c:tx>
            <c:strRef>
              <c:f>'Month - Feb 2011'!$B$44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Feb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2011'!$F$44:$Y$44</c:f>
              <c:numCache>
                <c:formatCode>0.0%</c:formatCode>
                <c:ptCount val="20"/>
                <c:pt idx="0">
                  <c:v>7.3429729729729729</c:v>
                </c:pt>
                <c:pt idx="1">
                  <c:v>4.2455643879173293</c:v>
                </c:pt>
                <c:pt idx="2">
                  <c:v>3.2295283518812932</c:v>
                </c:pt>
                <c:pt idx="3">
                  <c:v>2.601422893481717</c:v>
                </c:pt>
                <c:pt idx="4">
                  <c:v>2.2037678855325913</c:v>
                </c:pt>
                <c:pt idx="5">
                  <c:v>1.9610519342872286</c:v>
                </c:pt>
                <c:pt idx="6">
                  <c:v>1.8288144446967975</c:v>
                </c:pt>
                <c:pt idx="7">
                  <c:v>1.7761367249602544</c:v>
                </c:pt>
                <c:pt idx="8">
                  <c:v>1.6360431019254549</c:v>
                </c:pt>
                <c:pt idx="9">
                  <c:v>1.5902591414944356</c:v>
                </c:pt>
                <c:pt idx="10">
                  <c:v>1.4601315218962276</c:v>
                </c:pt>
                <c:pt idx="11">
                  <c:v>1.3987069422363538</c:v>
                </c:pt>
                <c:pt idx="12">
                  <c:v>1.368380824263177</c:v>
                </c:pt>
                <c:pt idx="13">
                  <c:v>1.3384567340449693</c:v>
                </c:pt>
                <c:pt idx="14">
                  <c:v>1.2982798092209857</c:v>
                </c:pt>
                <c:pt idx="15">
                  <c:v>1.2429680047694753</c:v>
                </c:pt>
                <c:pt idx="16">
                  <c:v>1.2132666230244087</c:v>
                </c:pt>
                <c:pt idx="17">
                  <c:v>1.166320438085144</c:v>
                </c:pt>
                <c:pt idx="18">
                  <c:v>1.1221772236632916</c:v>
                </c:pt>
                <c:pt idx="19">
                  <c:v>1.0289340222575516</c:v>
                </c:pt>
              </c:numCache>
            </c:numRef>
          </c:val>
        </c:ser>
        <c:marker val="1"/>
        <c:axId val="133565056"/>
        <c:axId val="133583232"/>
      </c:lineChart>
      <c:catAx>
        <c:axId val="1335650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583232"/>
        <c:crosses val="autoZero"/>
        <c:auto val="1"/>
        <c:lblAlgn val="ctr"/>
        <c:lblOffset val="100"/>
      </c:catAx>
      <c:valAx>
        <c:axId val="13358323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565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Mar 2011'!$B$48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2011'!$F$48:$Y$48</c:f>
              <c:numCache>
                <c:formatCode>0</c:formatCode>
                <c:ptCount val="20"/>
                <c:pt idx="0">
                  <c:v>2647140</c:v>
                </c:pt>
                <c:pt idx="1">
                  <c:v>1572480</c:v>
                </c:pt>
                <c:pt idx="2">
                  <c:v>1163200</c:v>
                </c:pt>
                <c:pt idx="3">
                  <c:v>987430</c:v>
                </c:pt>
                <c:pt idx="4">
                  <c:v>856868</c:v>
                </c:pt>
                <c:pt idx="5">
                  <c:v>724186.66666666674</c:v>
                </c:pt>
                <c:pt idx="6">
                  <c:v>652731.42857142852</c:v>
                </c:pt>
                <c:pt idx="7">
                  <c:v>626432.5</c:v>
                </c:pt>
                <c:pt idx="8">
                  <c:v>588382.22222222225</c:v>
                </c:pt>
                <c:pt idx="9">
                  <c:v>568184</c:v>
                </c:pt>
                <c:pt idx="10">
                  <c:v>554149.09090909082</c:v>
                </c:pt>
                <c:pt idx="11">
                  <c:v>545911.66666666663</c:v>
                </c:pt>
                <c:pt idx="12">
                  <c:v>534333.84615384613</c:v>
                </c:pt>
                <c:pt idx="13">
                  <c:v>523704.28571428574</c:v>
                </c:pt>
                <c:pt idx="14">
                  <c:v>509085.33333333331</c:v>
                </c:pt>
                <c:pt idx="15">
                  <c:v>477267.5</c:v>
                </c:pt>
                <c:pt idx="16">
                  <c:v>452821.17647058825</c:v>
                </c:pt>
                <c:pt idx="17">
                  <c:v>434417.77777777781</c:v>
                </c:pt>
                <c:pt idx="18">
                  <c:v>417951.57894736843</c:v>
                </c:pt>
                <c:pt idx="19">
                  <c:v>400594</c:v>
                </c:pt>
              </c:numCache>
            </c:numRef>
          </c:val>
        </c:ser>
        <c:ser>
          <c:idx val="6"/>
          <c:order val="1"/>
          <c:tx>
            <c:strRef>
              <c:f>'Month - Mar 2011'!$B$49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2011'!$F$49:$Y$49</c:f>
              <c:numCache>
                <c:formatCode>0</c:formatCode>
                <c:ptCount val="20"/>
                <c:pt idx="0">
                  <c:v>0</c:v>
                </c:pt>
                <c:pt idx="1">
                  <c:v>29950</c:v>
                </c:pt>
                <c:pt idx="2">
                  <c:v>19966.666666666668</c:v>
                </c:pt>
                <c:pt idx="3">
                  <c:v>42450</c:v>
                </c:pt>
                <c:pt idx="4">
                  <c:v>33960</c:v>
                </c:pt>
                <c:pt idx="5">
                  <c:v>28300</c:v>
                </c:pt>
                <c:pt idx="6">
                  <c:v>24257.142857142859</c:v>
                </c:pt>
                <c:pt idx="7">
                  <c:v>21225</c:v>
                </c:pt>
                <c:pt idx="8">
                  <c:v>18866.666666666668</c:v>
                </c:pt>
                <c:pt idx="9">
                  <c:v>16980</c:v>
                </c:pt>
                <c:pt idx="10">
                  <c:v>20881.81818181818</c:v>
                </c:pt>
                <c:pt idx="11">
                  <c:v>33291.666666666664</c:v>
                </c:pt>
                <c:pt idx="12">
                  <c:v>30730.769230769227</c:v>
                </c:pt>
                <c:pt idx="13">
                  <c:v>52085.714285714283</c:v>
                </c:pt>
                <c:pt idx="14">
                  <c:v>70593.333333333328</c:v>
                </c:pt>
                <c:pt idx="15">
                  <c:v>66181.25</c:v>
                </c:pt>
                <c:pt idx="16">
                  <c:v>62994.117647058818</c:v>
                </c:pt>
                <c:pt idx="17">
                  <c:v>59494.444444444445</c:v>
                </c:pt>
                <c:pt idx="18">
                  <c:v>64778.947368421053</c:v>
                </c:pt>
                <c:pt idx="19">
                  <c:v>73025</c:v>
                </c:pt>
              </c:numCache>
            </c:numRef>
          </c:val>
        </c:ser>
        <c:ser>
          <c:idx val="1"/>
          <c:order val="2"/>
          <c:tx>
            <c:strRef>
              <c:f>'Month - Mar 2011'!$B$50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2011'!$F$50:$Y$50</c:f>
              <c:numCache>
                <c:formatCode>0</c:formatCode>
                <c:ptCount val="20"/>
                <c:pt idx="0">
                  <c:v>660200</c:v>
                </c:pt>
                <c:pt idx="1">
                  <c:v>330100</c:v>
                </c:pt>
                <c:pt idx="2">
                  <c:v>293933.33333333331</c:v>
                </c:pt>
                <c:pt idx="3">
                  <c:v>250400</c:v>
                </c:pt>
                <c:pt idx="4">
                  <c:v>256440</c:v>
                </c:pt>
                <c:pt idx="5">
                  <c:v>240350</c:v>
                </c:pt>
                <c:pt idx="6">
                  <c:v>238957.14285714287</c:v>
                </c:pt>
                <c:pt idx="7">
                  <c:v>226575</c:v>
                </c:pt>
                <c:pt idx="8">
                  <c:v>228700</c:v>
                </c:pt>
                <c:pt idx="9">
                  <c:v>241770</c:v>
                </c:pt>
                <c:pt idx="10">
                  <c:v>240754.54545454544</c:v>
                </c:pt>
                <c:pt idx="11">
                  <c:v>264400</c:v>
                </c:pt>
                <c:pt idx="12">
                  <c:v>278715.38461538462</c:v>
                </c:pt>
                <c:pt idx="13">
                  <c:v>282357.14285714284</c:v>
                </c:pt>
                <c:pt idx="14">
                  <c:v>298626.66666666669</c:v>
                </c:pt>
                <c:pt idx="15">
                  <c:v>294625</c:v>
                </c:pt>
                <c:pt idx="16">
                  <c:v>258052.9411764706</c:v>
                </c:pt>
                <c:pt idx="17">
                  <c:v>252650</c:v>
                </c:pt>
                <c:pt idx="18">
                  <c:v>240926.31578947371</c:v>
                </c:pt>
                <c:pt idx="19">
                  <c:v>231920</c:v>
                </c:pt>
              </c:numCache>
            </c:numRef>
          </c:val>
        </c:ser>
        <c:ser>
          <c:idx val="2"/>
          <c:order val="3"/>
          <c:tx>
            <c:strRef>
              <c:f>'Month - Mar 2011'!$B$51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2011'!$F$51:$Y$51</c:f>
              <c:numCache>
                <c:formatCode>0</c:formatCode>
                <c:ptCount val="20"/>
                <c:pt idx="0">
                  <c:v>356700</c:v>
                </c:pt>
                <c:pt idx="1">
                  <c:v>220150</c:v>
                </c:pt>
                <c:pt idx="2">
                  <c:v>146766.66666666666</c:v>
                </c:pt>
                <c:pt idx="3">
                  <c:v>123555</c:v>
                </c:pt>
                <c:pt idx="4">
                  <c:v>109644</c:v>
                </c:pt>
                <c:pt idx="5">
                  <c:v>91370</c:v>
                </c:pt>
                <c:pt idx="6">
                  <c:v>78317.142857142855</c:v>
                </c:pt>
                <c:pt idx="7">
                  <c:v>73067.5</c:v>
                </c:pt>
                <c:pt idx="8">
                  <c:v>64948.888888888891</c:v>
                </c:pt>
                <c:pt idx="9">
                  <c:v>56808</c:v>
                </c:pt>
                <c:pt idx="10">
                  <c:v>51643.63636363636</c:v>
                </c:pt>
                <c:pt idx="11">
                  <c:v>54676.666666666672</c:v>
                </c:pt>
                <c:pt idx="12">
                  <c:v>56995.384615384617</c:v>
                </c:pt>
                <c:pt idx="13">
                  <c:v>59024.285714285717</c:v>
                </c:pt>
                <c:pt idx="14">
                  <c:v>57698.666666666672</c:v>
                </c:pt>
                <c:pt idx="15">
                  <c:v>58171.25</c:v>
                </c:pt>
                <c:pt idx="16">
                  <c:v>61668.23529411765</c:v>
                </c:pt>
                <c:pt idx="17">
                  <c:v>61566.666666666672</c:v>
                </c:pt>
                <c:pt idx="18">
                  <c:v>63455.789473684206</c:v>
                </c:pt>
                <c:pt idx="19">
                  <c:v>70248</c:v>
                </c:pt>
              </c:numCache>
            </c:numRef>
          </c:val>
        </c:ser>
        <c:ser>
          <c:idx val="3"/>
          <c:order val="4"/>
          <c:tx>
            <c:strRef>
              <c:f>'Month - Mar 2011'!$B$52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4491.666666666667</c:v>
                </c:pt>
                <c:pt idx="12">
                  <c:v>4146.1538461538466</c:v>
                </c:pt>
                <c:pt idx="13">
                  <c:v>7700</c:v>
                </c:pt>
                <c:pt idx="14">
                  <c:v>7186.6666666666661</c:v>
                </c:pt>
                <c:pt idx="15">
                  <c:v>6737.5</c:v>
                </c:pt>
                <c:pt idx="16">
                  <c:v>6341.1764705882351</c:v>
                </c:pt>
                <c:pt idx="17">
                  <c:v>5988.8888888888887</c:v>
                </c:pt>
                <c:pt idx="18">
                  <c:v>5673.6842105263158</c:v>
                </c:pt>
                <c:pt idx="19">
                  <c:v>8385</c:v>
                </c:pt>
              </c:numCache>
            </c:numRef>
          </c:val>
        </c:ser>
        <c:ser>
          <c:idx val="4"/>
          <c:order val="5"/>
          <c:tx>
            <c:strRef>
              <c:f>'Month - Mar 2011'!$B$53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2011'!$F$53:$Y$53</c:f>
              <c:numCache>
                <c:formatCode>0</c:formatCode>
                <c:ptCount val="20"/>
                <c:pt idx="0">
                  <c:v>147400</c:v>
                </c:pt>
                <c:pt idx="1">
                  <c:v>130000</c:v>
                </c:pt>
                <c:pt idx="2">
                  <c:v>107133.33333333334</c:v>
                </c:pt>
                <c:pt idx="3">
                  <c:v>396040</c:v>
                </c:pt>
                <c:pt idx="4">
                  <c:v>446564</c:v>
                </c:pt>
                <c:pt idx="5">
                  <c:v>382370</c:v>
                </c:pt>
                <c:pt idx="6">
                  <c:v>374800</c:v>
                </c:pt>
                <c:pt idx="7">
                  <c:v>335625</c:v>
                </c:pt>
                <c:pt idx="8">
                  <c:v>321526.66666666669</c:v>
                </c:pt>
                <c:pt idx="9">
                  <c:v>339650</c:v>
                </c:pt>
                <c:pt idx="10">
                  <c:v>335841.81818181818</c:v>
                </c:pt>
                <c:pt idx="11">
                  <c:v>340745</c:v>
                </c:pt>
                <c:pt idx="12">
                  <c:v>333012.30769230763</c:v>
                </c:pt>
                <c:pt idx="13">
                  <c:v>321588.57142857142</c:v>
                </c:pt>
                <c:pt idx="14">
                  <c:v>312898.66666666663</c:v>
                </c:pt>
                <c:pt idx="15">
                  <c:v>289505</c:v>
                </c:pt>
                <c:pt idx="16">
                  <c:v>284732.9411764706</c:v>
                </c:pt>
                <c:pt idx="17">
                  <c:v>268914.44444444444</c:v>
                </c:pt>
                <c:pt idx="18">
                  <c:v>257990.52631578947</c:v>
                </c:pt>
                <c:pt idx="19">
                  <c:v>277907</c:v>
                </c:pt>
              </c:numCache>
            </c:numRef>
          </c:val>
        </c:ser>
        <c:ser>
          <c:idx val="5"/>
          <c:order val="6"/>
          <c:tx>
            <c:strRef>
              <c:f>'Month - Mar 2011'!$B$54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2011'!$F$54:$Y$54</c:f>
              <c:numCache>
                <c:formatCode>0</c:formatCode>
                <c:ptCount val="20"/>
                <c:pt idx="0">
                  <c:v>3811440</c:v>
                </c:pt>
                <c:pt idx="1">
                  <c:v>2282680</c:v>
                </c:pt>
                <c:pt idx="2">
                  <c:v>1731000</c:v>
                </c:pt>
                <c:pt idx="3">
                  <c:v>1799875</c:v>
                </c:pt>
                <c:pt idx="4">
                  <c:v>1703476</c:v>
                </c:pt>
                <c:pt idx="5">
                  <c:v>1466576.6666666667</c:v>
                </c:pt>
                <c:pt idx="6">
                  <c:v>1369062.857142857</c:v>
                </c:pt>
                <c:pt idx="7">
                  <c:v>1282925</c:v>
                </c:pt>
                <c:pt idx="8">
                  <c:v>1222424.4444444445</c:v>
                </c:pt>
                <c:pt idx="9">
                  <c:v>1223392</c:v>
                </c:pt>
                <c:pt idx="10">
                  <c:v>1203270.9090909089</c:v>
                </c:pt>
                <c:pt idx="11">
                  <c:v>1243516.6666666665</c:v>
                </c:pt>
                <c:pt idx="12">
                  <c:v>1237933.846153846</c:v>
                </c:pt>
                <c:pt idx="13">
                  <c:v>1246460</c:v>
                </c:pt>
                <c:pt idx="14">
                  <c:v>1256089.333333333</c:v>
                </c:pt>
                <c:pt idx="15">
                  <c:v>1192487.5</c:v>
                </c:pt>
                <c:pt idx="16">
                  <c:v>1126610.588235294</c:v>
                </c:pt>
                <c:pt idx="17">
                  <c:v>1083032.2222222222</c:v>
                </c:pt>
                <c:pt idx="18">
                  <c:v>1050776.8421052631</c:v>
                </c:pt>
                <c:pt idx="19">
                  <c:v>1062079</c:v>
                </c:pt>
              </c:numCache>
            </c:numRef>
          </c:val>
        </c:ser>
        <c:marker val="1"/>
        <c:axId val="133633152"/>
        <c:axId val="133634688"/>
      </c:lineChart>
      <c:catAx>
        <c:axId val="1336331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634688"/>
        <c:crosses val="autoZero"/>
        <c:auto val="1"/>
        <c:lblAlgn val="ctr"/>
        <c:lblOffset val="100"/>
      </c:catAx>
      <c:valAx>
        <c:axId val="133634688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63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Mar 2011'!$B$6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2011'!$F$17:$Y$17</c:f>
              <c:numCache>
                <c:formatCode>0.0%</c:formatCode>
                <c:ptCount val="20"/>
                <c:pt idx="0">
                  <c:v>1.37856</c:v>
                </c:pt>
                <c:pt idx="1">
                  <c:v>1.0300800000000001</c:v>
                </c:pt>
                <c:pt idx="2">
                  <c:v>0.91903999999999997</c:v>
                </c:pt>
                <c:pt idx="3">
                  <c:v>1.2002666666666666</c:v>
                </c:pt>
                <c:pt idx="4">
                  <c:v>0.89232</c:v>
                </c:pt>
                <c:pt idx="5">
                  <c:v>0.16208</c:v>
                </c:pt>
                <c:pt idx="6">
                  <c:v>0.59733333333333327</c:v>
                </c:pt>
                <c:pt idx="7">
                  <c:v>1.4770133333333333</c:v>
                </c:pt>
                <c:pt idx="8">
                  <c:v>0.75727999999999995</c:v>
                </c:pt>
                <c:pt idx="9">
                  <c:v>1.0304</c:v>
                </c:pt>
                <c:pt idx="10">
                  <c:v>1.1034666666666666</c:v>
                </c:pt>
                <c:pt idx="11">
                  <c:v>1.2141333333333333</c:v>
                </c:pt>
                <c:pt idx="12">
                  <c:v>1.0520533333333333</c:v>
                </c:pt>
                <c:pt idx="13">
                  <c:v>1.0304</c:v>
                </c:pt>
                <c:pt idx="14">
                  <c:v>0.97386666666666666</c:v>
                </c:pt>
                <c:pt idx="15">
                  <c:v>0.32416</c:v>
                </c:pt>
                <c:pt idx="16">
                  <c:v>0.13775999999999999</c:v>
                </c:pt>
                <c:pt idx="17">
                  <c:v>0.64832000000000001</c:v>
                </c:pt>
                <c:pt idx="18">
                  <c:v>0.32416</c:v>
                </c:pt>
                <c:pt idx="19">
                  <c:v>1.2456</c:v>
                </c:pt>
              </c:numCache>
            </c:numRef>
          </c:val>
        </c:ser>
        <c:ser>
          <c:idx val="6"/>
          <c:order val="1"/>
          <c:tx>
            <c:strRef>
              <c:f>'Month - Mar 2011'!$B$18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Mar 2011'!$F$18:$Y$18</c:f>
              <c:numCache>
                <c:formatCode>0.0%</c:formatCode>
                <c:ptCount val="20"/>
                <c:pt idx="0">
                  <c:v>1.1990476190476191</c:v>
                </c:pt>
                <c:pt idx="1">
                  <c:v>0</c:v>
                </c:pt>
                <c:pt idx="2">
                  <c:v>0</c:v>
                </c:pt>
                <c:pt idx="3">
                  <c:v>1.0466666666666666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0.57047619047619047</c:v>
                </c:pt>
                <c:pt idx="11">
                  <c:v>1.617142857142857</c:v>
                </c:pt>
                <c:pt idx="12">
                  <c:v>0</c:v>
                </c:pt>
                <c:pt idx="13">
                  <c:v>3.7104761904761903</c:v>
                </c:pt>
                <c:pt idx="14">
                  <c:v>2.5695238095238095</c:v>
                </c:pt>
                <c:pt idx="15">
                  <c:v>0</c:v>
                </c:pt>
                <c:pt idx="16">
                  <c:v>2.2076190476190476</c:v>
                </c:pt>
                <c:pt idx="17">
                  <c:v>0</c:v>
                </c:pt>
                <c:pt idx="18">
                  <c:v>1.5228571428571429</c:v>
                </c:pt>
                <c:pt idx="19">
                  <c:v>1.1409523809523809</c:v>
                </c:pt>
              </c:numCache>
            </c:numRef>
          </c:val>
        </c:ser>
        <c:ser>
          <c:idx val="1"/>
          <c:order val="2"/>
          <c:tx>
            <c:strRef>
              <c:f>'Month - Mar 2011'!$B$8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2011'!$F$19:$Y$19</c:f>
              <c:numCache>
                <c:formatCode>0.0%</c:formatCode>
                <c:ptCount val="20"/>
                <c:pt idx="0">
                  <c:v>0</c:v>
                </c:pt>
                <c:pt idx="1">
                  <c:v>0.85350000000000004</c:v>
                </c:pt>
                <c:pt idx="2">
                  <c:v>0.55400000000000005</c:v>
                </c:pt>
                <c:pt idx="3">
                  <c:v>0.59899999999999998</c:v>
                </c:pt>
                <c:pt idx="4">
                  <c:v>1.403</c:v>
                </c:pt>
                <c:pt idx="5">
                  <c:v>1.099</c:v>
                </c:pt>
                <c:pt idx="6">
                  <c:v>0.85350000000000004</c:v>
                </c:pt>
                <c:pt idx="7">
                  <c:v>1.004</c:v>
                </c:pt>
                <c:pt idx="8">
                  <c:v>1.528</c:v>
                </c:pt>
                <c:pt idx="9">
                  <c:v>1.448</c:v>
                </c:pt>
                <c:pt idx="10">
                  <c:v>2.0019999999999998</c:v>
                </c:pt>
                <c:pt idx="11">
                  <c:v>1.7734999999999999</c:v>
                </c:pt>
                <c:pt idx="12">
                  <c:v>2.2524999999999999</c:v>
                </c:pt>
                <c:pt idx="13">
                  <c:v>1.6484999999999999</c:v>
                </c:pt>
                <c:pt idx="14">
                  <c:v>2.6319999999999997</c:v>
                </c:pt>
                <c:pt idx="15">
                  <c:v>1.9725000000000001</c:v>
                </c:pt>
                <c:pt idx="16">
                  <c:v>0.50900000000000001</c:v>
                </c:pt>
                <c:pt idx="17">
                  <c:v>1.6575</c:v>
                </c:pt>
                <c:pt idx="18">
                  <c:v>0.84899999999999998</c:v>
                </c:pt>
                <c:pt idx="19">
                  <c:v>2.8014999999999999</c:v>
                </c:pt>
              </c:numCache>
            </c:numRef>
          </c:val>
        </c:ser>
        <c:ser>
          <c:idx val="2"/>
          <c:order val="3"/>
          <c:tx>
            <c:strRef>
              <c:f>'Month - Mar 2011'!$B$20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2011'!$F$20:$Y$20</c:f>
              <c:numCache>
                <c:formatCode>0.0%</c:formatCode>
                <c:ptCount val="20"/>
                <c:pt idx="0">
                  <c:v>0.62636363636363634</c:v>
                </c:pt>
                <c:pt idx="1">
                  <c:v>0.27222222222222225</c:v>
                </c:pt>
                <c:pt idx="2">
                  <c:v>0</c:v>
                </c:pt>
                <c:pt idx="3">
                  <c:v>0.27222222222222225</c:v>
                </c:pt>
                <c:pt idx="4">
                  <c:v>0.27272727272727271</c:v>
                </c:pt>
                <c:pt idx="5">
                  <c:v>0</c:v>
                </c:pt>
                <c:pt idx="6">
                  <c:v>0</c:v>
                </c:pt>
                <c:pt idx="7">
                  <c:v>0.40858585858585861</c:v>
                </c:pt>
                <c:pt idx="8">
                  <c:v>0</c:v>
                </c:pt>
                <c:pt idx="9">
                  <c:v>0.13636363636363635</c:v>
                </c:pt>
                <c:pt idx="10">
                  <c:v>0</c:v>
                </c:pt>
                <c:pt idx="11">
                  <c:v>0.44454545454545458</c:v>
                </c:pt>
                <c:pt idx="12">
                  <c:v>0.2441414141414141</c:v>
                </c:pt>
                <c:pt idx="13">
                  <c:v>0.43131313131313131</c:v>
                </c:pt>
                <c:pt idx="14">
                  <c:v>0.2441414141414141</c:v>
                </c:pt>
                <c:pt idx="15">
                  <c:v>0.52727272727272734</c:v>
                </c:pt>
                <c:pt idx="16">
                  <c:v>0.88131313131313127</c:v>
                </c:pt>
                <c:pt idx="17">
                  <c:v>0.30222222222222217</c:v>
                </c:pt>
                <c:pt idx="18">
                  <c:v>0.93040404040404034</c:v>
                </c:pt>
                <c:pt idx="19">
                  <c:v>1.0065656565656567</c:v>
                </c:pt>
              </c:numCache>
            </c:numRef>
          </c:val>
        </c:ser>
        <c:ser>
          <c:idx val="3"/>
          <c:order val="4"/>
          <c:tx>
            <c:strRef>
              <c:f>'Month - Mar 2011'!$B$22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2011'!$F$22:$Y$22</c:f>
              <c:numCache>
                <c:formatCode>0.0%</c:formatCode>
                <c:ptCount val="20"/>
                <c:pt idx="0">
                  <c:v>0.15948051948051944</c:v>
                </c:pt>
                <c:pt idx="1">
                  <c:v>0.45194805194805199</c:v>
                </c:pt>
                <c:pt idx="2">
                  <c:v>0.15948051948051944</c:v>
                </c:pt>
                <c:pt idx="3">
                  <c:v>1.0461818181818181</c:v>
                </c:pt>
                <c:pt idx="4">
                  <c:v>1.7273766233766232</c:v>
                </c:pt>
                <c:pt idx="5">
                  <c:v>0.54259740259740252</c:v>
                </c:pt>
                <c:pt idx="6">
                  <c:v>0.58545454545454545</c:v>
                </c:pt>
                <c:pt idx="7">
                  <c:v>0.15948051948051944</c:v>
                </c:pt>
                <c:pt idx="8">
                  <c:v>0.54207792207792216</c:v>
                </c:pt>
                <c:pt idx="9">
                  <c:v>1.4652467532467532</c:v>
                </c:pt>
                <c:pt idx="10">
                  <c:v>0.77345454545454539</c:v>
                </c:pt>
                <c:pt idx="11">
                  <c:v>1.0251428571428571</c:v>
                </c:pt>
                <c:pt idx="12">
                  <c:v>0.90441558441558445</c:v>
                </c:pt>
                <c:pt idx="13">
                  <c:v>0.74457142857142855</c:v>
                </c:pt>
                <c:pt idx="14">
                  <c:v>0.49667532467532471</c:v>
                </c:pt>
                <c:pt idx="15">
                  <c:v>0.15948051948051944</c:v>
                </c:pt>
                <c:pt idx="16">
                  <c:v>0.70072727272727275</c:v>
                </c:pt>
                <c:pt idx="17">
                  <c:v>0</c:v>
                </c:pt>
                <c:pt idx="18">
                  <c:v>0.15948051948051944</c:v>
                </c:pt>
                <c:pt idx="19">
                  <c:v>1.3138701298701299</c:v>
                </c:pt>
              </c:numCache>
            </c:numRef>
          </c:val>
        </c:ser>
        <c:ser>
          <c:idx val="5"/>
          <c:order val="5"/>
          <c:tx>
            <c:strRef>
              <c:f>'Month - Mar 2011'!$B$10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0.71866666666666668</c:v>
                </c:pt>
                <c:pt idx="12">
                  <c:v>0</c:v>
                </c:pt>
                <c:pt idx="13">
                  <c:v>0.71866666666666668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0.79866666666666664</c:v>
                </c:pt>
              </c:numCache>
            </c:numRef>
          </c:val>
        </c:ser>
        <c:ser>
          <c:idx val="4"/>
          <c:order val="6"/>
          <c:tx>
            <c:strRef>
              <c:f>'Month - Mar 2011'!$B$23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2011'!$F$23:$Y$23</c:f>
              <c:numCache>
                <c:formatCode>0.0%</c:formatCode>
                <c:ptCount val="20"/>
                <c:pt idx="0">
                  <c:v>0.61904334828101648</c:v>
                </c:pt>
                <c:pt idx="1">
                  <c:v>0.58660687593423022</c:v>
                </c:pt>
                <c:pt idx="2">
                  <c:v>0.38627802690582957</c:v>
                </c:pt>
                <c:pt idx="3">
                  <c:v>0.8493871449925261</c:v>
                </c:pt>
                <c:pt idx="4">
                  <c:v>0.99720478325859496</c:v>
                </c:pt>
                <c:pt idx="5">
                  <c:v>0.36582959641255608</c:v>
                </c:pt>
                <c:pt idx="6">
                  <c:v>0.46345291479820627</c:v>
                </c:pt>
                <c:pt idx="7">
                  <c:v>0.67038863976083707</c:v>
                </c:pt>
                <c:pt idx="8">
                  <c:v>0.59662182361733929</c:v>
                </c:pt>
                <c:pt idx="9">
                  <c:v>0.94702541106128546</c:v>
                </c:pt>
                <c:pt idx="10">
                  <c:v>0.87584454409566515</c:v>
                </c:pt>
                <c:pt idx="11">
                  <c:v>1.1333333333333333</c:v>
                </c:pt>
                <c:pt idx="12">
                  <c:v>0.92792227204783262</c:v>
                </c:pt>
                <c:pt idx="13">
                  <c:v>1.1447384155455904</c:v>
                </c:pt>
                <c:pt idx="14">
                  <c:v>1.0470553064275037</c:v>
                </c:pt>
                <c:pt idx="15">
                  <c:v>0.50961136023916298</c:v>
                </c:pt>
                <c:pt idx="16">
                  <c:v>0.61998505231689083</c:v>
                </c:pt>
                <c:pt idx="17">
                  <c:v>0.47418535127055306</c:v>
                </c:pt>
                <c:pt idx="18">
                  <c:v>0.52083707025411063</c:v>
                </c:pt>
                <c:pt idx="19">
                  <c:v>1.4291778774289985</c:v>
                </c:pt>
              </c:numCache>
            </c:numRef>
          </c:val>
        </c:ser>
        <c:gapWidth val="75"/>
        <c:axId val="133863680"/>
        <c:axId val="133767168"/>
      </c:barChart>
      <c:catAx>
        <c:axId val="1338636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3767168"/>
        <c:crosses val="autoZero"/>
        <c:auto val="1"/>
        <c:lblAlgn val="ctr"/>
        <c:lblOffset val="100"/>
      </c:catAx>
      <c:valAx>
        <c:axId val="13376716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3863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Mar 2011'!$B$38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2011'!$F$38:$Y$38</c:f>
              <c:numCache>
                <c:formatCode>0.0%</c:formatCode>
                <c:ptCount val="20"/>
                <c:pt idx="0">
                  <c:v>7.0590400000000004</c:v>
                </c:pt>
                <c:pt idx="1">
                  <c:v>4.1932799999999997</c:v>
                </c:pt>
                <c:pt idx="2">
                  <c:v>3.1018666666666665</c:v>
                </c:pt>
                <c:pt idx="3">
                  <c:v>2.6331466666666667</c:v>
                </c:pt>
                <c:pt idx="4">
                  <c:v>2.2849813333333335</c:v>
                </c:pt>
                <c:pt idx="5">
                  <c:v>1.9311644444444447</c:v>
                </c:pt>
                <c:pt idx="6">
                  <c:v>1.7406171428571426</c:v>
                </c:pt>
                <c:pt idx="7">
                  <c:v>1.6704866666666667</c:v>
                </c:pt>
                <c:pt idx="8">
                  <c:v>1.5690192592592593</c:v>
                </c:pt>
                <c:pt idx="9">
                  <c:v>1.5151573333333332</c:v>
                </c:pt>
                <c:pt idx="10">
                  <c:v>1.4777309090909088</c:v>
                </c:pt>
                <c:pt idx="11">
                  <c:v>1.4557644444444444</c:v>
                </c:pt>
                <c:pt idx="12">
                  <c:v>1.4248902564102564</c:v>
                </c:pt>
                <c:pt idx="13">
                  <c:v>1.396544761904762</c:v>
                </c:pt>
                <c:pt idx="14">
                  <c:v>1.3575608888888888</c:v>
                </c:pt>
                <c:pt idx="15">
                  <c:v>1.2727133333333334</c:v>
                </c:pt>
                <c:pt idx="16">
                  <c:v>1.207523137254902</c:v>
                </c:pt>
                <c:pt idx="17">
                  <c:v>1.1584474074074076</c:v>
                </c:pt>
                <c:pt idx="18">
                  <c:v>1.1145375438596492</c:v>
                </c:pt>
                <c:pt idx="19">
                  <c:v>1.0682506666666667</c:v>
                </c:pt>
              </c:numCache>
            </c:numRef>
          </c:val>
        </c:ser>
        <c:ser>
          <c:idx val="6"/>
          <c:order val="1"/>
          <c:tx>
            <c:strRef>
              <c:f>'Month - Mar 2011'!$B$39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2011'!$F$39:$Y$39</c:f>
              <c:numCache>
                <c:formatCode>0.0%</c:formatCode>
                <c:ptCount val="20"/>
                <c:pt idx="0">
                  <c:v>0</c:v>
                </c:pt>
                <c:pt idx="1">
                  <c:v>0.28523809523809524</c:v>
                </c:pt>
                <c:pt idx="2">
                  <c:v>0.19015873015873017</c:v>
                </c:pt>
                <c:pt idx="3">
                  <c:v>0.4042857142857143</c:v>
                </c:pt>
                <c:pt idx="4">
                  <c:v>0.32342857142857145</c:v>
                </c:pt>
                <c:pt idx="5">
                  <c:v>0.2695238095238095</c:v>
                </c:pt>
                <c:pt idx="6">
                  <c:v>0.23102040816326533</c:v>
                </c:pt>
                <c:pt idx="7">
                  <c:v>0.20214285714285715</c:v>
                </c:pt>
                <c:pt idx="8">
                  <c:v>0.17968253968253969</c:v>
                </c:pt>
                <c:pt idx="9">
                  <c:v>0.16171428571428573</c:v>
                </c:pt>
                <c:pt idx="10">
                  <c:v>0.19887445887445887</c:v>
                </c:pt>
                <c:pt idx="11">
                  <c:v>0.31706349206349205</c:v>
                </c:pt>
                <c:pt idx="12">
                  <c:v>0.29267399267399263</c:v>
                </c:pt>
                <c:pt idx="13">
                  <c:v>0.49605442176870745</c:v>
                </c:pt>
                <c:pt idx="14">
                  <c:v>0.67231746031746031</c:v>
                </c:pt>
                <c:pt idx="15">
                  <c:v>0.63029761904761905</c:v>
                </c:pt>
                <c:pt idx="16">
                  <c:v>0.59994397759103635</c:v>
                </c:pt>
                <c:pt idx="17">
                  <c:v>0.56661375661375657</c:v>
                </c:pt>
                <c:pt idx="18">
                  <c:v>0.61694235588972435</c:v>
                </c:pt>
                <c:pt idx="19">
                  <c:v>0.69547619047619047</c:v>
                </c:pt>
              </c:numCache>
            </c:numRef>
          </c:val>
        </c:ser>
        <c:ser>
          <c:idx val="1"/>
          <c:order val="2"/>
          <c:tx>
            <c:strRef>
              <c:f>'Month - Mar 2011'!$B$40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2011'!$F$40:$Y$40</c:f>
              <c:numCache>
                <c:formatCode>0.0%</c:formatCode>
                <c:ptCount val="20"/>
                <c:pt idx="0">
                  <c:v>3.3010000000000002</c:v>
                </c:pt>
                <c:pt idx="1">
                  <c:v>1.6505000000000001</c:v>
                </c:pt>
                <c:pt idx="2">
                  <c:v>1.4696666666666667</c:v>
                </c:pt>
                <c:pt idx="3">
                  <c:v>1.252</c:v>
                </c:pt>
                <c:pt idx="4">
                  <c:v>1.2822</c:v>
                </c:pt>
                <c:pt idx="5">
                  <c:v>1.2017500000000001</c:v>
                </c:pt>
                <c:pt idx="6">
                  <c:v>1.1947857142857143</c:v>
                </c:pt>
                <c:pt idx="7">
                  <c:v>1.1328750000000001</c:v>
                </c:pt>
                <c:pt idx="8">
                  <c:v>1.1435</c:v>
                </c:pt>
                <c:pt idx="9">
                  <c:v>1.20885</c:v>
                </c:pt>
                <c:pt idx="10">
                  <c:v>1.2037727272727272</c:v>
                </c:pt>
                <c:pt idx="11">
                  <c:v>1.3220000000000001</c:v>
                </c:pt>
                <c:pt idx="12">
                  <c:v>1.393576923076923</c:v>
                </c:pt>
                <c:pt idx="13">
                  <c:v>1.4117857142857142</c:v>
                </c:pt>
                <c:pt idx="14">
                  <c:v>1.4931333333333334</c:v>
                </c:pt>
                <c:pt idx="15">
                  <c:v>1.473125</c:v>
                </c:pt>
                <c:pt idx="16">
                  <c:v>1.2902647058823531</c:v>
                </c:pt>
                <c:pt idx="17">
                  <c:v>1.26325</c:v>
                </c:pt>
                <c:pt idx="18">
                  <c:v>1.2046315789473685</c:v>
                </c:pt>
                <c:pt idx="19">
                  <c:v>1.1596</c:v>
                </c:pt>
              </c:numCache>
            </c:numRef>
          </c:val>
        </c:ser>
        <c:ser>
          <c:idx val="2"/>
          <c:order val="3"/>
          <c:tx>
            <c:strRef>
              <c:f>'Month - Mar 2011'!$B$41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2011'!$F$41:$Y$41</c:f>
              <c:numCache>
                <c:formatCode>0.0%</c:formatCode>
                <c:ptCount val="20"/>
                <c:pt idx="0">
                  <c:v>1.8015151515151515</c:v>
                </c:pt>
                <c:pt idx="1">
                  <c:v>1.1118686868686869</c:v>
                </c:pt>
                <c:pt idx="2">
                  <c:v>0.74124579124579115</c:v>
                </c:pt>
                <c:pt idx="3">
                  <c:v>0.62401515151515152</c:v>
                </c:pt>
                <c:pt idx="4">
                  <c:v>0.55375757575757578</c:v>
                </c:pt>
                <c:pt idx="5">
                  <c:v>0.46146464646464647</c:v>
                </c:pt>
                <c:pt idx="6">
                  <c:v>0.39554112554112553</c:v>
                </c:pt>
                <c:pt idx="7">
                  <c:v>0.36902777777777779</c:v>
                </c:pt>
                <c:pt idx="8">
                  <c:v>0.3280246913580247</c:v>
                </c:pt>
                <c:pt idx="9">
                  <c:v>0.28690909090909089</c:v>
                </c:pt>
                <c:pt idx="10">
                  <c:v>0.26082644628099172</c:v>
                </c:pt>
                <c:pt idx="11">
                  <c:v>0.27614478114478119</c:v>
                </c:pt>
                <c:pt idx="12">
                  <c:v>0.28785547785547788</c:v>
                </c:pt>
                <c:pt idx="13">
                  <c:v>0.29810245310245309</c:v>
                </c:pt>
                <c:pt idx="14">
                  <c:v>0.29140740740740745</c:v>
                </c:pt>
                <c:pt idx="15">
                  <c:v>0.29379419191919193</c:v>
                </c:pt>
                <c:pt idx="16">
                  <c:v>0.31145573380867503</c:v>
                </c:pt>
                <c:pt idx="17">
                  <c:v>0.31094276094276097</c:v>
                </c:pt>
                <c:pt idx="18">
                  <c:v>0.32048378522062732</c:v>
                </c:pt>
                <c:pt idx="19">
                  <c:v>0.35478787878787876</c:v>
                </c:pt>
              </c:numCache>
            </c:numRef>
          </c:val>
        </c:ser>
        <c:ser>
          <c:idx val="5"/>
          <c:order val="4"/>
          <c:tx>
            <c:strRef>
              <c:f>'Month - Mar 2011'!$B$42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2.2685185185185187E-2</c:v>
                </c:pt>
                <c:pt idx="12">
                  <c:v>2.0940170940170942E-2</c:v>
                </c:pt>
                <c:pt idx="13">
                  <c:v>3.888888888888889E-2</c:v>
                </c:pt>
                <c:pt idx="14">
                  <c:v>3.6296296296296292E-2</c:v>
                </c:pt>
                <c:pt idx="15">
                  <c:v>3.4027777777777775E-2</c:v>
                </c:pt>
                <c:pt idx="16">
                  <c:v>3.202614379084967E-2</c:v>
                </c:pt>
                <c:pt idx="17">
                  <c:v>3.0246913580246913E-2</c:v>
                </c:pt>
                <c:pt idx="18">
                  <c:v>2.8654970760233919E-2</c:v>
                </c:pt>
                <c:pt idx="19">
                  <c:v>4.2348484848484851E-2</c:v>
                </c:pt>
              </c:numCache>
            </c:numRef>
          </c:val>
        </c:ser>
        <c:ser>
          <c:idx val="3"/>
          <c:order val="5"/>
          <c:tx>
            <c:strRef>
              <c:f>'Month - Mar 2011'!$B$43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2011'!$F$43:$Y$43</c:f>
              <c:numCache>
                <c:formatCode>0.0%</c:formatCode>
                <c:ptCount val="20"/>
                <c:pt idx="0">
                  <c:v>0.38285714285714284</c:v>
                </c:pt>
                <c:pt idx="1">
                  <c:v>0.33766233766233766</c:v>
                </c:pt>
                <c:pt idx="2">
                  <c:v>0.27826839826839828</c:v>
                </c:pt>
                <c:pt idx="3">
                  <c:v>1.0286753246753246</c:v>
                </c:pt>
                <c:pt idx="4">
                  <c:v>1.1599064935064936</c:v>
                </c:pt>
                <c:pt idx="5">
                  <c:v>0.99316883116883115</c:v>
                </c:pt>
                <c:pt idx="6">
                  <c:v>0.97350649350649354</c:v>
                </c:pt>
                <c:pt idx="7">
                  <c:v>0.87175324675324672</c:v>
                </c:pt>
                <c:pt idx="8">
                  <c:v>0.83513419913419917</c:v>
                </c:pt>
                <c:pt idx="9">
                  <c:v>0.88220779220779222</c:v>
                </c:pt>
                <c:pt idx="10">
                  <c:v>0.8723164108618654</c:v>
                </c:pt>
                <c:pt idx="11">
                  <c:v>0.88505194805194809</c:v>
                </c:pt>
                <c:pt idx="12">
                  <c:v>0.86496703296703281</c:v>
                </c:pt>
                <c:pt idx="13">
                  <c:v>0.83529499072356217</c:v>
                </c:pt>
                <c:pt idx="14">
                  <c:v>0.8127238095238094</c:v>
                </c:pt>
                <c:pt idx="15">
                  <c:v>0.75196103896103894</c:v>
                </c:pt>
                <c:pt idx="16">
                  <c:v>0.73956608097784571</c:v>
                </c:pt>
                <c:pt idx="17">
                  <c:v>0.69847907647907648</c:v>
                </c:pt>
                <c:pt idx="18">
                  <c:v>0.67010526315789476</c:v>
                </c:pt>
                <c:pt idx="19">
                  <c:v>0.72183636363636361</c:v>
                </c:pt>
              </c:numCache>
            </c:numRef>
          </c:val>
        </c:ser>
        <c:ser>
          <c:idx val="4"/>
          <c:order val="6"/>
          <c:tx>
            <c:strRef>
              <c:f>'Month - Mar 2011'!$B$44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2011'!$F$44:$Y$44</c:f>
              <c:numCache>
                <c:formatCode>0.0%</c:formatCode>
                <c:ptCount val="20"/>
                <c:pt idx="0">
                  <c:v>2.848609865470852</c:v>
                </c:pt>
                <c:pt idx="1">
                  <c:v>1.7060388639760837</c:v>
                </c:pt>
                <c:pt idx="2">
                  <c:v>1.2937219730941705</c:v>
                </c:pt>
                <c:pt idx="3">
                  <c:v>1.3451980568011959</c:v>
                </c:pt>
                <c:pt idx="4">
                  <c:v>1.273150971599402</c:v>
                </c:pt>
                <c:pt idx="5">
                  <c:v>1.096096163428002</c:v>
                </c:pt>
                <c:pt idx="6">
                  <c:v>1.0232158872517616</c:v>
                </c:pt>
                <c:pt idx="7">
                  <c:v>0.95883781763826603</c:v>
                </c:pt>
                <c:pt idx="8">
                  <c:v>0.91362066101976425</c:v>
                </c:pt>
                <c:pt idx="9">
                  <c:v>0.91434379671150967</c:v>
                </c:pt>
                <c:pt idx="10">
                  <c:v>0.89930561217556726</c:v>
                </c:pt>
                <c:pt idx="11">
                  <c:v>0.92938465371200785</c:v>
                </c:pt>
                <c:pt idx="12">
                  <c:v>0.92521214211797165</c:v>
                </c:pt>
                <c:pt idx="13">
                  <c:v>0.9315844544095665</c:v>
                </c:pt>
                <c:pt idx="14">
                  <c:v>0.93878126557050301</c:v>
                </c:pt>
                <c:pt idx="15">
                  <c:v>0.89124626307922272</c:v>
                </c:pt>
                <c:pt idx="16">
                  <c:v>0.84201090301591475</c:v>
                </c:pt>
                <c:pt idx="17">
                  <c:v>0.8094411227370869</c:v>
                </c:pt>
                <c:pt idx="18">
                  <c:v>0.78533396270946421</c:v>
                </c:pt>
                <c:pt idx="19">
                  <c:v>0.79378101644245147</c:v>
                </c:pt>
              </c:numCache>
            </c:numRef>
          </c:val>
        </c:ser>
        <c:marker val="1"/>
        <c:axId val="133808128"/>
        <c:axId val="133809664"/>
      </c:lineChart>
      <c:catAx>
        <c:axId val="133808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809664"/>
        <c:crosses val="autoZero"/>
        <c:auto val="1"/>
        <c:lblAlgn val="ctr"/>
        <c:lblOffset val="100"/>
      </c:catAx>
      <c:valAx>
        <c:axId val="133809664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3808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479573910057696E-2"/>
          <c:y val="0.14130449781812823"/>
          <c:w val="0.84576083767422694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Apr 2011'!$B$48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2011'!$F$48:$Y$48</c:f>
              <c:numCache>
                <c:formatCode>0</c:formatCode>
                <c:ptCount val="20"/>
                <c:pt idx="0">
                  <c:v>200560</c:v>
                </c:pt>
                <c:pt idx="1">
                  <c:v>206051.42857142858</c:v>
                </c:pt>
                <c:pt idx="2">
                  <c:v>230150</c:v>
                </c:pt>
                <c:pt idx="3">
                  <c:v>218433.33333333331</c:v>
                </c:pt>
                <c:pt idx="4">
                  <c:v>214452</c:v>
                </c:pt>
                <c:pt idx="5">
                  <c:v>224938.18181818179</c:v>
                </c:pt>
                <c:pt idx="6">
                  <c:v>239638.33333333331</c:v>
                </c:pt>
                <c:pt idx="7">
                  <c:v>228690.76923076922</c:v>
                </c:pt>
                <c:pt idx="8">
                  <c:v>228712.85714285713</c:v>
                </c:pt>
                <c:pt idx="9">
                  <c:v>240538.66666666666</c:v>
                </c:pt>
                <c:pt idx="10">
                  <c:v>240083.75</c:v>
                </c:pt>
                <c:pt idx="11">
                  <c:v>242642.35294117648</c:v>
                </c:pt>
                <c:pt idx="12">
                  <c:v>248725.55555555556</c:v>
                </c:pt>
                <c:pt idx="13">
                  <c:v>261851.57894736843</c:v>
                </c:pt>
                <c:pt idx="14">
                  <c:v>254914</c:v>
                </c:pt>
                <c:pt idx="15">
                  <c:v>318642.5</c:v>
                </c:pt>
                <c:pt idx="16">
                  <c:v>309195.29411764705</c:v>
                </c:pt>
                <c:pt idx="17">
                  <c:v>308722.22222222225</c:v>
                </c:pt>
                <c:pt idx="18">
                  <c:v>292473.68421052629</c:v>
                </c:pt>
                <c:pt idx="19">
                  <c:v>295088</c:v>
                </c:pt>
              </c:numCache>
            </c:numRef>
          </c:val>
        </c:ser>
        <c:ser>
          <c:idx val="6"/>
          <c:order val="1"/>
          <c:tx>
            <c:strRef>
              <c:f>'Month - Apr 2011'!$B$49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2011'!$F$49:$Y$49</c:f>
              <c:numCache>
                <c:formatCode>0</c:formatCode>
                <c:ptCount val="20"/>
                <c:pt idx="0">
                  <c:v>76566.666666666672</c:v>
                </c:pt>
                <c:pt idx="1">
                  <c:v>89885.71428571429</c:v>
                </c:pt>
                <c:pt idx="2">
                  <c:v>78650</c:v>
                </c:pt>
                <c:pt idx="3">
                  <c:v>88777.777777777781</c:v>
                </c:pt>
                <c:pt idx="4">
                  <c:v>79900</c:v>
                </c:pt>
                <c:pt idx="5">
                  <c:v>78081.818181818177</c:v>
                </c:pt>
                <c:pt idx="6">
                  <c:v>76566.666666666672</c:v>
                </c:pt>
                <c:pt idx="7">
                  <c:v>75284.615384615376</c:v>
                </c:pt>
                <c:pt idx="8">
                  <c:v>84964.28571428571</c:v>
                </c:pt>
                <c:pt idx="9">
                  <c:v>79300</c:v>
                </c:pt>
                <c:pt idx="10">
                  <c:v>74343.75</c:v>
                </c:pt>
                <c:pt idx="11">
                  <c:v>86476.470588235301</c:v>
                </c:pt>
                <c:pt idx="12">
                  <c:v>84500</c:v>
                </c:pt>
                <c:pt idx="13">
                  <c:v>80052.631578947359</c:v>
                </c:pt>
                <c:pt idx="14">
                  <c:v>76050</c:v>
                </c:pt>
                <c:pt idx="15">
                  <c:v>95062.5</c:v>
                </c:pt>
                <c:pt idx="16">
                  <c:v>92464.705882352937</c:v>
                </c:pt>
                <c:pt idx="17">
                  <c:v>87327.777777777781</c:v>
                </c:pt>
                <c:pt idx="18">
                  <c:v>91668.421052631587</c:v>
                </c:pt>
                <c:pt idx="19">
                  <c:v>90080</c:v>
                </c:pt>
              </c:numCache>
            </c:numRef>
          </c:val>
        </c:ser>
        <c:ser>
          <c:idx val="1"/>
          <c:order val="2"/>
          <c:tx>
            <c:strRef>
              <c:f>'Month - Apr 2011'!$B$50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2011'!$F$50:$Y$50</c:f>
              <c:numCache>
                <c:formatCode>0</c:formatCode>
                <c:ptCount val="20"/>
                <c:pt idx="0">
                  <c:v>442183.33333333337</c:v>
                </c:pt>
                <c:pt idx="1">
                  <c:v>431357.14285714284</c:v>
                </c:pt>
                <c:pt idx="2">
                  <c:v>397425</c:v>
                </c:pt>
                <c:pt idx="3">
                  <c:v>384444.44444444444</c:v>
                </c:pt>
                <c:pt idx="4">
                  <c:v>359890</c:v>
                </c:pt>
                <c:pt idx="5">
                  <c:v>346318.18181818182</c:v>
                </c:pt>
                <c:pt idx="6">
                  <c:v>336675</c:v>
                </c:pt>
                <c:pt idx="7">
                  <c:v>328053.84615384619</c:v>
                </c:pt>
                <c:pt idx="8">
                  <c:v>316750</c:v>
                </c:pt>
                <c:pt idx="9">
                  <c:v>341668</c:v>
                </c:pt>
                <c:pt idx="10">
                  <c:v>332488.75</c:v>
                </c:pt>
                <c:pt idx="11">
                  <c:v>327442.35294117645</c:v>
                </c:pt>
                <c:pt idx="12">
                  <c:v>337006.66666666663</c:v>
                </c:pt>
                <c:pt idx="13">
                  <c:v>333169.47368421056</c:v>
                </c:pt>
                <c:pt idx="14">
                  <c:v>319506</c:v>
                </c:pt>
                <c:pt idx="15">
                  <c:v>406870</c:v>
                </c:pt>
                <c:pt idx="16">
                  <c:v>401412.94117647054</c:v>
                </c:pt>
                <c:pt idx="17">
                  <c:v>361240</c:v>
                </c:pt>
                <c:pt idx="18">
                  <c:v>339180</c:v>
                </c:pt>
                <c:pt idx="19">
                  <c:v>316131</c:v>
                </c:pt>
              </c:numCache>
            </c:numRef>
          </c:val>
        </c:ser>
        <c:ser>
          <c:idx val="2"/>
          <c:order val="3"/>
          <c:tx>
            <c:strRef>
              <c:f>'Month - Apr 2011'!$B$51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2011'!$F$51:$Y$51</c:f>
              <c:numCache>
                <c:formatCode>0</c:formatCode>
                <c:ptCount val="20"/>
                <c:pt idx="0">
                  <c:v>50656.666666666672</c:v>
                </c:pt>
                <c:pt idx="1">
                  <c:v>51851.428571428565</c:v>
                </c:pt>
                <c:pt idx="2">
                  <c:v>38257.5</c:v>
                </c:pt>
                <c:pt idx="3">
                  <c:v>34006.666666666664</c:v>
                </c:pt>
                <c:pt idx="4">
                  <c:v>42956</c:v>
                </c:pt>
                <c:pt idx="5">
                  <c:v>44223.63636363636</c:v>
                </c:pt>
                <c:pt idx="6">
                  <c:v>45281.666666666672</c:v>
                </c:pt>
                <c:pt idx="7">
                  <c:v>41798.461538461546</c:v>
                </c:pt>
                <c:pt idx="8">
                  <c:v>63757.142857142855</c:v>
                </c:pt>
                <c:pt idx="9">
                  <c:v>51658.666666666672</c:v>
                </c:pt>
                <c:pt idx="10">
                  <c:v>65922.5</c:v>
                </c:pt>
                <c:pt idx="11">
                  <c:v>48425.882352941182</c:v>
                </c:pt>
                <c:pt idx="12">
                  <c:v>45735.555555555555</c:v>
                </c:pt>
                <c:pt idx="13">
                  <c:v>48778.947368421053</c:v>
                </c:pt>
                <c:pt idx="14">
                  <c:v>46340</c:v>
                </c:pt>
                <c:pt idx="15">
                  <c:v>60062.5</c:v>
                </c:pt>
                <c:pt idx="16">
                  <c:v>54298.823529411762</c:v>
                </c:pt>
                <c:pt idx="17">
                  <c:v>51282.222222222226</c:v>
                </c:pt>
                <c:pt idx="18">
                  <c:v>47773.68421052632</c:v>
                </c:pt>
                <c:pt idx="19">
                  <c:v>45385</c:v>
                </c:pt>
              </c:numCache>
            </c:numRef>
          </c:val>
        </c:ser>
        <c:ser>
          <c:idx val="3"/>
          <c:order val="4"/>
          <c:tx>
            <c:strRef>
              <c:f>'Month - Apr 2011'!$B$52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5445.454545454545</c:v>
                </c:pt>
                <c:pt idx="6">
                  <c:v>9983.3333333333339</c:v>
                </c:pt>
                <c:pt idx="7">
                  <c:v>17669.23076923077</c:v>
                </c:pt>
                <c:pt idx="8">
                  <c:v>16407.142857142859</c:v>
                </c:pt>
                <c:pt idx="9">
                  <c:v>15313.333333333332</c:v>
                </c:pt>
                <c:pt idx="10">
                  <c:v>19851.25</c:v>
                </c:pt>
                <c:pt idx="11">
                  <c:v>18683.529411764706</c:v>
                </c:pt>
                <c:pt idx="12">
                  <c:v>17645.555555555555</c:v>
                </c:pt>
                <c:pt idx="13">
                  <c:v>16716.84210526316</c:v>
                </c:pt>
                <c:pt idx="14">
                  <c:v>15881</c:v>
                </c:pt>
                <c:pt idx="15">
                  <c:v>19851.25</c:v>
                </c:pt>
                <c:pt idx="16">
                  <c:v>18683.529411764706</c:v>
                </c:pt>
                <c:pt idx="17">
                  <c:v>17645.555555555555</c:v>
                </c:pt>
                <c:pt idx="18">
                  <c:v>16716.84210526316</c:v>
                </c:pt>
                <c:pt idx="19">
                  <c:v>24371</c:v>
                </c:pt>
              </c:numCache>
            </c:numRef>
          </c:val>
        </c:ser>
        <c:ser>
          <c:idx val="4"/>
          <c:order val="5"/>
          <c:tx>
            <c:strRef>
              <c:f>'Month - Apr 2011'!$B$53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2011'!$F$53:$Y$53</c:f>
              <c:numCache>
                <c:formatCode>0</c:formatCode>
                <c:ptCount val="20"/>
                <c:pt idx="0">
                  <c:v>142153.33333333334</c:v>
                </c:pt>
                <c:pt idx="1">
                  <c:v>146708.57142857142</c:v>
                </c:pt>
                <c:pt idx="2">
                  <c:v>142450</c:v>
                </c:pt>
                <c:pt idx="3">
                  <c:v>141986.66666666666</c:v>
                </c:pt>
                <c:pt idx="4">
                  <c:v>155842</c:v>
                </c:pt>
                <c:pt idx="5">
                  <c:v>152000</c:v>
                </c:pt>
                <c:pt idx="6">
                  <c:v>152983.33333333334</c:v>
                </c:pt>
                <c:pt idx="7">
                  <c:v>140436.92307692309</c:v>
                </c:pt>
                <c:pt idx="8">
                  <c:v>146737.14285714287</c:v>
                </c:pt>
                <c:pt idx="9">
                  <c:v>155473.33333333334</c:v>
                </c:pt>
                <c:pt idx="10">
                  <c:v>156213.75</c:v>
                </c:pt>
                <c:pt idx="11">
                  <c:v>164037.64705882352</c:v>
                </c:pt>
                <c:pt idx="12">
                  <c:v>168006.66666666669</c:v>
                </c:pt>
                <c:pt idx="13">
                  <c:v>170593.68421052629</c:v>
                </c:pt>
                <c:pt idx="14">
                  <c:v>162064</c:v>
                </c:pt>
                <c:pt idx="15">
                  <c:v>202580</c:v>
                </c:pt>
                <c:pt idx="16">
                  <c:v>196290.58823529413</c:v>
                </c:pt>
                <c:pt idx="17">
                  <c:v>185385.55555555556</c:v>
                </c:pt>
                <c:pt idx="18">
                  <c:v>190883.15789473683</c:v>
                </c:pt>
                <c:pt idx="19">
                  <c:v>181339</c:v>
                </c:pt>
              </c:numCache>
            </c:numRef>
          </c:val>
        </c:ser>
        <c:ser>
          <c:idx val="5"/>
          <c:order val="6"/>
          <c:tx>
            <c:strRef>
              <c:f>'Month - Apr 2011'!$B$54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Apr 2011'!$F$47:$Y$47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2011'!$F$54:$Y$54</c:f>
              <c:numCache>
                <c:formatCode>0</c:formatCode>
                <c:ptCount val="20"/>
                <c:pt idx="0">
                  <c:v>912120</c:v>
                </c:pt>
                <c:pt idx="1">
                  <c:v>925854.28571428568</c:v>
                </c:pt>
                <c:pt idx="2">
                  <c:v>886932.5</c:v>
                </c:pt>
                <c:pt idx="3">
                  <c:v>867648.88888888876</c:v>
                </c:pt>
                <c:pt idx="4">
                  <c:v>853040</c:v>
                </c:pt>
                <c:pt idx="5">
                  <c:v>851007.27272727282</c:v>
                </c:pt>
                <c:pt idx="6">
                  <c:v>861128.33333333337</c:v>
                </c:pt>
                <c:pt idx="7">
                  <c:v>831933.84615384613</c:v>
                </c:pt>
                <c:pt idx="8">
                  <c:v>857328.57142857136</c:v>
                </c:pt>
                <c:pt idx="9">
                  <c:v>883952</c:v>
                </c:pt>
                <c:pt idx="10">
                  <c:v>888903.75</c:v>
                </c:pt>
                <c:pt idx="11">
                  <c:v>887708.23529411759</c:v>
                </c:pt>
                <c:pt idx="12">
                  <c:v>901620</c:v>
                </c:pt>
                <c:pt idx="13">
                  <c:v>911163.15789473674</c:v>
                </c:pt>
                <c:pt idx="14">
                  <c:v>874755</c:v>
                </c:pt>
                <c:pt idx="15">
                  <c:v>1103068.75</c:v>
                </c:pt>
                <c:pt idx="16">
                  <c:v>1072345.8823529412</c:v>
                </c:pt>
                <c:pt idx="17">
                  <c:v>1011603.3333333333</c:v>
                </c:pt>
                <c:pt idx="18">
                  <c:v>978695.78947368416</c:v>
                </c:pt>
                <c:pt idx="19">
                  <c:v>952394</c:v>
                </c:pt>
              </c:numCache>
            </c:numRef>
          </c:val>
        </c:ser>
        <c:marker val="1"/>
        <c:axId val="134043904"/>
        <c:axId val="134049792"/>
      </c:lineChart>
      <c:catAx>
        <c:axId val="1340439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049792"/>
        <c:crosses val="autoZero"/>
        <c:auto val="1"/>
        <c:lblAlgn val="ctr"/>
        <c:lblOffset val="100"/>
      </c:catAx>
      <c:valAx>
        <c:axId val="134049792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04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877208331415602"/>
          <c:y val="0.90652265205980065"/>
          <c:w val="0.48757348313917903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Apr 2011'!$B$6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2011'!$F$17:$Y$17</c:f>
              <c:numCache>
                <c:formatCode>0.0%</c:formatCode>
                <c:ptCount val="20"/>
                <c:pt idx="0">
                  <c:v>0.59802666666666671</c:v>
                </c:pt>
                <c:pt idx="1">
                  <c:v>0.63733333333333331</c:v>
                </c:pt>
                <c:pt idx="2">
                  <c:v>1.0637333333333334</c:v>
                </c:pt>
                <c:pt idx="3">
                  <c:v>0.3323733333333333</c:v>
                </c:pt>
                <c:pt idx="4">
                  <c:v>0.47631999999999997</c:v>
                </c:pt>
                <c:pt idx="5">
                  <c:v>0.87946666666666662</c:v>
                </c:pt>
                <c:pt idx="6">
                  <c:v>1.0702400000000001</c:v>
                </c:pt>
                <c:pt idx="7">
                  <c:v>0.25951999999999997</c:v>
                </c:pt>
                <c:pt idx="8">
                  <c:v>0.61066666666666669</c:v>
                </c:pt>
                <c:pt idx="9">
                  <c:v>1.0829333333333333</c:v>
                </c:pt>
                <c:pt idx="10">
                  <c:v>0.62202666666666673</c:v>
                </c:pt>
                <c:pt idx="11">
                  <c:v>0.75621333333333329</c:v>
                </c:pt>
                <c:pt idx="12">
                  <c:v>0.93903999999999999</c:v>
                </c:pt>
                <c:pt idx="13">
                  <c:v>1.3283199999999999</c:v>
                </c:pt>
                <c:pt idx="14">
                  <c:v>0.32826666666666671</c:v>
                </c:pt>
                <c:pt idx="15">
                  <c:v>0</c:v>
                </c:pt>
                <c:pt idx="16">
                  <c:v>0.42144000000000004</c:v>
                </c:pt>
                <c:pt idx="17">
                  <c:v>0.97354666666666667</c:v>
                </c:pt>
                <c:pt idx="18">
                  <c:v>0.97354666666666667</c:v>
                </c:pt>
                <c:pt idx="19">
                  <c:v>0.91935999999999996</c:v>
                </c:pt>
              </c:numCache>
            </c:numRef>
          </c:val>
        </c:ser>
        <c:ser>
          <c:idx val="6"/>
          <c:order val="1"/>
          <c:tx>
            <c:strRef>
              <c:f>'Month - Apr 2011'!$B$18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Apr 2011'!$F$18:$Y$18</c:f>
              <c:numCache>
                <c:formatCode>0.0%</c:formatCode>
                <c:ptCount val="20"/>
                <c:pt idx="0">
                  <c:v>0</c:v>
                </c:pt>
                <c:pt idx="1">
                  <c:v>1.3584000000000001</c:v>
                </c:pt>
                <c:pt idx="2">
                  <c:v>0</c:v>
                </c:pt>
                <c:pt idx="3">
                  <c:v>1.3584000000000001</c:v>
                </c:pt>
                <c:pt idx="4">
                  <c:v>0</c:v>
                </c:pt>
                <c:pt idx="5">
                  <c:v>0.47919999999999996</c:v>
                </c:pt>
                <c:pt idx="6">
                  <c:v>0.47919999999999996</c:v>
                </c:pt>
                <c:pt idx="7">
                  <c:v>0.47919999999999996</c:v>
                </c:pt>
                <c:pt idx="8">
                  <c:v>1.6863999999999999</c:v>
                </c:pt>
                <c:pt idx="9">
                  <c:v>0</c:v>
                </c:pt>
                <c:pt idx="10">
                  <c:v>0</c:v>
                </c:pt>
                <c:pt idx="11">
                  <c:v>2.2447999999999997</c:v>
                </c:pt>
                <c:pt idx="12">
                  <c:v>0.40720000000000001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0.40720000000000001</c:v>
                </c:pt>
                <c:pt idx="17">
                  <c:v>0</c:v>
                </c:pt>
                <c:pt idx="18">
                  <c:v>1.3584000000000001</c:v>
                </c:pt>
                <c:pt idx="19">
                  <c:v>0.47919999999999996</c:v>
                </c:pt>
              </c:numCache>
            </c:numRef>
          </c:val>
        </c:ser>
        <c:ser>
          <c:idx val="1"/>
          <c:order val="2"/>
          <c:tx>
            <c:strRef>
              <c:f>'Month - Apr 2011'!$B$8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2011'!$F$19:$Y$19</c:f>
              <c:numCache>
                <c:formatCode>0.0%</c:formatCode>
                <c:ptCount val="20"/>
                <c:pt idx="0">
                  <c:v>0.7586666666666666</c:v>
                </c:pt>
                <c:pt idx="1">
                  <c:v>1.7395555555555555</c:v>
                </c:pt>
                <c:pt idx="2">
                  <c:v>0.71066666666666667</c:v>
                </c:pt>
                <c:pt idx="3">
                  <c:v>1.2471111111111111</c:v>
                </c:pt>
                <c:pt idx="4">
                  <c:v>1.020888888888889</c:v>
                </c:pt>
                <c:pt idx="5">
                  <c:v>1.2511111111111111</c:v>
                </c:pt>
                <c:pt idx="6">
                  <c:v>1.2911111111111111</c:v>
                </c:pt>
                <c:pt idx="7">
                  <c:v>1.2644444444444445</c:v>
                </c:pt>
                <c:pt idx="8">
                  <c:v>0.48844444444444446</c:v>
                </c:pt>
                <c:pt idx="9">
                  <c:v>3.6013333333333333</c:v>
                </c:pt>
                <c:pt idx="10">
                  <c:v>0.97688888888888892</c:v>
                </c:pt>
                <c:pt idx="11">
                  <c:v>1.0964444444444443</c:v>
                </c:pt>
                <c:pt idx="12">
                  <c:v>2.2204444444444444</c:v>
                </c:pt>
                <c:pt idx="13">
                  <c:v>1.1737777777777778</c:v>
                </c:pt>
                <c:pt idx="14">
                  <c:v>0.26266666666666671</c:v>
                </c:pt>
                <c:pt idx="15">
                  <c:v>0.5324444444444445</c:v>
                </c:pt>
                <c:pt idx="16">
                  <c:v>1.3959999999999999</c:v>
                </c:pt>
                <c:pt idx="17">
                  <c:v>0.97688888888888892</c:v>
                </c:pt>
                <c:pt idx="18">
                  <c:v>1.1671111111111112</c:v>
                </c:pt>
                <c:pt idx="19">
                  <c:v>0.8342222222222222</c:v>
                </c:pt>
              </c:numCache>
            </c:numRef>
          </c:val>
        </c:ser>
        <c:ser>
          <c:idx val="2"/>
          <c:order val="3"/>
          <c:tx>
            <c:strRef>
              <c:f>'Month - Apr 2011'!$B$20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2011'!$F$20:$Y$20</c:f>
              <c:numCache>
                <c:formatCode>0.0%</c:formatCode>
                <c:ptCount val="20"/>
                <c:pt idx="0">
                  <c:v>0.17674641148325354</c:v>
                </c:pt>
                <c:pt idx="1">
                  <c:v>0.28239234449760764</c:v>
                </c:pt>
                <c:pt idx="2">
                  <c:v>0</c:v>
                </c:pt>
                <c:pt idx="3">
                  <c:v>0</c:v>
                </c:pt>
                <c:pt idx="4">
                  <c:v>0.8558851674641148</c:v>
                </c:pt>
                <c:pt idx="5">
                  <c:v>0.27224880382775118</c:v>
                </c:pt>
                <c:pt idx="6">
                  <c:v>0.27224880382775118</c:v>
                </c:pt>
                <c:pt idx="7">
                  <c:v>0</c:v>
                </c:pt>
                <c:pt idx="8">
                  <c:v>0.83540669856459326</c:v>
                </c:pt>
                <c:pt idx="9">
                  <c:v>0.27224880382775118</c:v>
                </c:pt>
                <c:pt idx="10">
                  <c:v>0.24354066985645928</c:v>
                </c:pt>
                <c:pt idx="11">
                  <c:v>0</c:v>
                </c:pt>
                <c:pt idx="12">
                  <c:v>0</c:v>
                </c:pt>
                <c:pt idx="13">
                  <c:v>0.42181818181818187</c:v>
                </c:pt>
                <c:pt idx="14">
                  <c:v>0</c:v>
                </c:pt>
                <c:pt idx="15">
                  <c:v>0.38708133971291869</c:v>
                </c:pt>
                <c:pt idx="16">
                  <c:v>0.52583732057416266</c:v>
                </c:pt>
                <c:pt idx="17">
                  <c:v>0</c:v>
                </c:pt>
                <c:pt idx="18">
                  <c:v>0.18181818181818177</c:v>
                </c:pt>
                <c:pt idx="19">
                  <c:v>0.27224880382775118</c:v>
                </c:pt>
              </c:numCache>
            </c:numRef>
          </c:val>
        </c:ser>
        <c:ser>
          <c:idx val="3"/>
          <c:order val="4"/>
          <c:tx>
            <c:strRef>
              <c:f>'Month - Apr 2011'!$B$22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2011'!$F$22:$Y$22</c:f>
              <c:numCache>
                <c:formatCode>0.0%</c:formatCode>
                <c:ptCount val="20"/>
                <c:pt idx="0">
                  <c:v>0.58509090909090911</c:v>
                </c:pt>
                <c:pt idx="1">
                  <c:v>0.45199999999999996</c:v>
                </c:pt>
                <c:pt idx="2">
                  <c:v>0.49220779220779221</c:v>
                </c:pt>
                <c:pt idx="3">
                  <c:v>0.15948051948051944</c:v>
                </c:pt>
                <c:pt idx="4">
                  <c:v>0.72862337662337662</c:v>
                </c:pt>
                <c:pt idx="5">
                  <c:v>0.4544935064935065</c:v>
                </c:pt>
                <c:pt idx="6">
                  <c:v>0.42545454545454542</c:v>
                </c:pt>
                <c:pt idx="7">
                  <c:v>0.43449350649350649</c:v>
                </c:pt>
                <c:pt idx="8">
                  <c:v>0.59397402597402604</c:v>
                </c:pt>
                <c:pt idx="9">
                  <c:v>0.72150649350649343</c:v>
                </c:pt>
                <c:pt idx="10">
                  <c:v>0.75350649350649346</c:v>
                </c:pt>
                <c:pt idx="11">
                  <c:v>0.75122077922077923</c:v>
                </c:pt>
                <c:pt idx="12">
                  <c:v>0.90415584415584416</c:v>
                </c:pt>
                <c:pt idx="13">
                  <c:v>1.0214545454545454</c:v>
                </c:pt>
                <c:pt idx="14">
                  <c:v>0</c:v>
                </c:pt>
                <c:pt idx="15">
                  <c:v>0</c:v>
                </c:pt>
                <c:pt idx="16">
                  <c:v>0.24841558441558442</c:v>
                </c:pt>
                <c:pt idx="17">
                  <c:v>0</c:v>
                </c:pt>
                <c:pt idx="18">
                  <c:v>0.75283116883116885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'Month - Apr 2011'!$B$10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0.57047619047619047</c:v>
                </c:pt>
                <c:pt idx="6">
                  <c:v>0.57047619047619047</c:v>
                </c:pt>
                <c:pt idx="7">
                  <c:v>1.0466666666666666</c:v>
                </c:pt>
                <c:pt idx="8">
                  <c:v>0</c:v>
                </c:pt>
                <c:pt idx="9">
                  <c:v>0</c:v>
                </c:pt>
                <c:pt idx="10">
                  <c:v>0.83733333333333337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Apr 2011'!$B$23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2011'!$F$23:$Y$23</c:f>
              <c:numCache>
                <c:formatCode>0.0%</c:formatCode>
                <c:ptCount val="20"/>
                <c:pt idx="0">
                  <c:v>0.46148876404494377</c:v>
                </c:pt>
                <c:pt idx="1">
                  <c:v>0.7255898876404494</c:v>
                </c:pt>
                <c:pt idx="2">
                  <c:v>0.52549157303370786</c:v>
                </c:pt>
                <c:pt idx="3">
                  <c:v>0.44693820224719105</c:v>
                </c:pt>
                <c:pt idx="4">
                  <c:v>0.60935393258426962</c:v>
                </c:pt>
                <c:pt idx="5">
                  <c:v>0.67625000000000002</c:v>
                </c:pt>
                <c:pt idx="6">
                  <c:v>0.72495786516853933</c:v>
                </c:pt>
                <c:pt idx="7">
                  <c:v>0.50484550561797747</c:v>
                </c:pt>
                <c:pt idx="8">
                  <c:v>0.66922752808988761</c:v>
                </c:pt>
                <c:pt idx="9">
                  <c:v>1.0892415730337079</c:v>
                </c:pt>
                <c:pt idx="10">
                  <c:v>0.61936797752808981</c:v>
                </c:pt>
                <c:pt idx="11">
                  <c:v>0.77254213483146073</c:v>
                </c:pt>
                <c:pt idx="12">
                  <c:v>0.8783286516853932</c:v>
                </c:pt>
                <c:pt idx="13">
                  <c:v>0.87334269662921349</c:v>
                </c:pt>
                <c:pt idx="14">
                  <c:v>0.12794943820224725</c:v>
                </c:pt>
                <c:pt idx="15">
                  <c:v>0.14094101123595504</c:v>
                </c:pt>
                <c:pt idx="16">
                  <c:v>0.51164325842696634</c:v>
                </c:pt>
                <c:pt idx="17">
                  <c:v>0.4107303370786517</c:v>
                </c:pt>
                <c:pt idx="18">
                  <c:v>0.79025280898876404</c:v>
                </c:pt>
                <c:pt idx="19">
                  <c:v>0.4559410112359551</c:v>
                </c:pt>
              </c:numCache>
            </c:numRef>
          </c:val>
        </c:ser>
        <c:gapWidth val="75"/>
        <c:axId val="134208512"/>
        <c:axId val="134214400"/>
      </c:barChart>
      <c:catAx>
        <c:axId val="1342085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214400"/>
        <c:crosses val="autoZero"/>
        <c:auto val="1"/>
        <c:lblAlgn val="ctr"/>
        <c:lblOffset val="100"/>
      </c:catAx>
      <c:valAx>
        <c:axId val="1342144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20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959941733430408E-2"/>
          <c:y val="0.13978523980435378"/>
          <c:w val="0.86962855061911204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Apr 2011'!$B$38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2011'!$F$38:$Y$38</c:f>
              <c:numCache>
                <c:formatCode>0.0%</c:formatCode>
                <c:ptCount val="20"/>
                <c:pt idx="0">
                  <c:v>0.53482666666666667</c:v>
                </c:pt>
                <c:pt idx="1">
                  <c:v>0.54947047619047618</c:v>
                </c:pt>
                <c:pt idx="2">
                  <c:v>0.61373333333333335</c:v>
                </c:pt>
                <c:pt idx="3">
                  <c:v>0.58248888888888883</c:v>
                </c:pt>
                <c:pt idx="4">
                  <c:v>0.57187200000000005</c:v>
                </c:pt>
                <c:pt idx="5">
                  <c:v>0.59983515151515143</c:v>
                </c:pt>
                <c:pt idx="6">
                  <c:v>0.63903555555555547</c:v>
                </c:pt>
                <c:pt idx="7">
                  <c:v>0.60984205128205127</c:v>
                </c:pt>
                <c:pt idx="8">
                  <c:v>0.60990095238095232</c:v>
                </c:pt>
                <c:pt idx="9">
                  <c:v>0.64143644444444436</c:v>
                </c:pt>
                <c:pt idx="10">
                  <c:v>0.64022333333333337</c:v>
                </c:pt>
                <c:pt idx="11">
                  <c:v>0.6470462745098039</c:v>
                </c:pt>
                <c:pt idx="12">
                  <c:v>0.66326814814814816</c:v>
                </c:pt>
                <c:pt idx="13">
                  <c:v>0.69827087719298242</c:v>
                </c:pt>
                <c:pt idx="14">
                  <c:v>0.67977066666666663</c:v>
                </c:pt>
                <c:pt idx="15">
                  <c:v>0.84971333333333332</c:v>
                </c:pt>
                <c:pt idx="16">
                  <c:v>0.82452078431372544</c:v>
                </c:pt>
                <c:pt idx="17">
                  <c:v>0.82325925925925936</c:v>
                </c:pt>
                <c:pt idx="18">
                  <c:v>0.77992982456140347</c:v>
                </c:pt>
                <c:pt idx="19">
                  <c:v>0.78690133333333334</c:v>
                </c:pt>
              </c:numCache>
            </c:numRef>
          </c:val>
        </c:ser>
        <c:ser>
          <c:idx val="6"/>
          <c:order val="1"/>
          <c:tx>
            <c:strRef>
              <c:f>'Month - Apr 2011'!$B$39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2011'!$F$39:$Y$39</c:f>
              <c:numCache>
                <c:formatCode>0.0%</c:formatCode>
                <c:ptCount val="20"/>
                <c:pt idx="0">
                  <c:v>0.61253333333333337</c:v>
                </c:pt>
                <c:pt idx="1">
                  <c:v>0.71908571428571433</c:v>
                </c:pt>
                <c:pt idx="2">
                  <c:v>0.62919999999999998</c:v>
                </c:pt>
                <c:pt idx="3">
                  <c:v>0.7102222222222222</c:v>
                </c:pt>
                <c:pt idx="4">
                  <c:v>0.63919999999999999</c:v>
                </c:pt>
                <c:pt idx="5">
                  <c:v>0.62465454545454546</c:v>
                </c:pt>
                <c:pt idx="6">
                  <c:v>0.61253333333333337</c:v>
                </c:pt>
                <c:pt idx="7">
                  <c:v>0.60227692307692304</c:v>
                </c:pt>
                <c:pt idx="8">
                  <c:v>0.67971428571428572</c:v>
                </c:pt>
                <c:pt idx="9">
                  <c:v>0.63439999999999996</c:v>
                </c:pt>
                <c:pt idx="10">
                  <c:v>0.59475</c:v>
                </c:pt>
                <c:pt idx="11">
                  <c:v>0.69181176470588246</c:v>
                </c:pt>
                <c:pt idx="12">
                  <c:v>0.67600000000000005</c:v>
                </c:pt>
                <c:pt idx="13">
                  <c:v>0.64042105263157889</c:v>
                </c:pt>
                <c:pt idx="14">
                  <c:v>0.60840000000000005</c:v>
                </c:pt>
                <c:pt idx="15">
                  <c:v>0.76049999999999995</c:v>
                </c:pt>
                <c:pt idx="16">
                  <c:v>0.73971764705882348</c:v>
                </c:pt>
                <c:pt idx="17">
                  <c:v>0.69862222222222226</c:v>
                </c:pt>
                <c:pt idx="18">
                  <c:v>0.73334736842105275</c:v>
                </c:pt>
                <c:pt idx="19">
                  <c:v>0.72063999999999995</c:v>
                </c:pt>
              </c:numCache>
            </c:numRef>
          </c:val>
        </c:ser>
        <c:ser>
          <c:idx val="1"/>
          <c:order val="2"/>
          <c:tx>
            <c:strRef>
              <c:f>'Month - Apr 2011'!$B$40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2011'!$F$40:$Y$40</c:f>
              <c:numCache>
                <c:formatCode>0.0%</c:formatCode>
                <c:ptCount val="20"/>
                <c:pt idx="0">
                  <c:v>1.9652592592592595</c:v>
                </c:pt>
                <c:pt idx="1">
                  <c:v>1.917142857142857</c:v>
                </c:pt>
                <c:pt idx="2">
                  <c:v>1.7663333333333333</c:v>
                </c:pt>
                <c:pt idx="3">
                  <c:v>1.7086419753086419</c:v>
                </c:pt>
                <c:pt idx="4">
                  <c:v>1.5995111111111111</c:v>
                </c:pt>
                <c:pt idx="5">
                  <c:v>1.5391919191919192</c:v>
                </c:pt>
                <c:pt idx="6">
                  <c:v>1.4963333333333333</c:v>
                </c:pt>
                <c:pt idx="7">
                  <c:v>1.4580170940170942</c:v>
                </c:pt>
                <c:pt idx="8">
                  <c:v>1.4077777777777778</c:v>
                </c:pt>
                <c:pt idx="9">
                  <c:v>1.5185244444444443</c:v>
                </c:pt>
                <c:pt idx="10">
                  <c:v>1.4777277777777778</c:v>
                </c:pt>
                <c:pt idx="11">
                  <c:v>1.4552993464052286</c:v>
                </c:pt>
                <c:pt idx="12">
                  <c:v>1.4978074074074073</c:v>
                </c:pt>
                <c:pt idx="13">
                  <c:v>1.4807532163742692</c:v>
                </c:pt>
                <c:pt idx="14">
                  <c:v>1.4200266666666668</c:v>
                </c:pt>
                <c:pt idx="15">
                  <c:v>1.8083111111111112</c:v>
                </c:pt>
                <c:pt idx="16">
                  <c:v>1.7840575163398691</c:v>
                </c:pt>
                <c:pt idx="17">
                  <c:v>1.6055111111111111</c:v>
                </c:pt>
                <c:pt idx="18">
                  <c:v>1.5074666666666667</c:v>
                </c:pt>
                <c:pt idx="19">
                  <c:v>1.4050266666666666</c:v>
                </c:pt>
              </c:numCache>
            </c:numRef>
          </c:val>
        </c:ser>
        <c:ser>
          <c:idx val="2"/>
          <c:order val="3"/>
          <c:tx>
            <c:strRef>
              <c:f>'Month - Apr 2011'!$B$41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2011'!$F$41:$Y$41</c:f>
              <c:numCache>
                <c:formatCode>0.0%</c:formatCode>
                <c:ptCount val="20"/>
                <c:pt idx="0">
                  <c:v>0.2423763955342903</c:v>
                </c:pt>
                <c:pt idx="1">
                  <c:v>0.248092959671907</c:v>
                </c:pt>
                <c:pt idx="2">
                  <c:v>0.18305023923444977</c:v>
                </c:pt>
                <c:pt idx="3">
                  <c:v>0.16271132376395533</c:v>
                </c:pt>
                <c:pt idx="4">
                  <c:v>0.2055311004784689</c:v>
                </c:pt>
                <c:pt idx="5">
                  <c:v>0.21159634623749454</c:v>
                </c:pt>
                <c:pt idx="6">
                  <c:v>0.21665869218500799</c:v>
                </c:pt>
                <c:pt idx="7">
                  <c:v>0.19999263894000741</c:v>
                </c:pt>
                <c:pt idx="8">
                  <c:v>0.30505809979494192</c:v>
                </c:pt>
                <c:pt idx="9">
                  <c:v>0.24717065390749604</c:v>
                </c:pt>
                <c:pt idx="10">
                  <c:v>0.31541866028708132</c:v>
                </c:pt>
                <c:pt idx="11">
                  <c:v>0.231702786377709</c:v>
                </c:pt>
                <c:pt idx="12">
                  <c:v>0.21883040935672515</c:v>
                </c:pt>
                <c:pt idx="13">
                  <c:v>0.23339209267187108</c:v>
                </c:pt>
                <c:pt idx="14">
                  <c:v>0.22172248803827752</c:v>
                </c:pt>
                <c:pt idx="15">
                  <c:v>0.28738038277511962</c:v>
                </c:pt>
                <c:pt idx="16">
                  <c:v>0.25980298339431462</c:v>
                </c:pt>
                <c:pt idx="17">
                  <c:v>0.24536948431685277</c:v>
                </c:pt>
                <c:pt idx="18">
                  <c:v>0.22858222110299675</c:v>
                </c:pt>
                <c:pt idx="19">
                  <c:v>0.2171531100478469</c:v>
                </c:pt>
              </c:numCache>
            </c:numRef>
          </c:val>
        </c:ser>
        <c:ser>
          <c:idx val="5"/>
          <c:order val="4"/>
          <c:tx>
            <c:strRef>
              <c:f>'Month - Apr 2011'!$B$42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2.6054806437581554E-2</c:v>
                </c:pt>
                <c:pt idx="6">
                  <c:v>4.7767145135566194E-2</c:v>
                </c:pt>
                <c:pt idx="7">
                  <c:v>8.4541774015458232E-2</c:v>
                </c:pt>
                <c:pt idx="8">
                  <c:v>7.8503075871496936E-2</c:v>
                </c:pt>
                <c:pt idx="9">
                  <c:v>7.326953748006379E-2</c:v>
                </c:pt>
                <c:pt idx="10">
                  <c:v>9.4982057416267945E-2</c:v>
                </c:pt>
                <c:pt idx="11">
                  <c:v>8.9394877568252179E-2</c:v>
                </c:pt>
                <c:pt idx="12">
                  <c:v>8.4428495481127061E-2</c:v>
                </c:pt>
                <c:pt idx="13">
                  <c:v>7.9984890455804591E-2</c:v>
                </c:pt>
                <c:pt idx="14">
                  <c:v>7.5985645933014351E-2</c:v>
                </c:pt>
                <c:pt idx="15">
                  <c:v>9.4982057416267945E-2</c:v>
                </c:pt>
                <c:pt idx="16">
                  <c:v>8.9394877568252179E-2</c:v>
                </c:pt>
                <c:pt idx="17">
                  <c:v>8.4428495481127061E-2</c:v>
                </c:pt>
                <c:pt idx="18">
                  <c:v>7.9984890455804591E-2</c:v>
                </c:pt>
                <c:pt idx="19">
                  <c:v>0.11660765550239234</c:v>
                </c:pt>
              </c:numCache>
            </c:numRef>
          </c:val>
        </c:ser>
        <c:ser>
          <c:idx val="3"/>
          <c:order val="5"/>
          <c:tx>
            <c:strRef>
              <c:f>'Month - Apr 2011'!$B$43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2011'!$F$43:$Y$43</c:f>
              <c:numCache>
                <c:formatCode>0.0%</c:formatCode>
                <c:ptCount val="20"/>
                <c:pt idx="0">
                  <c:v>0.36922943722943724</c:v>
                </c:pt>
                <c:pt idx="1">
                  <c:v>0.3810612244897959</c:v>
                </c:pt>
                <c:pt idx="2">
                  <c:v>0.37</c:v>
                </c:pt>
                <c:pt idx="3">
                  <c:v>0.36879653679653679</c:v>
                </c:pt>
                <c:pt idx="4">
                  <c:v>0.40478441558441558</c:v>
                </c:pt>
                <c:pt idx="5">
                  <c:v>0.39480519480519483</c:v>
                </c:pt>
                <c:pt idx="6">
                  <c:v>0.39735930735930741</c:v>
                </c:pt>
                <c:pt idx="7">
                  <c:v>0.36477122877122881</c:v>
                </c:pt>
                <c:pt idx="8">
                  <c:v>0.38113543599257887</c:v>
                </c:pt>
                <c:pt idx="9">
                  <c:v>0.40382683982683987</c:v>
                </c:pt>
                <c:pt idx="10">
                  <c:v>0.40575</c:v>
                </c:pt>
                <c:pt idx="11">
                  <c:v>0.42607181054239879</c:v>
                </c:pt>
                <c:pt idx="12">
                  <c:v>0.43638095238095242</c:v>
                </c:pt>
                <c:pt idx="13">
                  <c:v>0.44310047846889944</c:v>
                </c:pt>
                <c:pt idx="14">
                  <c:v>0.42094545454545457</c:v>
                </c:pt>
                <c:pt idx="15">
                  <c:v>0.52618181818181819</c:v>
                </c:pt>
                <c:pt idx="16">
                  <c:v>0.50984568372803674</c:v>
                </c:pt>
                <c:pt idx="17">
                  <c:v>0.48152092352092352</c:v>
                </c:pt>
                <c:pt idx="18">
                  <c:v>0.49580041011619952</c:v>
                </c:pt>
                <c:pt idx="19">
                  <c:v>0.4710103896103896</c:v>
                </c:pt>
              </c:numCache>
            </c:numRef>
          </c:val>
        </c:ser>
        <c:ser>
          <c:idx val="4"/>
          <c:order val="6"/>
          <c:tx>
            <c:strRef>
              <c:f>'Month - Apr 2011'!$B$44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'Month - Apr 2011'!$F$37:$Y$37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2011'!$F$44:$Y$44</c:f>
              <c:numCache>
                <c:formatCode>0.0%</c:formatCode>
                <c:ptCount val="20"/>
                <c:pt idx="0">
                  <c:v>0.6405337078651685</c:v>
                </c:pt>
                <c:pt idx="1">
                  <c:v>0.65017857142857138</c:v>
                </c:pt>
                <c:pt idx="2">
                  <c:v>0.622845856741573</c:v>
                </c:pt>
                <c:pt idx="3">
                  <c:v>0.60930399500624211</c:v>
                </c:pt>
                <c:pt idx="4">
                  <c:v>0.59904494382022477</c:v>
                </c:pt>
                <c:pt idx="5">
                  <c:v>0.5976174668028601</c:v>
                </c:pt>
                <c:pt idx="6">
                  <c:v>0.6047249531835206</c:v>
                </c:pt>
                <c:pt idx="7">
                  <c:v>0.58422320656871218</c:v>
                </c:pt>
                <c:pt idx="8">
                  <c:v>0.60205658105938997</c:v>
                </c:pt>
                <c:pt idx="9">
                  <c:v>0.62075280898876406</c:v>
                </c:pt>
                <c:pt idx="10">
                  <c:v>0.62423016151685395</c:v>
                </c:pt>
                <c:pt idx="11">
                  <c:v>0.62339061467283541</c:v>
                </c:pt>
                <c:pt idx="12">
                  <c:v>0.63316011235955061</c:v>
                </c:pt>
                <c:pt idx="13">
                  <c:v>0.63986176818450613</c:v>
                </c:pt>
                <c:pt idx="14">
                  <c:v>0.61429424157303369</c:v>
                </c:pt>
                <c:pt idx="15">
                  <c:v>0.77462693117977532</c:v>
                </c:pt>
                <c:pt idx="16">
                  <c:v>0.75305188367481823</c:v>
                </c:pt>
                <c:pt idx="17">
                  <c:v>0.71039559925093632</c:v>
                </c:pt>
                <c:pt idx="18">
                  <c:v>0.68728636901241869</c:v>
                </c:pt>
                <c:pt idx="19">
                  <c:v>0.66881601123595502</c:v>
                </c:pt>
              </c:numCache>
            </c:numRef>
          </c:val>
        </c:ser>
        <c:marker val="1"/>
        <c:axId val="134017792"/>
        <c:axId val="134019328"/>
      </c:lineChart>
      <c:catAx>
        <c:axId val="1340177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019328"/>
        <c:crosses val="autoZero"/>
        <c:auto val="1"/>
        <c:lblAlgn val="ctr"/>
        <c:lblOffset val="100"/>
      </c:catAx>
      <c:valAx>
        <c:axId val="13401932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01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855790240349574"/>
          <c:y val="0.90752868794624852"/>
          <c:w val="0.48579752367079393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May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'!$F$48:$Y$48</c:f>
              <c:numCache>
                <c:formatCode>0</c:formatCode>
                <c:ptCount val="20"/>
                <c:pt idx="0">
                  <c:v>64400</c:v>
                </c:pt>
                <c:pt idx="1">
                  <c:v>185350</c:v>
                </c:pt>
                <c:pt idx="2">
                  <c:v>145433.33333333334</c:v>
                </c:pt>
                <c:pt idx="3">
                  <c:v>153585</c:v>
                </c:pt>
                <c:pt idx="4">
                  <c:v>206636</c:v>
                </c:pt>
                <c:pt idx="5">
                  <c:v>215130</c:v>
                </c:pt>
                <c:pt idx="6">
                  <c:v>209968.57142857142</c:v>
                </c:pt>
                <c:pt idx="7">
                  <c:v>235220</c:v>
                </c:pt>
                <c:pt idx="8">
                  <c:v>216306.66666666669</c:v>
                </c:pt>
                <c:pt idx="9">
                  <c:v>218304</c:v>
                </c:pt>
                <c:pt idx="10">
                  <c:v>218603.63636363635</c:v>
                </c:pt>
                <c:pt idx="11">
                  <c:v>216061.66666666669</c:v>
                </c:pt>
                <c:pt idx="12">
                  <c:v>220003.07692307691</c:v>
                </c:pt>
                <c:pt idx="13">
                  <c:v>241715.71428571426</c:v>
                </c:pt>
                <c:pt idx="14">
                  <c:v>259528</c:v>
                </c:pt>
                <c:pt idx="15">
                  <c:v>247313.75</c:v>
                </c:pt>
                <c:pt idx="16">
                  <c:v>236536.47058823527</c:v>
                </c:pt>
                <c:pt idx="17">
                  <c:v>237701.11111111109</c:v>
                </c:pt>
                <c:pt idx="18">
                  <c:v>265280</c:v>
                </c:pt>
                <c:pt idx="19">
                  <c:v>263438</c:v>
                </c:pt>
              </c:numCache>
            </c:numRef>
          </c:val>
        </c:ser>
        <c:ser>
          <c:idx val="6"/>
          <c:order val="1"/>
          <c:tx>
            <c:strRef>
              <c:f>'Month - May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'!$F$49:$Y$49</c:f>
              <c:numCache>
                <c:formatCode>0</c:formatCode>
                <c:ptCount val="20"/>
                <c:pt idx="0">
                  <c:v>179700</c:v>
                </c:pt>
                <c:pt idx="1">
                  <c:v>119800</c:v>
                </c:pt>
                <c:pt idx="2">
                  <c:v>79866.666666666672</c:v>
                </c:pt>
                <c:pt idx="3">
                  <c:v>59900</c:v>
                </c:pt>
                <c:pt idx="4">
                  <c:v>71880</c:v>
                </c:pt>
                <c:pt idx="5">
                  <c:v>78216.666666666672</c:v>
                </c:pt>
                <c:pt idx="6">
                  <c:v>67042.857142857145</c:v>
                </c:pt>
                <c:pt idx="7">
                  <c:v>72512.5</c:v>
                </c:pt>
                <c:pt idx="8">
                  <c:v>71111.111111111109</c:v>
                </c:pt>
                <c:pt idx="9">
                  <c:v>75980</c:v>
                </c:pt>
                <c:pt idx="10">
                  <c:v>69072.727272727265</c:v>
                </c:pt>
                <c:pt idx="11">
                  <c:v>63316.666666666672</c:v>
                </c:pt>
                <c:pt idx="12">
                  <c:v>67661.538461538454</c:v>
                </c:pt>
                <c:pt idx="13">
                  <c:v>70378.571428571435</c:v>
                </c:pt>
                <c:pt idx="14">
                  <c:v>65686.666666666672</c:v>
                </c:pt>
                <c:pt idx="15">
                  <c:v>61581.25</c:v>
                </c:pt>
                <c:pt idx="16">
                  <c:v>65005.882352941182</c:v>
                </c:pt>
                <c:pt idx="17">
                  <c:v>64388.888888888891</c:v>
                </c:pt>
                <c:pt idx="18">
                  <c:v>61000</c:v>
                </c:pt>
                <c:pt idx="19">
                  <c:v>49265</c:v>
                </c:pt>
              </c:numCache>
            </c:numRef>
          </c:val>
        </c:ser>
        <c:ser>
          <c:idx val="1"/>
          <c:order val="2"/>
          <c:tx>
            <c:strRef>
              <c:f>'Month - May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'!$F$50:$Y$50</c:f>
              <c:numCache>
                <c:formatCode>0</c:formatCode>
                <c:ptCount val="20"/>
                <c:pt idx="0">
                  <c:v>1000700</c:v>
                </c:pt>
                <c:pt idx="1">
                  <c:v>615200</c:v>
                </c:pt>
                <c:pt idx="2">
                  <c:v>540900</c:v>
                </c:pt>
                <c:pt idx="3">
                  <c:v>511675</c:v>
                </c:pt>
                <c:pt idx="4">
                  <c:v>487440</c:v>
                </c:pt>
                <c:pt idx="5">
                  <c:v>481266.66666666663</c:v>
                </c:pt>
                <c:pt idx="6">
                  <c:v>472957.14285714284</c:v>
                </c:pt>
                <c:pt idx="7">
                  <c:v>465037.5</c:v>
                </c:pt>
                <c:pt idx="8">
                  <c:v>449000</c:v>
                </c:pt>
                <c:pt idx="9">
                  <c:v>410090</c:v>
                </c:pt>
                <c:pt idx="10">
                  <c:v>413990.90909090912</c:v>
                </c:pt>
                <c:pt idx="11">
                  <c:v>404291.66666666663</c:v>
                </c:pt>
                <c:pt idx="12">
                  <c:v>373192.30769230763</c:v>
                </c:pt>
                <c:pt idx="13">
                  <c:v>378000</c:v>
                </c:pt>
                <c:pt idx="14">
                  <c:v>371480</c:v>
                </c:pt>
                <c:pt idx="15">
                  <c:v>367268.75</c:v>
                </c:pt>
                <c:pt idx="16">
                  <c:v>362164.70588235295</c:v>
                </c:pt>
                <c:pt idx="17">
                  <c:v>329088.88888888888</c:v>
                </c:pt>
                <c:pt idx="18">
                  <c:v>305463.15789473685</c:v>
                </c:pt>
                <c:pt idx="19">
                  <c:v>290190</c:v>
                </c:pt>
              </c:numCache>
            </c:numRef>
          </c:val>
        </c:ser>
        <c:ser>
          <c:idx val="2"/>
          <c:order val="3"/>
          <c:tx>
            <c:strRef>
              <c:f>'Month - May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'!$F$51:$Y$51</c:f>
              <c:numCache>
                <c:formatCode>0</c:formatCode>
                <c:ptCount val="20"/>
                <c:pt idx="0">
                  <c:v>290320</c:v>
                </c:pt>
                <c:pt idx="1">
                  <c:v>197360</c:v>
                </c:pt>
                <c:pt idx="2">
                  <c:v>131573.33333333334</c:v>
                </c:pt>
                <c:pt idx="3">
                  <c:v>98680</c:v>
                </c:pt>
                <c:pt idx="4">
                  <c:v>88048</c:v>
                </c:pt>
                <c:pt idx="5">
                  <c:v>82856.666666666657</c:v>
                </c:pt>
                <c:pt idx="6">
                  <c:v>79160</c:v>
                </c:pt>
                <c:pt idx="7">
                  <c:v>71750</c:v>
                </c:pt>
                <c:pt idx="8">
                  <c:v>63777.777777777774</c:v>
                </c:pt>
                <c:pt idx="9">
                  <c:v>66416</c:v>
                </c:pt>
                <c:pt idx="10">
                  <c:v>60378.181818181823</c:v>
                </c:pt>
                <c:pt idx="11">
                  <c:v>58275</c:v>
                </c:pt>
                <c:pt idx="12">
                  <c:v>60216.923076923078</c:v>
                </c:pt>
                <c:pt idx="13">
                  <c:v>59981.428571428565</c:v>
                </c:pt>
                <c:pt idx="14">
                  <c:v>64262.666666666664</c:v>
                </c:pt>
                <c:pt idx="15">
                  <c:v>60246.25</c:v>
                </c:pt>
                <c:pt idx="16">
                  <c:v>56702.352941176468</c:v>
                </c:pt>
                <c:pt idx="17">
                  <c:v>53550</c:v>
                </c:pt>
                <c:pt idx="18">
                  <c:v>62317.894736842107</c:v>
                </c:pt>
                <c:pt idx="19">
                  <c:v>59202</c:v>
                </c:pt>
              </c:numCache>
            </c:numRef>
          </c:val>
        </c:ser>
        <c:ser>
          <c:idx val="3"/>
          <c:order val="4"/>
          <c:tx>
            <c:strRef>
              <c:f>'Month - May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39973.333333333336</c:v>
                </c:pt>
                <c:pt idx="3">
                  <c:v>29980</c:v>
                </c:pt>
                <c:pt idx="4">
                  <c:v>23984</c:v>
                </c:pt>
                <c:pt idx="5">
                  <c:v>19986.666666666668</c:v>
                </c:pt>
                <c:pt idx="6">
                  <c:v>25688.571428571428</c:v>
                </c:pt>
                <c:pt idx="7">
                  <c:v>22477.5</c:v>
                </c:pt>
                <c:pt idx="8">
                  <c:v>19980</c:v>
                </c:pt>
                <c:pt idx="9">
                  <c:v>17982</c:v>
                </c:pt>
                <c:pt idx="10">
                  <c:v>16347.272727272728</c:v>
                </c:pt>
                <c:pt idx="11">
                  <c:v>19976.666666666668</c:v>
                </c:pt>
                <c:pt idx="12">
                  <c:v>19978.461538461539</c:v>
                </c:pt>
                <c:pt idx="13">
                  <c:v>18551.428571428572</c:v>
                </c:pt>
                <c:pt idx="14">
                  <c:v>17314.666666666668</c:v>
                </c:pt>
                <c:pt idx="15">
                  <c:v>16232.5</c:v>
                </c:pt>
                <c:pt idx="16">
                  <c:v>15277.64705882353</c:v>
                </c:pt>
                <c:pt idx="17">
                  <c:v>20534.444444444445</c:v>
                </c:pt>
                <c:pt idx="18">
                  <c:v>25844.210526315786</c:v>
                </c:pt>
                <c:pt idx="19">
                  <c:v>24552</c:v>
                </c:pt>
              </c:numCache>
            </c:numRef>
          </c:val>
        </c:ser>
        <c:ser>
          <c:idx val="4"/>
          <c:order val="5"/>
          <c:tx>
            <c:strRef>
              <c:f>'Month - May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'!$F$53:$Y$53</c:f>
              <c:numCache>
                <c:formatCode>0</c:formatCode>
                <c:ptCount val="20"/>
                <c:pt idx="0">
                  <c:v>0</c:v>
                </c:pt>
                <c:pt idx="1">
                  <c:v>144640</c:v>
                </c:pt>
                <c:pt idx="2">
                  <c:v>175366.66666666669</c:v>
                </c:pt>
                <c:pt idx="3">
                  <c:v>219035</c:v>
                </c:pt>
                <c:pt idx="4">
                  <c:v>347252</c:v>
                </c:pt>
                <c:pt idx="5">
                  <c:v>315700</c:v>
                </c:pt>
                <c:pt idx="6">
                  <c:v>329117.14285714284</c:v>
                </c:pt>
                <c:pt idx="7">
                  <c:v>346802.5</c:v>
                </c:pt>
                <c:pt idx="8">
                  <c:v>343155.55555555556</c:v>
                </c:pt>
                <c:pt idx="9">
                  <c:v>341594</c:v>
                </c:pt>
                <c:pt idx="10">
                  <c:v>330849.09090909088</c:v>
                </c:pt>
                <c:pt idx="11">
                  <c:v>332238.33333333337</c:v>
                </c:pt>
                <c:pt idx="12">
                  <c:v>306681.5384615385</c:v>
                </c:pt>
                <c:pt idx="13">
                  <c:v>301002.85714285716</c:v>
                </c:pt>
                <c:pt idx="14">
                  <c:v>295372</c:v>
                </c:pt>
                <c:pt idx="15">
                  <c:v>278663.75</c:v>
                </c:pt>
                <c:pt idx="16">
                  <c:v>290835.29411764705</c:v>
                </c:pt>
                <c:pt idx="17">
                  <c:v>301840</c:v>
                </c:pt>
                <c:pt idx="18">
                  <c:v>305620</c:v>
                </c:pt>
                <c:pt idx="19">
                  <c:v>297258</c:v>
                </c:pt>
              </c:numCache>
            </c:numRef>
          </c:val>
        </c:ser>
        <c:ser>
          <c:idx val="5"/>
          <c:order val="6"/>
          <c:tx>
            <c:strRef>
              <c:f>'Month - May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'!$F$54:$Y$54</c:f>
              <c:numCache>
                <c:formatCode>0</c:formatCode>
                <c:ptCount val="20"/>
                <c:pt idx="0">
                  <c:v>1535120</c:v>
                </c:pt>
                <c:pt idx="1">
                  <c:v>1262350</c:v>
                </c:pt>
                <c:pt idx="2">
                  <c:v>1113113.3333333335</c:v>
                </c:pt>
                <c:pt idx="3">
                  <c:v>1072855</c:v>
                </c:pt>
                <c:pt idx="4">
                  <c:v>1225240</c:v>
                </c:pt>
                <c:pt idx="5">
                  <c:v>1193156.6666666665</c:v>
                </c:pt>
                <c:pt idx="6">
                  <c:v>1183934.2857142857</c:v>
                </c:pt>
                <c:pt idx="7">
                  <c:v>1213800</c:v>
                </c:pt>
                <c:pt idx="8">
                  <c:v>1163331.111111111</c:v>
                </c:pt>
                <c:pt idx="9">
                  <c:v>1130366</c:v>
                </c:pt>
                <c:pt idx="10">
                  <c:v>1109241.8181818181</c:v>
                </c:pt>
                <c:pt idx="11">
                  <c:v>1094160</c:v>
                </c:pt>
                <c:pt idx="12">
                  <c:v>1047733.8461538461</c:v>
                </c:pt>
                <c:pt idx="13">
                  <c:v>1069630</c:v>
                </c:pt>
                <c:pt idx="14">
                  <c:v>1073644</c:v>
                </c:pt>
                <c:pt idx="15">
                  <c:v>1031306.25</c:v>
                </c:pt>
                <c:pt idx="16">
                  <c:v>1026522.3529411764</c:v>
                </c:pt>
                <c:pt idx="17">
                  <c:v>1007103.3333333334</c:v>
                </c:pt>
                <c:pt idx="18">
                  <c:v>1025525.2631578948</c:v>
                </c:pt>
                <c:pt idx="19">
                  <c:v>983905</c:v>
                </c:pt>
              </c:numCache>
            </c:numRef>
          </c:val>
        </c:ser>
        <c:marker val="1"/>
        <c:axId val="134421504"/>
        <c:axId val="134431488"/>
      </c:lineChart>
      <c:catAx>
        <c:axId val="134421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431488"/>
        <c:crosses val="autoZero"/>
        <c:auto val="1"/>
        <c:lblAlgn val="ctr"/>
        <c:lblOffset val="100"/>
      </c:catAx>
      <c:valAx>
        <c:axId val="134431488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42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Feb 2010 Daily Performance % vs Budget 2010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floor>
      <c:spPr>
        <a:solidFill>
          <a:srgbClr val="000000"/>
        </a:solidFill>
        <a:ln w="3175">
          <a:solidFill>
            <a:srgbClr val="80808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610465116279216E-2"/>
          <c:y val="0.25217418072157399"/>
          <c:w val="0.95130813953489834"/>
          <c:h val="0.65217460531443439"/>
        </c:manualLayout>
      </c:layout>
      <c:bar3DChart>
        <c:barDir val="col"/>
        <c:grouping val="clustered"/>
        <c:ser>
          <c:idx val="0"/>
          <c:order val="0"/>
          <c:tx>
            <c:strRef>
              <c:f>'Feb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2.4468513625034414E-4"/>
                  <c:y val="0.57628436070527556"/>
                </c:manualLayout>
              </c:layout>
              <c:showSerName val="1"/>
            </c:dLbl>
            <c:dLbl>
              <c:idx val="1"/>
              <c:layout>
                <c:manualLayout>
                  <c:x val="-4.2125227996450112E-4"/>
                  <c:y val="9.2595272436064247E-2"/>
                </c:manualLayout>
              </c:layout>
              <c:showSerName val="1"/>
            </c:dLbl>
            <c:dLbl>
              <c:idx val="2"/>
              <c:layout>
                <c:manualLayout>
                  <c:x val="1.1126725744544659E-3"/>
                  <c:y val="0.141970029392676"/>
                </c:manualLayout>
              </c:layout>
              <c:showSerName val="1"/>
            </c:dLbl>
            <c:dLbl>
              <c:idx val="3"/>
              <c:layout>
                <c:manualLayout>
                  <c:x val="-1.1294264448445507E-3"/>
                  <c:y val="0.26589432307801708"/>
                </c:manualLayout>
              </c:layout>
              <c:showSerName val="1"/>
            </c:dLbl>
            <c:dLbl>
              <c:idx val="4"/>
              <c:layout>
                <c:manualLayout>
                  <c:x val="-2.9079012058692841E-5"/>
                  <c:y val="0.27830842488683138"/>
                </c:manualLayout>
              </c:layout>
              <c:showSerName val="1"/>
            </c:dLbl>
            <c:dLbl>
              <c:idx val="5"/>
              <c:layout>
                <c:manualLayout>
                  <c:x val="3.9249188953308888E-17"/>
                  <c:y val="0.465423656200113"/>
                </c:manualLayout>
              </c:layout>
              <c:showSerName val="1"/>
            </c:dLbl>
            <c:dLbl>
              <c:idx val="6"/>
              <c:layout>
                <c:manualLayout>
                  <c:x val="-5.6387997296421926E-5"/>
                  <c:y val="0.29800496957292139"/>
                </c:manualLayout>
              </c:layout>
              <c:showSerName val="1"/>
            </c:dLbl>
            <c:dLbl>
              <c:idx val="7"/>
              <c:layout>
                <c:manualLayout>
                  <c:x val="-1.0627746755014003E-3"/>
                  <c:y val="0.40937570798357192"/>
                </c:manualLayout>
              </c:layout>
              <c:showSerName val="1"/>
            </c:dLbl>
            <c:dLbl>
              <c:idx val="8"/>
              <c:layout>
                <c:manualLayout>
                  <c:x val="-3.1506280541349096E-3"/>
                  <c:y val="0.63583922067011656"/>
                </c:manualLayout>
              </c:layout>
              <c:showSerName val="1"/>
            </c:dLbl>
            <c:dLbl>
              <c:idx val="9"/>
              <c:layout>
                <c:manualLayout>
                  <c:x val="-1.0502093513783041E-3"/>
                  <c:y val="0.15439144679314978"/>
                </c:manualLayout>
              </c:layout>
              <c:showSerName val="1"/>
            </c:dLbl>
            <c:dLbl>
              <c:idx val="10"/>
              <c:layout>
                <c:manualLayout>
                  <c:x val="-1.0502093513783041E-3"/>
                  <c:y val="0.38905230853786438"/>
                </c:manualLayout>
              </c:layout>
              <c:showSerName val="1"/>
            </c:dLbl>
            <c:dLbl>
              <c:idx val="11"/>
              <c:layout>
                <c:manualLayout>
                  <c:x val="-1.0436331516069505E-3"/>
                  <c:y val="0.19742952970576"/>
                </c:manualLayout>
              </c:layout>
              <c:showSerName val="1"/>
            </c:dLbl>
            <c:dLbl>
              <c:idx val="12"/>
              <c:layout>
                <c:manualLayout>
                  <c:x val="-2.0565083650815608E-3"/>
                  <c:y val="0.42098943834316532"/>
                </c:manualLayout>
              </c:layout>
              <c:showSerName val="1"/>
            </c:dLbl>
            <c:dLbl>
              <c:idx val="13"/>
              <c:layout>
                <c:manualLayout>
                  <c:x val="2.0471257223258423E-3"/>
                  <c:y val="0.137053265965879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0.33098479980092183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44131306640110979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15678227358988447"/>
                </c:manualLayout>
              </c:layout>
              <c:showSerName val="1"/>
            </c:dLbl>
            <c:dLbl>
              <c:idx val="17"/>
              <c:layout>
                <c:manualLayout>
                  <c:x val="0"/>
                  <c:y val="0.34550167698508238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18291265252153313"/>
                </c:manualLayout>
              </c:layout>
              <c:showSerName val="1"/>
            </c:dLbl>
            <c:dLbl>
              <c:idx val="19"/>
              <c:layout>
                <c:manualLayout>
                  <c:x val="-1.9847351984270721E-3"/>
                  <c:y val="0.45873331902220699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'Feb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10'!$F$15:$Y$15</c:f>
              <c:numCache>
                <c:formatCode>0.0%</c:formatCode>
                <c:ptCount val="20"/>
                <c:pt idx="0">
                  <c:v>1.9114166666666668</c:v>
                </c:pt>
                <c:pt idx="1">
                  <c:v>0.22458333333333336</c:v>
                </c:pt>
                <c:pt idx="2">
                  <c:v>0.45650000000000002</c:v>
                </c:pt>
                <c:pt idx="3">
                  <c:v>0.68125000000000002</c:v>
                </c:pt>
                <c:pt idx="4">
                  <c:v>0.92833333333333334</c:v>
                </c:pt>
                <c:pt idx="5">
                  <c:v>1.5149166666666667</c:v>
                </c:pt>
                <c:pt idx="6">
                  <c:v>0.93283333333333329</c:v>
                </c:pt>
                <c:pt idx="7">
                  <c:v>1.3155000000000001</c:v>
                </c:pt>
                <c:pt idx="8">
                  <c:v>2.0815833333333336</c:v>
                </c:pt>
                <c:pt idx="9">
                  <c:v>0.46416666666666662</c:v>
                </c:pt>
                <c:pt idx="10">
                  <c:v>1.2744166666666668</c:v>
                </c:pt>
                <c:pt idx="11">
                  <c:v>0.67358333333333331</c:v>
                </c:pt>
                <c:pt idx="12">
                  <c:v>1.4029166666666666</c:v>
                </c:pt>
                <c:pt idx="13">
                  <c:v>0.42574999999999996</c:v>
                </c:pt>
                <c:pt idx="14">
                  <c:v>1.0706666666666667</c:v>
                </c:pt>
                <c:pt idx="15">
                  <c:v>1.4490000000000001</c:v>
                </c:pt>
                <c:pt idx="16">
                  <c:v>0.55225000000000002</c:v>
                </c:pt>
                <c:pt idx="17">
                  <c:v>1.1525833333333333</c:v>
                </c:pt>
                <c:pt idx="18">
                  <c:v>0.61899999999999999</c:v>
                </c:pt>
                <c:pt idx="19">
                  <c:v>1.4835833333333333</c:v>
                </c:pt>
              </c:numCache>
            </c:numRef>
          </c:val>
        </c:ser>
        <c:ser>
          <c:idx val="1"/>
          <c:order val="1"/>
          <c:tx>
            <c:strRef>
              <c:f>'Feb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2026992085958741E-5"/>
                  <c:y val="1.6818316595488207E-2"/>
                </c:manualLayout>
              </c:layout>
              <c:showSerName val="1"/>
            </c:dLbl>
            <c:dLbl>
              <c:idx val="1"/>
              <c:layout>
                <c:manualLayout>
                  <c:x val="9.8008913686500041E-4"/>
                  <c:y val="0.12925644555064061"/>
                </c:manualLayout>
              </c:layout>
              <c:showSerName val="1"/>
            </c:dLbl>
            <c:dLbl>
              <c:idx val="2"/>
              <c:layout>
                <c:manualLayout>
                  <c:x val="1.0703605047341141E-3"/>
                  <c:y val="0.44208989078969296"/>
                </c:manualLayout>
              </c:layout>
              <c:showSerName val="1"/>
            </c:dLbl>
            <c:dLbl>
              <c:idx val="3"/>
              <c:layout>
                <c:manualLayout>
                  <c:x val="-1.1783321408131315E-4"/>
                  <c:y val="0.28985082822790542"/>
                </c:manualLayout>
              </c:layout>
              <c:showSerName val="1"/>
            </c:dLbl>
            <c:dLbl>
              <c:idx val="4"/>
              <c:layout>
                <c:manualLayout>
                  <c:x val="-1.3174056767458641E-4"/>
                  <c:y val="9.2369403543809708E-2"/>
                </c:manualLayout>
              </c:layout>
              <c:showSerName val="1"/>
            </c:dLbl>
            <c:dLbl>
              <c:idx val="5"/>
              <c:layout>
                <c:manualLayout>
                  <c:x val="-1.0038580684608041E-3"/>
                  <c:y val="0.10704608068321442"/>
                </c:manualLayout>
              </c:layout>
              <c:showSerName val="1"/>
            </c:dLbl>
            <c:dLbl>
              <c:idx val="6"/>
              <c:layout>
                <c:manualLayout>
                  <c:x val="-8.7738523757247461E-8"/>
                  <c:y val="0.12453240224141816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31813770641110573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13342176054744478"/>
                </c:manualLayout>
              </c:layout>
              <c:showSerName val="1"/>
            </c:dLbl>
            <c:dLbl>
              <c:idx val="9"/>
              <c:layout>
                <c:manualLayout>
                  <c:x val="-2.1004187027568212E-3"/>
                  <c:y val="0.37453543135357431"/>
                </c:manualLayout>
              </c:layout>
              <c:showSerName val="1"/>
            </c:dLbl>
            <c:dLbl>
              <c:idx val="10"/>
              <c:layout>
                <c:manualLayout>
                  <c:x val="-1.1181008377941705E-3"/>
                  <c:y val="0.17996378324907841"/>
                </c:manualLayout>
              </c:layout>
              <c:showSerName val="1"/>
            </c:dLbl>
            <c:dLbl>
              <c:idx val="12"/>
              <c:layout>
                <c:manualLayout>
                  <c:x val="-1.0363326813957801E-3"/>
                  <c:y val="0.33969492611138102"/>
                </c:manualLayout>
              </c:layout>
              <c:showSerName val="1"/>
            </c:dLbl>
            <c:dLbl>
              <c:idx val="13"/>
              <c:layout>
                <c:manualLayout>
                  <c:x val="2.0541312300786292E-3"/>
                  <c:y val="6.7897606406995534E-2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17420252621096488"/>
                </c:manualLayout>
              </c:layout>
              <c:showSerName val="1"/>
            </c:dLbl>
            <c:dLbl>
              <c:idx val="17"/>
              <c:layout>
                <c:manualLayout>
                  <c:x val="0"/>
                  <c:y val="0.24388353669535101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20033290514261001"/>
                </c:manualLayout>
              </c:layout>
              <c:showSerName val="1"/>
            </c:dLbl>
            <c:dLbl>
              <c:idx val="19"/>
              <c:layout>
                <c:manualLayout>
                  <c:x val="-9.9236759921351525E-4"/>
                  <c:y val="0.3571151787324833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'Feb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10'!$F$16:$Y$16</c:f>
              <c:numCache>
                <c:formatCode>0.0%</c:formatCode>
                <c:ptCount val="20"/>
                <c:pt idx="0">
                  <c:v>0</c:v>
                </c:pt>
                <c:pt idx="1">
                  <c:v>0.46679999999999999</c:v>
                </c:pt>
                <c:pt idx="2">
                  <c:v>1.4856799999999999</c:v>
                </c:pt>
                <c:pt idx="3">
                  <c:v>0.98272000000000004</c:v>
                </c:pt>
                <c:pt idx="4">
                  <c:v>0.25983999999999996</c:v>
                </c:pt>
                <c:pt idx="5">
                  <c:v>0.29559999999999997</c:v>
                </c:pt>
                <c:pt idx="6">
                  <c:v>0.32599999999999996</c:v>
                </c:pt>
                <c:pt idx="7">
                  <c:v>1.0424800000000001</c:v>
                </c:pt>
                <c:pt idx="8">
                  <c:v>0.43120000000000003</c:v>
                </c:pt>
                <c:pt idx="9">
                  <c:v>1.2096</c:v>
                </c:pt>
                <c:pt idx="10">
                  <c:v>0.59919999999999995</c:v>
                </c:pt>
                <c:pt idx="11">
                  <c:v>0</c:v>
                </c:pt>
                <c:pt idx="12">
                  <c:v>1.0948</c:v>
                </c:pt>
                <c:pt idx="13">
                  <c:v>0.21560000000000001</c:v>
                </c:pt>
                <c:pt idx="14">
                  <c:v>0</c:v>
                </c:pt>
                <c:pt idx="15">
                  <c:v>0</c:v>
                </c:pt>
                <c:pt idx="16">
                  <c:v>0.59919999999999995</c:v>
                </c:pt>
                <c:pt idx="17">
                  <c:v>0.81559999999999999</c:v>
                </c:pt>
                <c:pt idx="18">
                  <c:v>0.64680000000000004</c:v>
                </c:pt>
                <c:pt idx="19">
                  <c:v>1.1903999999999999</c:v>
                </c:pt>
              </c:numCache>
            </c:numRef>
          </c:val>
        </c:ser>
        <c:ser>
          <c:idx val="2"/>
          <c:order val="2"/>
          <c:tx>
            <c:strRef>
              <c:f>'Feb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1608004465863998E-3"/>
                  <c:y val="0.16785693628965487"/>
                </c:manualLayout>
              </c:layout>
              <c:showSerName val="1"/>
            </c:dLbl>
            <c:dLbl>
              <c:idx val="1"/>
              <c:layout>
                <c:manualLayout>
                  <c:x val="-3.4709383089181816E-4"/>
                  <c:y val="0.37293697457768737"/>
                </c:manualLayout>
              </c:layout>
              <c:showSerName val="1"/>
            </c:dLbl>
            <c:dLbl>
              <c:idx val="2"/>
              <c:layout>
                <c:manualLayout>
                  <c:x val="-1.0594874828339141E-3"/>
                  <c:y val="0.48200627357710785"/>
                </c:manualLayout>
              </c:layout>
              <c:showSerName val="1"/>
            </c:dLbl>
            <c:dLbl>
              <c:idx val="3"/>
              <c:layout>
                <c:manualLayout>
                  <c:x val="-1.8801056318294221E-3"/>
                  <c:y val="0.13346839744423086"/>
                </c:manualLayout>
              </c:layout>
              <c:showSerName val="1"/>
            </c:dLbl>
            <c:dLbl>
              <c:idx val="4"/>
              <c:layout>
                <c:manualLayout>
                  <c:x val="-1.1316371475360541E-3"/>
                  <c:y val="0.35935832202277918"/>
                </c:manualLayout>
              </c:layout>
              <c:showSerName val="1"/>
            </c:dLbl>
            <c:dLbl>
              <c:idx val="5"/>
              <c:layout>
                <c:manualLayout>
                  <c:x val="-9.9011928885045226E-4"/>
                  <c:y val="0.27848079851511831"/>
                </c:manualLayout>
              </c:layout>
              <c:showSerName val="1"/>
            </c:dLbl>
            <c:dLbl>
              <c:idx val="6"/>
              <c:layout>
                <c:manualLayout>
                  <c:x val="-2.2285480545845612E-3"/>
                  <c:y val="0.11884727307892012"/>
                </c:manualLayout>
              </c:layout>
              <c:showSerName val="1"/>
            </c:dLbl>
            <c:dLbl>
              <c:idx val="7"/>
              <c:layout>
                <c:manualLayout>
                  <c:x val="-2.1408895834511606E-3"/>
                  <c:y val="0.14774203120604879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25549703844274779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39195568397474467"/>
                </c:manualLayout>
              </c:layout>
              <c:showSerName val="1"/>
            </c:dLbl>
            <c:dLbl>
              <c:idx val="10"/>
              <c:layout>
                <c:manualLayout>
                  <c:x val="-3.3987090032794491E-5"/>
                  <c:y val="0.40937570798357104"/>
                </c:manualLayout>
              </c:layout>
              <c:showSerName val="1"/>
            </c:dLbl>
            <c:dLbl>
              <c:idx val="11"/>
              <c:layout>
                <c:manualLayout>
                  <c:x val="-1.0436331516069505E-3"/>
                  <c:y val="6.3857799529470294E-2"/>
                </c:manualLayout>
              </c:layout>
              <c:showSerName val="1"/>
            </c:dLbl>
            <c:dLbl>
              <c:idx val="12"/>
              <c:layout>
                <c:manualLayout>
                  <c:x val="-1.06089458195482E-3"/>
                  <c:y val="0.22065653320053619"/>
                </c:manualLayout>
              </c:layout>
              <c:showSerName val="1"/>
            </c:dLbl>
            <c:dLbl>
              <c:idx val="13"/>
              <c:layout>
                <c:manualLayout>
                  <c:x val="1.0347242036331508E-3"/>
                  <c:y val="0.13424133542468344"/>
                </c:manualLayout>
              </c:layout>
              <c:showSerName val="1"/>
            </c:dLbl>
            <c:dLbl>
              <c:idx val="14"/>
              <c:layout>
                <c:manualLayout>
                  <c:x val="-1.0204694931046758E-3"/>
                  <c:y val="0.46163669445905708"/>
                </c:manualLayout>
              </c:layout>
              <c:showSerName val="1"/>
            </c:dLbl>
            <c:dLbl>
              <c:idx val="16"/>
              <c:layout>
                <c:manualLayout>
                  <c:x val="-1.0050846202109699E-3"/>
                  <c:y val="0.19452592565667087"/>
                </c:manualLayout>
              </c:layout>
              <c:showSerName val="1"/>
            </c:dLbl>
            <c:dLbl>
              <c:idx val="17"/>
              <c:layout>
                <c:manualLayout>
                  <c:x val="9.9980893415095758E-4"/>
                  <c:y val="0.27582066650072817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17420252621096488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8.1294512231783564E-2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'Feb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10'!$F$17:$Y$17</c:f>
              <c:numCache>
                <c:formatCode>0.0%</c:formatCode>
                <c:ptCount val="20"/>
                <c:pt idx="0">
                  <c:v>0.54484848484848492</c:v>
                </c:pt>
                <c:pt idx="1">
                  <c:v>1.2345454545454546</c:v>
                </c:pt>
                <c:pt idx="2">
                  <c:v>1.5987878787878786</c:v>
                </c:pt>
                <c:pt idx="3">
                  <c:v>0.42412121212121212</c:v>
                </c:pt>
                <c:pt idx="4">
                  <c:v>1.1815757575757577</c:v>
                </c:pt>
                <c:pt idx="5">
                  <c:v>0.90787878787878784</c:v>
                </c:pt>
                <c:pt idx="6">
                  <c:v>0.32659932659932656</c:v>
                </c:pt>
                <c:pt idx="7">
                  <c:v>0.45999999999999996</c:v>
                </c:pt>
                <c:pt idx="8">
                  <c:v>0.84242424242424241</c:v>
                </c:pt>
                <c:pt idx="9">
                  <c:v>1.3066666666666666</c:v>
                </c:pt>
                <c:pt idx="10">
                  <c:v>1.3569696969696969</c:v>
                </c:pt>
                <c:pt idx="11">
                  <c:v>0.18181818181818177</c:v>
                </c:pt>
                <c:pt idx="12">
                  <c:v>0.7018181818181819</c:v>
                </c:pt>
                <c:pt idx="13">
                  <c:v>0.43575757575757579</c:v>
                </c:pt>
                <c:pt idx="14">
                  <c:v>1.5461818181818181</c:v>
                </c:pt>
                <c:pt idx="15">
                  <c:v>0</c:v>
                </c:pt>
                <c:pt idx="16">
                  <c:v>0.65333333333333332</c:v>
                </c:pt>
                <c:pt idx="17">
                  <c:v>0.90787878787878784</c:v>
                </c:pt>
                <c:pt idx="18">
                  <c:v>0.58121212121212129</c:v>
                </c:pt>
                <c:pt idx="19">
                  <c:v>0.24242424242424243</c:v>
                </c:pt>
              </c:numCache>
            </c:numRef>
          </c:val>
        </c:ser>
        <c:ser>
          <c:idx val="3"/>
          <c:order val="3"/>
          <c:tx>
            <c:strRef>
              <c:f>'Feb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17375E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1860482777347216E-5"/>
                  <c:y val="0.58763244364308564"/>
                </c:manualLayout>
              </c:layout>
              <c:showSerName val="1"/>
            </c:dLbl>
            <c:dLbl>
              <c:idx val="1"/>
              <c:layout>
                <c:manualLayout>
                  <c:x val="-1.4103742283420604E-3"/>
                  <c:y val="0.2989260482843179"/>
                </c:manualLayout>
              </c:layout>
              <c:showSerName val="1"/>
            </c:dLbl>
            <c:dLbl>
              <c:idx val="2"/>
              <c:layout>
                <c:manualLayout>
                  <c:x val="0"/>
                  <c:y val="0.49303475660455032"/>
                </c:manualLayout>
              </c:layout>
              <c:showSerName val="1"/>
            </c:dLbl>
            <c:dLbl>
              <c:idx val="3"/>
              <c:layout>
                <c:manualLayout>
                  <c:x val="9.7764481411220707E-4"/>
                  <c:y val="0.31317041967953496"/>
                </c:manualLayout>
              </c:layout>
              <c:showSerName val="1"/>
            </c:dLbl>
            <c:dLbl>
              <c:idx val="4"/>
              <c:layout>
                <c:manualLayout>
                  <c:x val="0"/>
                  <c:y val="0.20174207098455788"/>
                </c:manualLayout>
              </c:layout>
              <c:showSerName val="1"/>
            </c:dLbl>
            <c:dLbl>
              <c:idx val="5"/>
              <c:layout>
                <c:manualLayout>
                  <c:x val="-1.0705290787170504E-3"/>
                  <c:y val="0.16801696485705594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0.57591263720455665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40789887291885146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20890952190550988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54293120669091965"/>
                </c:manualLayout>
              </c:layout>
              <c:showSerName val="1"/>
            </c:dLbl>
            <c:dLbl>
              <c:idx val="10"/>
              <c:layout>
                <c:manualLayout>
                  <c:x val="1.0502093513783041E-3"/>
                  <c:y val="0.42384731994448355"/>
                </c:manualLayout>
              </c:layout>
              <c:showSerName val="1"/>
            </c:dLbl>
            <c:dLbl>
              <c:idx val="11"/>
              <c:layout>
                <c:manualLayout>
                  <c:x val="0"/>
                  <c:y val="0.63293584523323265"/>
                </c:manualLayout>
              </c:layout>
              <c:showSerName val="1"/>
            </c:dLbl>
            <c:dLbl>
              <c:idx val="12"/>
              <c:layout>
                <c:manualLayout>
                  <c:x val="-8.2047397556542433E-8"/>
                  <c:y val="0.43840969096431592"/>
                </c:manualLayout>
              </c:layout>
              <c:showSerName val="1"/>
            </c:dLbl>
            <c:dLbl>
              <c:idx val="13"/>
              <c:layout>
                <c:manualLayout>
                  <c:x val="1.0347242036330708E-3"/>
                  <c:y val="0.56906158562248499"/>
                </c:manualLayout>
              </c:layout>
              <c:showSerName val="1"/>
            </c:dLbl>
            <c:dLbl>
              <c:idx val="14"/>
              <c:layout>
                <c:manualLayout>
                  <c:x val="-1.0204694931046758E-3"/>
                  <c:y val="0.45873331902220699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32227467349032496"/>
                </c:manualLayout>
              </c:layout>
              <c:showSerName val="1"/>
            </c:dLbl>
            <c:dLbl>
              <c:idx val="16"/>
              <c:layout>
                <c:manualLayout>
                  <c:x val="1.0104162779812841E-3"/>
                  <c:y val="0.23807678582165201"/>
                </c:manualLayout>
              </c:layout>
              <c:showSerName val="1"/>
            </c:dLbl>
            <c:dLbl>
              <c:idx val="17"/>
              <c:layout>
                <c:manualLayout>
                  <c:x val="0"/>
                  <c:y val="0.32808142436402538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43550631552745334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4993805751381599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'Feb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10'!$F$18:$Y$18</c:f>
              <c:numCache>
                <c:formatCode>0.0%</c:formatCode>
                <c:ptCount val="20"/>
                <c:pt idx="0">
                  <c:v>1.9490476190476189</c:v>
                </c:pt>
                <c:pt idx="1">
                  <c:v>0.98961904761904751</c:v>
                </c:pt>
                <c:pt idx="2">
                  <c:v>1.6064761904761902</c:v>
                </c:pt>
                <c:pt idx="3">
                  <c:v>1.0299999999999998</c:v>
                </c:pt>
                <c:pt idx="4">
                  <c:v>0.6495238095238095</c:v>
                </c:pt>
                <c:pt idx="5">
                  <c:v>0.54647619047619045</c:v>
                </c:pt>
                <c:pt idx="6">
                  <c:v>1.8813008130081301</c:v>
                </c:pt>
                <c:pt idx="7">
                  <c:v>1.3325714285714283</c:v>
                </c:pt>
                <c:pt idx="8">
                  <c:v>0.69676190476190469</c:v>
                </c:pt>
                <c:pt idx="9">
                  <c:v>1.7401904761904761</c:v>
                </c:pt>
                <c:pt idx="10">
                  <c:v>1.4004761904761902</c:v>
                </c:pt>
                <c:pt idx="11">
                  <c:v>2.0839999999999996</c:v>
                </c:pt>
                <c:pt idx="12">
                  <c:v>1.4569523809523808</c:v>
                </c:pt>
                <c:pt idx="13">
                  <c:v>1.8859999999999999</c:v>
                </c:pt>
                <c:pt idx="14">
                  <c:v>1.5053333333333332</c:v>
                </c:pt>
                <c:pt idx="15">
                  <c:v>1.0476190476190477</c:v>
                </c:pt>
                <c:pt idx="16">
                  <c:v>0.75552380952380949</c:v>
                </c:pt>
                <c:pt idx="17">
                  <c:v>1.0826666666666667</c:v>
                </c:pt>
                <c:pt idx="18">
                  <c:v>1.4373333333333331</c:v>
                </c:pt>
                <c:pt idx="19">
                  <c:v>1.6516190476190475</c:v>
                </c:pt>
              </c:numCache>
            </c:numRef>
          </c:val>
        </c:ser>
        <c:ser>
          <c:idx val="4"/>
          <c:order val="4"/>
          <c:tx>
            <c:strRef>
              <c:f>'Feb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1.1608847335776741E-3"/>
                  <c:y val="0.37361458125446884"/>
                </c:manualLayout>
              </c:layout>
              <c:showSerName val="1"/>
            </c:dLbl>
            <c:dLbl>
              <c:idx val="1"/>
              <c:layout>
                <c:manualLayout>
                  <c:x val="1.1608004465864185E-3"/>
                  <c:y val="0.21655431518175144"/>
                </c:manualLayout>
              </c:layout>
              <c:showSerName val="1"/>
            </c:dLbl>
            <c:dLbl>
              <c:idx val="2"/>
              <c:layout>
                <c:manualLayout>
                  <c:x val="1.0909265306538881E-3"/>
                  <c:y val="0.39874066661961027"/>
                </c:manualLayout>
              </c:layout>
              <c:showSerName val="1"/>
            </c:dLbl>
            <c:dLbl>
              <c:idx val="3"/>
              <c:layout>
                <c:manualLayout>
                  <c:x val="1.1194155337724155E-3"/>
                  <c:y val="0.25494105347720375"/>
                </c:manualLayout>
              </c:layout>
              <c:showSerName val="1"/>
            </c:dLbl>
            <c:dLbl>
              <c:idx val="4"/>
              <c:layout>
                <c:manualLayout>
                  <c:x val="1.0604146397401241E-3"/>
                  <c:y val="0.21095605867014044"/>
                </c:manualLayout>
              </c:layout>
              <c:showSerName val="1"/>
            </c:dLbl>
            <c:dLbl>
              <c:idx val="5"/>
              <c:layout>
                <c:manualLayout>
                  <c:x val="2.2016605043042405E-3"/>
                  <c:y val="0.24303195610462144"/>
                </c:manualLayout>
              </c:layout>
              <c:showSerName val="1"/>
            </c:dLbl>
            <c:dLbl>
              <c:idx val="6"/>
              <c:layout>
                <c:manualLayout>
                  <c:x val="1.1580189758677983E-3"/>
                  <c:y val="0.30627638899652732"/>
                </c:manualLayout>
              </c:layout>
              <c:showSerName val="1"/>
            </c:dLbl>
            <c:dLbl>
              <c:idx val="7"/>
              <c:layout>
                <c:manualLayout>
                  <c:x val="1.1179826549171704E-3"/>
                  <c:y val="0.33917369020618332"/>
                </c:manualLayout>
              </c:layout>
              <c:showSerName val="1"/>
            </c:dLbl>
            <c:dLbl>
              <c:idx val="8"/>
              <c:layout>
                <c:manualLayout>
                  <c:x val="1.0698077463607441E-3"/>
                  <c:y val="0.29904744138327038"/>
                </c:manualLayout>
              </c:layout>
              <c:showSerName val="1"/>
            </c:dLbl>
            <c:dLbl>
              <c:idx val="9"/>
              <c:layout>
                <c:manualLayout>
                  <c:x val="1.0502093513783041E-3"/>
                  <c:y val="0.37163205591672499"/>
                </c:manualLayout>
              </c:layout>
              <c:showSerName val="1"/>
            </c:dLbl>
            <c:dLbl>
              <c:idx val="10"/>
              <c:layout>
                <c:manualLayout>
                  <c:x val="3.1505453604852604E-3"/>
                  <c:y val="0.34635165729013601"/>
                </c:manualLayout>
              </c:layout>
              <c:showSerName val="1"/>
            </c:dLbl>
            <c:dLbl>
              <c:idx val="11"/>
              <c:layout>
                <c:manualLayout>
                  <c:x val="2.1370648614719933E-3"/>
                  <c:y val="0.27582066650072917"/>
                </c:manualLayout>
              </c:layout>
              <c:showSerName val="1"/>
            </c:dLbl>
            <c:dLbl>
              <c:idx val="12"/>
              <c:layout>
                <c:manualLayout>
                  <c:x val="1.0524080781072521E-3"/>
                  <c:y val="0.37453543135357431"/>
                </c:manualLayout>
              </c:layout>
              <c:showSerName val="1"/>
            </c:dLbl>
            <c:dLbl>
              <c:idx val="13"/>
              <c:layout>
                <c:manualLayout>
                  <c:x val="2.0999984525054602E-3"/>
                  <c:y val="0.26746717528317632"/>
                </c:manualLayout>
              </c:layout>
              <c:showSerName val="1"/>
            </c:dLbl>
            <c:dLbl>
              <c:idx val="14"/>
              <c:layout>
                <c:manualLayout>
                  <c:x val="1.0204694931046758E-3"/>
                  <c:y val="0.31066117174292657"/>
                </c:manualLayout>
              </c:layout>
              <c:showSerName val="1"/>
            </c:dLbl>
            <c:dLbl>
              <c:idx val="15"/>
              <c:layout>
                <c:manualLayout>
                  <c:x val="2.0362636101975808E-3"/>
                  <c:y val="0.21775315776370621"/>
                </c:manualLayout>
              </c:layout>
              <c:showSerName val="1"/>
            </c:dLbl>
            <c:dLbl>
              <c:idx val="16"/>
              <c:layout>
                <c:manualLayout>
                  <c:x val="1.0104162779812841E-3"/>
                  <c:y val="0.16258902446356688"/>
                </c:manualLayout>
              </c:layout>
              <c:showSerName val="1"/>
            </c:dLbl>
            <c:dLbl>
              <c:idx val="17"/>
              <c:layout>
                <c:manualLayout>
                  <c:x val="1.9996178683021506E-3"/>
                  <c:y val="0.2990476699955264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270013915626995"/>
                </c:manualLayout>
              </c:layout>
              <c:showSerName val="1"/>
            </c:dLbl>
            <c:dLbl>
              <c:idx val="19"/>
              <c:layout>
                <c:manualLayout>
                  <c:x val="1.9847351984270721E-3"/>
                  <c:y val="0.38324555766412199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'Feb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10'!$F$19:$Y$19</c:f>
              <c:numCache>
                <c:formatCode>0.0%</c:formatCode>
                <c:ptCount val="20"/>
                <c:pt idx="0">
                  <c:v>1.2319686641570862</c:v>
                </c:pt>
                <c:pt idx="1">
                  <c:v>0.70684179468918495</c:v>
                </c:pt>
                <c:pt idx="2">
                  <c:v>1.2937942822260657</c:v>
                </c:pt>
                <c:pt idx="3">
                  <c:v>0.8412798860514803</c:v>
                </c:pt>
                <c:pt idx="4">
                  <c:v>0.69887068877810554</c:v>
                </c:pt>
                <c:pt idx="5">
                  <c:v>0.77373730796622242</c:v>
                </c:pt>
                <c:pt idx="6">
                  <c:v>1.0192288126971207</c:v>
                </c:pt>
                <c:pt idx="7">
                  <c:v>1.122787262183335</c:v>
                </c:pt>
                <c:pt idx="8">
                  <c:v>0.98936290568725194</c:v>
                </c:pt>
                <c:pt idx="9">
                  <c:v>1.2281631905585513</c:v>
                </c:pt>
                <c:pt idx="10">
                  <c:v>1.1593183436768746</c:v>
                </c:pt>
                <c:pt idx="11">
                  <c:v>0.92215851053006404</c:v>
                </c:pt>
                <c:pt idx="12">
                  <c:v>1.2375566181707194</c:v>
                </c:pt>
                <c:pt idx="13">
                  <c:v>0.88546993590395762</c:v>
                </c:pt>
                <c:pt idx="14">
                  <c:v>1.0224893681961544</c:v>
                </c:pt>
                <c:pt idx="15">
                  <c:v>0.72088717061756036</c:v>
                </c:pt>
                <c:pt idx="16">
                  <c:v>0.65068918506460471</c:v>
                </c:pt>
                <c:pt idx="17">
                  <c:v>1.0054027876691425</c:v>
                </c:pt>
                <c:pt idx="18">
                  <c:v>0.90709899277647776</c:v>
                </c:pt>
                <c:pt idx="19">
                  <c:v>1.280371960524977</c:v>
                </c:pt>
              </c:numCache>
            </c:numRef>
          </c:val>
        </c:ser>
        <c:gapWidth val="75"/>
        <c:shape val="box"/>
        <c:axId val="107639168"/>
        <c:axId val="107640704"/>
        <c:axId val="0"/>
      </c:bar3DChart>
      <c:catAx>
        <c:axId val="1076391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07640704"/>
        <c:crosses val="autoZero"/>
        <c:auto val="1"/>
        <c:lblAlgn val="ctr"/>
        <c:lblOffset val="100"/>
      </c:catAx>
      <c:valAx>
        <c:axId val="107640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63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May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'!$F$17:$Y$17</c:f>
              <c:numCache>
                <c:formatCode>0.0%</c:formatCode>
                <c:ptCount val="20"/>
                <c:pt idx="0">
                  <c:v>0</c:v>
                </c:pt>
                <c:pt idx="1">
                  <c:v>0.81679999999999997</c:v>
                </c:pt>
                <c:pt idx="2">
                  <c:v>0.17493333333333339</c:v>
                </c:pt>
                <c:pt idx="3">
                  <c:v>0.47477333333333338</c:v>
                </c:pt>
                <c:pt idx="4">
                  <c:v>1.1169066666666667</c:v>
                </c:pt>
                <c:pt idx="5">
                  <c:v>0.6869333333333334</c:v>
                </c:pt>
                <c:pt idx="6">
                  <c:v>0.47738666666666663</c:v>
                </c:pt>
                <c:pt idx="7">
                  <c:v>1.0986133333333332</c:v>
                </c:pt>
                <c:pt idx="8">
                  <c:v>0.17333333333333334</c:v>
                </c:pt>
                <c:pt idx="9">
                  <c:v>0.63007999999999997</c:v>
                </c:pt>
                <c:pt idx="10">
                  <c:v>0.59093333333333331</c:v>
                </c:pt>
                <c:pt idx="11">
                  <c:v>0.50160000000000005</c:v>
                </c:pt>
                <c:pt idx="12">
                  <c:v>0.71279999999999999</c:v>
                </c:pt>
                <c:pt idx="13">
                  <c:v>1.3972800000000001</c:v>
                </c:pt>
                <c:pt idx="14">
                  <c:v>1.3570666666666666</c:v>
                </c:pt>
                <c:pt idx="15">
                  <c:v>0.17093333333333338</c:v>
                </c:pt>
                <c:pt idx="16">
                  <c:v>0.17093333333333338</c:v>
                </c:pt>
                <c:pt idx="17">
                  <c:v>0.68666666666666665</c:v>
                </c:pt>
                <c:pt idx="18">
                  <c:v>2.2021333333333333</c:v>
                </c:pt>
                <c:pt idx="19">
                  <c:v>0.43823999999999996</c:v>
                </c:pt>
              </c:numCache>
            </c:numRef>
          </c:val>
        </c:ser>
        <c:ser>
          <c:idx val="6"/>
          <c:order val="1"/>
          <c:tx>
            <c:strRef>
              <c:f>'Month - May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May 2011 '!$F$18:$Y$18</c:f>
              <c:numCache>
                <c:formatCode>0.0%</c:formatCode>
                <c:ptCount val="20"/>
                <c:pt idx="0">
                  <c:v>1.4376</c:v>
                </c:pt>
                <c:pt idx="1">
                  <c:v>0.47919999999999996</c:v>
                </c:pt>
                <c:pt idx="2">
                  <c:v>0</c:v>
                </c:pt>
                <c:pt idx="3">
                  <c:v>0</c:v>
                </c:pt>
                <c:pt idx="4">
                  <c:v>0.95840000000000003</c:v>
                </c:pt>
                <c:pt idx="5">
                  <c:v>0.87919999999999998</c:v>
                </c:pt>
                <c:pt idx="6">
                  <c:v>0</c:v>
                </c:pt>
                <c:pt idx="7">
                  <c:v>0.88639999999999997</c:v>
                </c:pt>
                <c:pt idx="8">
                  <c:v>0.47919999999999996</c:v>
                </c:pt>
                <c:pt idx="9">
                  <c:v>0.95840000000000003</c:v>
                </c:pt>
                <c:pt idx="10">
                  <c:v>0</c:v>
                </c:pt>
                <c:pt idx="11">
                  <c:v>0</c:v>
                </c:pt>
                <c:pt idx="12">
                  <c:v>0.95840000000000003</c:v>
                </c:pt>
                <c:pt idx="13">
                  <c:v>0.84560000000000002</c:v>
                </c:pt>
                <c:pt idx="14">
                  <c:v>0</c:v>
                </c:pt>
                <c:pt idx="15">
                  <c:v>0</c:v>
                </c:pt>
                <c:pt idx="16">
                  <c:v>0.95840000000000003</c:v>
                </c:pt>
                <c:pt idx="17">
                  <c:v>0.47919999999999996</c:v>
                </c:pt>
                <c:pt idx="18">
                  <c:v>0</c:v>
                </c:pt>
                <c:pt idx="19">
                  <c:v>1.7584</c:v>
                </c:pt>
              </c:numCache>
            </c:numRef>
          </c:val>
        </c:ser>
        <c:ser>
          <c:idx val="1"/>
          <c:order val="2"/>
          <c:tx>
            <c:strRef>
              <c:f>'Month - May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'!$F$19:$Y$19</c:f>
              <c:numCache>
                <c:formatCode>0.0%</c:formatCode>
                <c:ptCount val="20"/>
                <c:pt idx="0">
                  <c:v>1.0968627450980393</c:v>
                </c:pt>
                <c:pt idx="1">
                  <c:v>1.135686274509804</c:v>
                </c:pt>
                <c:pt idx="2">
                  <c:v>1.3035294117647058</c:v>
                </c:pt>
                <c:pt idx="3">
                  <c:v>1.6627450980392156</c:v>
                </c:pt>
                <c:pt idx="4">
                  <c:v>1.5313725490196077</c:v>
                </c:pt>
                <c:pt idx="5">
                  <c:v>1.7662745098039214</c:v>
                </c:pt>
                <c:pt idx="6">
                  <c:v>1.6592156862745098</c:v>
                </c:pt>
                <c:pt idx="7">
                  <c:v>2.2333333333333334</c:v>
                </c:pt>
                <c:pt idx="8">
                  <c:v>1.1003921568627451</c:v>
                </c:pt>
                <c:pt idx="9">
                  <c:v>1.1690196078431372</c:v>
                </c:pt>
                <c:pt idx="10">
                  <c:v>0.94039215686274513</c:v>
                </c:pt>
                <c:pt idx="11">
                  <c:v>1.1670588235294117</c:v>
                </c:pt>
                <c:pt idx="12">
                  <c:v>0.86549019607843136</c:v>
                </c:pt>
                <c:pt idx="13">
                  <c:v>1.0968627450980393</c:v>
                </c:pt>
                <c:pt idx="14">
                  <c:v>1.6866666666666665</c:v>
                </c:pt>
                <c:pt idx="15">
                  <c:v>1.1925490196078432</c:v>
                </c:pt>
                <c:pt idx="16">
                  <c:v>1.2960784313725491</c:v>
                </c:pt>
                <c:pt idx="17">
                  <c:v>1.1109803921568628</c:v>
                </c:pt>
                <c:pt idx="18">
                  <c:v>0.92470588235294116</c:v>
                </c:pt>
                <c:pt idx="19">
                  <c:v>1.4023529411764706</c:v>
                </c:pt>
              </c:numCache>
            </c:numRef>
          </c:val>
        </c:ser>
        <c:ser>
          <c:idx val="2"/>
          <c:order val="3"/>
          <c:tx>
            <c:strRef>
              <c:f>'Month - May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'!$F$20:$Y$20</c:f>
              <c:numCache>
                <c:formatCode>0.0%</c:formatCode>
                <c:ptCount val="20"/>
                <c:pt idx="0">
                  <c:v>0.21677130044843052</c:v>
                </c:pt>
                <c:pt idx="1">
                  <c:v>0.46816143497757845</c:v>
                </c:pt>
                <c:pt idx="2">
                  <c:v>0.25515695067264577</c:v>
                </c:pt>
                <c:pt idx="3">
                  <c:v>0</c:v>
                </c:pt>
                <c:pt idx="4">
                  <c:v>0.20412556053811659</c:v>
                </c:pt>
                <c:pt idx="5">
                  <c:v>0</c:v>
                </c:pt>
                <c:pt idx="6">
                  <c:v>0.25515695067264577</c:v>
                </c:pt>
                <c:pt idx="7">
                  <c:v>0</c:v>
                </c:pt>
                <c:pt idx="8">
                  <c:v>0</c:v>
                </c:pt>
                <c:pt idx="9">
                  <c:v>0.68968609865470853</c:v>
                </c:pt>
                <c:pt idx="10">
                  <c:v>0</c:v>
                </c:pt>
                <c:pt idx="11">
                  <c:v>0.37452914798206283</c:v>
                </c:pt>
                <c:pt idx="12">
                  <c:v>0.25515695067264577</c:v>
                </c:pt>
                <c:pt idx="13">
                  <c:v>0.21677130044843052</c:v>
                </c:pt>
                <c:pt idx="14">
                  <c:v>0.73784753363228694</c:v>
                </c:pt>
                <c:pt idx="15">
                  <c:v>0</c:v>
                </c:pt>
                <c:pt idx="16">
                  <c:v>0</c:v>
                </c:pt>
                <c:pt idx="17">
                  <c:v>0.19130044843049332</c:v>
                </c:pt>
                <c:pt idx="18">
                  <c:v>0.39784753363228698</c:v>
                </c:pt>
                <c:pt idx="19">
                  <c:v>0.46816143497757845</c:v>
                </c:pt>
              </c:numCache>
            </c:numRef>
          </c:val>
        </c:ser>
        <c:ser>
          <c:idx val="3"/>
          <c:order val="4"/>
          <c:tx>
            <c:strRef>
              <c:f>'Month - May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'!$F$22:$Y$22</c:f>
              <c:numCache>
                <c:formatCode>0.0%</c:formatCode>
                <c:ptCount val="20"/>
                <c:pt idx="0">
                  <c:v>0</c:v>
                </c:pt>
                <c:pt idx="1">
                  <c:v>0.96105263157894738</c:v>
                </c:pt>
                <c:pt idx="2">
                  <c:v>0.56650717703349285</c:v>
                </c:pt>
                <c:pt idx="3">
                  <c:v>0.83741626794258373</c:v>
                </c:pt>
                <c:pt idx="4">
                  <c:v>2.0576076555023923</c:v>
                </c:pt>
                <c:pt idx="5">
                  <c:v>0.37779904306220091</c:v>
                </c:pt>
                <c:pt idx="6">
                  <c:v>0.9799521531100478</c:v>
                </c:pt>
                <c:pt idx="7">
                  <c:v>1.1257894736842105</c:v>
                </c:pt>
                <c:pt idx="8">
                  <c:v>0.8938277511961723</c:v>
                </c:pt>
                <c:pt idx="9">
                  <c:v>0.7835885167464115</c:v>
                </c:pt>
                <c:pt idx="10">
                  <c:v>0.53444976076555029</c:v>
                </c:pt>
                <c:pt idx="11">
                  <c:v>0.83133971291866027</c:v>
                </c:pt>
                <c:pt idx="12">
                  <c:v>0</c:v>
                </c:pt>
                <c:pt idx="13">
                  <c:v>0.62684210526315787</c:v>
                </c:pt>
                <c:pt idx="14">
                  <c:v>0.65928229665071769</c:v>
                </c:pt>
                <c:pt idx="15">
                  <c:v>0.60153110047846892</c:v>
                </c:pt>
                <c:pt idx="16">
                  <c:v>1.0203827751196173</c:v>
                </c:pt>
                <c:pt idx="17">
                  <c:v>1.1681339712918661</c:v>
                </c:pt>
                <c:pt idx="18">
                  <c:v>0.89387559808612438</c:v>
                </c:pt>
                <c:pt idx="19">
                  <c:v>0.65368421052631587</c:v>
                </c:pt>
              </c:numCache>
            </c:numRef>
          </c:val>
        </c:ser>
        <c:ser>
          <c:idx val="5"/>
          <c:order val="5"/>
          <c:tx>
            <c:strRef>
              <c:f>'Month - May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'!$F$21:$Y$21</c:f>
              <c:numCache>
                <c:formatCode>0.0%</c:formatCode>
                <c:ptCount val="20"/>
                <c:pt idx="0">
                  <c:v>1.3584000000000001</c:v>
                </c:pt>
                <c:pt idx="1">
                  <c:v>0</c:v>
                </c:pt>
                <c:pt idx="2">
                  <c:v>0.95935999999999999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0.47919999999999996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0.47919999999999996</c:v>
                </c:pt>
                <c:pt idx="12">
                  <c:v>0.16000000000000003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0.87919999999999998</c:v>
                </c:pt>
                <c:pt idx="18">
                  <c:v>0.97136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May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'!$F$23:$Y$23</c:f>
              <c:numCache>
                <c:formatCode>0.0%</c:formatCode>
                <c:ptCount val="20"/>
                <c:pt idx="0">
                  <c:v>0.445456936226167</c:v>
                </c:pt>
                <c:pt idx="1">
                  <c:v>0.76391847468770546</c:v>
                </c:pt>
                <c:pt idx="2">
                  <c:v>0.53360946745562132</c:v>
                </c:pt>
                <c:pt idx="3">
                  <c:v>0.6259566074950691</c:v>
                </c:pt>
                <c:pt idx="4">
                  <c:v>1.2062721893491124</c:v>
                </c:pt>
                <c:pt idx="5">
                  <c:v>0.64156476002629848</c:v>
                </c:pt>
                <c:pt idx="6">
                  <c:v>0.7419723865877712</c:v>
                </c:pt>
                <c:pt idx="7">
                  <c:v>1.0275213675213675</c:v>
                </c:pt>
                <c:pt idx="8">
                  <c:v>0.51224194608809992</c:v>
                </c:pt>
                <c:pt idx="9">
                  <c:v>0.74656147271531892</c:v>
                </c:pt>
                <c:pt idx="10">
                  <c:v>0.4502301117685733</c:v>
                </c:pt>
                <c:pt idx="11">
                  <c:v>0.64209072978303749</c:v>
                </c:pt>
                <c:pt idx="12">
                  <c:v>0.45016436554898098</c:v>
                </c:pt>
                <c:pt idx="13">
                  <c:v>0.8019329388560158</c:v>
                </c:pt>
                <c:pt idx="14">
                  <c:v>0.90671926364234057</c:v>
                </c:pt>
                <c:pt idx="15">
                  <c:v>0.40738987508218283</c:v>
                </c:pt>
                <c:pt idx="16">
                  <c:v>0.61861932938856024</c:v>
                </c:pt>
                <c:pt idx="17">
                  <c:v>0.8162656147271532</c:v>
                </c:pt>
                <c:pt idx="18">
                  <c:v>1.0817751479289941</c:v>
                </c:pt>
                <c:pt idx="19">
                  <c:v>0.73595003287310978</c:v>
                </c:pt>
              </c:numCache>
            </c:numRef>
          </c:val>
        </c:ser>
        <c:gapWidth val="75"/>
        <c:axId val="134533120"/>
        <c:axId val="134534656"/>
      </c:barChart>
      <c:catAx>
        <c:axId val="1345331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534656"/>
        <c:crosses val="autoZero"/>
        <c:auto val="1"/>
        <c:lblAlgn val="ctr"/>
        <c:lblOffset val="100"/>
      </c:catAx>
      <c:valAx>
        <c:axId val="1345346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533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May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'!$F$38:$Y$38</c:f>
              <c:numCache>
                <c:formatCode>0.0%</c:formatCode>
                <c:ptCount val="20"/>
                <c:pt idx="0">
                  <c:v>0.17173333333333332</c:v>
                </c:pt>
                <c:pt idx="1">
                  <c:v>0.49426666666666669</c:v>
                </c:pt>
                <c:pt idx="2">
                  <c:v>0.38782222222222223</c:v>
                </c:pt>
                <c:pt idx="3">
                  <c:v>0.40955999999999998</c:v>
                </c:pt>
                <c:pt idx="4">
                  <c:v>0.55102933333333337</c:v>
                </c:pt>
                <c:pt idx="5">
                  <c:v>0.57367999999999997</c:v>
                </c:pt>
                <c:pt idx="6">
                  <c:v>0.55991619047619046</c:v>
                </c:pt>
                <c:pt idx="7">
                  <c:v>0.62725333333333333</c:v>
                </c:pt>
                <c:pt idx="8">
                  <c:v>0.57681777777777787</c:v>
                </c:pt>
                <c:pt idx="9">
                  <c:v>0.58214399999999999</c:v>
                </c:pt>
                <c:pt idx="10">
                  <c:v>0.5829430303030303</c:v>
                </c:pt>
                <c:pt idx="11">
                  <c:v>0.57616444444444448</c:v>
                </c:pt>
                <c:pt idx="12">
                  <c:v>0.58667487179487177</c:v>
                </c:pt>
                <c:pt idx="13">
                  <c:v>0.64457523809523798</c:v>
                </c:pt>
                <c:pt idx="14">
                  <c:v>0.69207466666666662</c:v>
                </c:pt>
                <c:pt idx="15">
                  <c:v>0.65950333333333333</c:v>
                </c:pt>
                <c:pt idx="16">
                  <c:v>0.63076392156862737</c:v>
                </c:pt>
                <c:pt idx="17">
                  <c:v>0.63386962962962956</c:v>
                </c:pt>
                <c:pt idx="18">
                  <c:v>0.70741333333333334</c:v>
                </c:pt>
                <c:pt idx="19">
                  <c:v>0.70250133333333331</c:v>
                </c:pt>
              </c:numCache>
            </c:numRef>
          </c:val>
        </c:ser>
        <c:ser>
          <c:idx val="6"/>
          <c:order val="1"/>
          <c:tx>
            <c:strRef>
              <c:f>'Month - May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'!$F$39:$Y$39</c:f>
              <c:numCache>
                <c:formatCode>0.0%</c:formatCode>
                <c:ptCount val="20"/>
                <c:pt idx="0">
                  <c:v>1.4376</c:v>
                </c:pt>
                <c:pt idx="1">
                  <c:v>0.95840000000000003</c:v>
                </c:pt>
                <c:pt idx="2">
                  <c:v>0.63893333333333335</c:v>
                </c:pt>
                <c:pt idx="3">
                  <c:v>0.47920000000000001</c:v>
                </c:pt>
                <c:pt idx="4">
                  <c:v>0.57504</c:v>
                </c:pt>
                <c:pt idx="5">
                  <c:v>0.62573333333333336</c:v>
                </c:pt>
                <c:pt idx="6">
                  <c:v>0.53634285714285712</c:v>
                </c:pt>
                <c:pt idx="7">
                  <c:v>0.58009999999999995</c:v>
                </c:pt>
                <c:pt idx="8">
                  <c:v>0.56888888888888889</c:v>
                </c:pt>
                <c:pt idx="9">
                  <c:v>0.60784000000000005</c:v>
                </c:pt>
                <c:pt idx="10">
                  <c:v>0.55258181818181806</c:v>
                </c:pt>
                <c:pt idx="11">
                  <c:v>0.50653333333333339</c:v>
                </c:pt>
                <c:pt idx="12">
                  <c:v>0.54129230769230763</c:v>
                </c:pt>
                <c:pt idx="13">
                  <c:v>0.56302857142857143</c:v>
                </c:pt>
                <c:pt idx="14">
                  <c:v>0.52549333333333337</c:v>
                </c:pt>
                <c:pt idx="15">
                  <c:v>0.49264999999999998</c:v>
                </c:pt>
                <c:pt idx="16">
                  <c:v>0.52004705882352942</c:v>
                </c:pt>
                <c:pt idx="17">
                  <c:v>0.51511111111111108</c:v>
                </c:pt>
                <c:pt idx="18">
                  <c:v>0.48799999999999999</c:v>
                </c:pt>
                <c:pt idx="19">
                  <c:v>0.39412000000000003</c:v>
                </c:pt>
              </c:numCache>
            </c:numRef>
          </c:val>
        </c:ser>
        <c:ser>
          <c:idx val="1"/>
          <c:order val="2"/>
          <c:tx>
            <c:strRef>
              <c:f>'Month - May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'!$F$40:$Y$40</c:f>
              <c:numCache>
                <c:formatCode>0.0%</c:formatCode>
                <c:ptCount val="20"/>
                <c:pt idx="0">
                  <c:v>3.9243137254901961</c:v>
                </c:pt>
                <c:pt idx="1">
                  <c:v>2.4125490196078432</c:v>
                </c:pt>
                <c:pt idx="2">
                  <c:v>2.1211764705882352</c:v>
                </c:pt>
                <c:pt idx="3">
                  <c:v>2.0065686274509802</c:v>
                </c:pt>
                <c:pt idx="4">
                  <c:v>1.9115294117647059</c:v>
                </c:pt>
                <c:pt idx="5">
                  <c:v>1.8873202614379083</c:v>
                </c:pt>
                <c:pt idx="6">
                  <c:v>1.8547338935574229</c:v>
                </c:pt>
                <c:pt idx="7">
                  <c:v>1.8236764705882353</c:v>
                </c:pt>
                <c:pt idx="8">
                  <c:v>1.7607843137254902</c:v>
                </c:pt>
                <c:pt idx="9">
                  <c:v>1.6081960784313725</c:v>
                </c:pt>
                <c:pt idx="10">
                  <c:v>1.62349376114082</c:v>
                </c:pt>
                <c:pt idx="11">
                  <c:v>1.5854575163398692</c:v>
                </c:pt>
                <c:pt idx="12">
                  <c:v>1.4634992458521867</c:v>
                </c:pt>
                <c:pt idx="13">
                  <c:v>1.4823529411764707</c:v>
                </c:pt>
                <c:pt idx="14">
                  <c:v>1.4567843137254901</c:v>
                </c:pt>
                <c:pt idx="15">
                  <c:v>1.4402696078431372</c:v>
                </c:pt>
                <c:pt idx="16">
                  <c:v>1.4202537485582469</c:v>
                </c:pt>
                <c:pt idx="17">
                  <c:v>1.2905446623093682</c:v>
                </c:pt>
                <c:pt idx="18">
                  <c:v>1.1978947368421053</c:v>
                </c:pt>
                <c:pt idx="19">
                  <c:v>1.1379999999999999</c:v>
                </c:pt>
              </c:numCache>
            </c:numRef>
          </c:val>
        </c:ser>
        <c:ser>
          <c:idx val="2"/>
          <c:order val="3"/>
          <c:tx>
            <c:strRef>
              <c:f>'Month - May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'!$F$41:$Y$41</c:f>
              <c:numCache>
                <c:formatCode>0.0%</c:formatCode>
                <c:ptCount val="20"/>
                <c:pt idx="0">
                  <c:v>1.301883408071749</c:v>
                </c:pt>
                <c:pt idx="1">
                  <c:v>0.8850224215246637</c:v>
                </c:pt>
                <c:pt idx="2">
                  <c:v>0.59001494768310914</c:v>
                </c:pt>
                <c:pt idx="3">
                  <c:v>0.44251121076233185</c:v>
                </c:pt>
                <c:pt idx="4">
                  <c:v>0.39483408071748877</c:v>
                </c:pt>
                <c:pt idx="5">
                  <c:v>0.37155455904334822</c:v>
                </c:pt>
                <c:pt idx="6">
                  <c:v>0.35497757847533634</c:v>
                </c:pt>
                <c:pt idx="7">
                  <c:v>0.3217488789237668</c:v>
                </c:pt>
                <c:pt idx="8">
                  <c:v>0.28599900348779272</c:v>
                </c:pt>
                <c:pt idx="9">
                  <c:v>0.29782959641255607</c:v>
                </c:pt>
                <c:pt idx="10">
                  <c:v>0.27075417855686917</c:v>
                </c:pt>
                <c:pt idx="11">
                  <c:v>0.26132286995515697</c:v>
                </c:pt>
                <c:pt idx="12">
                  <c:v>0.27003104518799587</c:v>
                </c:pt>
                <c:pt idx="13">
                  <c:v>0.26897501601537471</c:v>
                </c:pt>
                <c:pt idx="14">
                  <c:v>0.28817339312406576</c:v>
                </c:pt>
                <c:pt idx="15">
                  <c:v>0.27016255605381168</c:v>
                </c:pt>
                <c:pt idx="16">
                  <c:v>0.25427064099182273</c:v>
                </c:pt>
                <c:pt idx="17">
                  <c:v>0.24013452914798206</c:v>
                </c:pt>
                <c:pt idx="18">
                  <c:v>0.27945244276610809</c:v>
                </c:pt>
                <c:pt idx="19">
                  <c:v>0.26547982062780268</c:v>
                </c:pt>
              </c:numCache>
            </c:numRef>
          </c:val>
        </c:ser>
        <c:ser>
          <c:idx val="5"/>
          <c:order val="4"/>
          <c:tx>
            <c:strRef>
              <c:f>'Month - May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0.17925261584454411</c:v>
                </c:pt>
                <c:pt idx="3">
                  <c:v>0.13443946188340808</c:v>
                </c:pt>
                <c:pt idx="4">
                  <c:v>0.10755156950672645</c:v>
                </c:pt>
                <c:pt idx="5">
                  <c:v>8.9626307922272053E-2</c:v>
                </c:pt>
                <c:pt idx="6">
                  <c:v>0.11519538757206918</c:v>
                </c:pt>
                <c:pt idx="7">
                  <c:v>0.10079596412556054</c:v>
                </c:pt>
                <c:pt idx="8">
                  <c:v>8.9596412556053814E-2</c:v>
                </c:pt>
                <c:pt idx="9">
                  <c:v>8.0636771300448426E-2</c:v>
                </c:pt>
                <c:pt idx="10">
                  <c:v>7.33061557276804E-2</c:v>
                </c:pt>
                <c:pt idx="11">
                  <c:v>8.9581464872944702E-2</c:v>
                </c:pt>
                <c:pt idx="12">
                  <c:v>8.958951362538807E-2</c:v>
                </c:pt>
                <c:pt idx="13">
                  <c:v>8.319026265214606E-2</c:v>
                </c:pt>
                <c:pt idx="14">
                  <c:v>7.7644245142002993E-2</c:v>
                </c:pt>
                <c:pt idx="15">
                  <c:v>7.2791479820627808E-2</c:v>
                </c:pt>
                <c:pt idx="16">
                  <c:v>6.8509628066473233E-2</c:v>
                </c:pt>
                <c:pt idx="17">
                  <c:v>9.2082710513203797E-2</c:v>
                </c:pt>
                <c:pt idx="18">
                  <c:v>0.1158933207458107</c:v>
                </c:pt>
                <c:pt idx="19">
                  <c:v>0.11009865470852018</c:v>
                </c:pt>
              </c:numCache>
            </c:numRef>
          </c:val>
        </c:ser>
        <c:ser>
          <c:idx val="3"/>
          <c:order val="5"/>
          <c:tx>
            <c:strRef>
              <c:f>'Month - May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'!$F$43:$Y$43</c:f>
              <c:numCache>
                <c:formatCode>0.0%</c:formatCode>
                <c:ptCount val="20"/>
                <c:pt idx="0">
                  <c:v>0</c:v>
                </c:pt>
                <c:pt idx="1">
                  <c:v>0.3460287081339713</c:v>
                </c:pt>
                <c:pt idx="2">
                  <c:v>0.41953748006379588</c:v>
                </c:pt>
                <c:pt idx="3">
                  <c:v>0.52400717703349287</c:v>
                </c:pt>
                <c:pt idx="4">
                  <c:v>0.83074641148325357</c:v>
                </c:pt>
                <c:pt idx="5">
                  <c:v>0.75526315789473686</c:v>
                </c:pt>
                <c:pt idx="6">
                  <c:v>0.78736158578263837</c:v>
                </c:pt>
                <c:pt idx="7">
                  <c:v>0.82967105263157892</c:v>
                </c:pt>
                <c:pt idx="8">
                  <c:v>0.82094630515683154</c:v>
                </c:pt>
                <c:pt idx="9">
                  <c:v>0.8172105263157895</c:v>
                </c:pt>
                <c:pt idx="10">
                  <c:v>0.79150500217485853</c:v>
                </c:pt>
                <c:pt idx="11">
                  <c:v>0.79482854864433816</c:v>
                </c:pt>
                <c:pt idx="12">
                  <c:v>0.73368789105631216</c:v>
                </c:pt>
                <c:pt idx="13">
                  <c:v>0.72010252904989747</c:v>
                </c:pt>
                <c:pt idx="14">
                  <c:v>0.70663157894736839</c:v>
                </c:pt>
                <c:pt idx="15">
                  <c:v>0.66665968899521533</c:v>
                </c:pt>
                <c:pt idx="16">
                  <c:v>0.69577821559245701</c:v>
                </c:pt>
                <c:pt idx="17">
                  <c:v>0.72210526315789469</c:v>
                </c:pt>
                <c:pt idx="18">
                  <c:v>0.73114832535885166</c:v>
                </c:pt>
                <c:pt idx="19">
                  <c:v>0.71114354066985641</c:v>
                </c:pt>
              </c:numCache>
            </c:numRef>
          </c:val>
        </c:ser>
        <c:ser>
          <c:idx val="4"/>
          <c:order val="6"/>
          <c:tx>
            <c:strRef>
              <c:f>'Month - May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2011 '!$F$44:$Y$44</c:f>
              <c:numCache>
                <c:formatCode>0.0%</c:formatCode>
                <c:ptCount val="20"/>
                <c:pt idx="0">
                  <c:v>1.0092833662064431</c:v>
                </c:pt>
                <c:pt idx="1">
                  <c:v>0.82994740302432612</c:v>
                </c:pt>
                <c:pt idx="2">
                  <c:v>0.73182993644532113</c:v>
                </c:pt>
                <c:pt idx="3">
                  <c:v>0.70536160420775806</c:v>
                </c:pt>
                <c:pt idx="4">
                  <c:v>0.80554898093359628</c:v>
                </c:pt>
                <c:pt idx="5">
                  <c:v>0.7844554021477097</c:v>
                </c:pt>
                <c:pt idx="6">
                  <c:v>0.77839203531511225</c:v>
                </c:pt>
                <c:pt idx="7">
                  <c:v>0.79802761341222883</c:v>
                </c:pt>
                <c:pt idx="8">
                  <c:v>0.76484622689750892</c:v>
                </c:pt>
                <c:pt idx="9">
                  <c:v>0.74317291255752793</c:v>
                </c:pt>
                <c:pt idx="10">
                  <c:v>0.72928456159225385</c:v>
                </c:pt>
                <c:pt idx="11">
                  <c:v>0.71936883629191317</c:v>
                </c:pt>
                <c:pt idx="12">
                  <c:v>0.6888453952359278</c:v>
                </c:pt>
                <c:pt idx="13">
                  <c:v>0.70324128862590396</c:v>
                </c:pt>
                <c:pt idx="14">
                  <c:v>0.70588034188034188</c:v>
                </c:pt>
                <c:pt idx="15">
                  <c:v>0.67804487179487183</c:v>
                </c:pt>
                <c:pt idx="16">
                  <c:v>0.67489964032950456</c:v>
                </c:pt>
                <c:pt idx="17">
                  <c:v>0.66213236905544604</c:v>
                </c:pt>
                <c:pt idx="18">
                  <c:v>0.67424409149105513</c:v>
                </c:pt>
                <c:pt idx="19">
                  <c:v>0.64688034188034194</c:v>
                </c:pt>
              </c:numCache>
            </c:numRef>
          </c:val>
        </c:ser>
        <c:marker val="1"/>
        <c:axId val="134600192"/>
        <c:axId val="134601728"/>
      </c:lineChart>
      <c:catAx>
        <c:axId val="134600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601728"/>
        <c:crosses val="autoZero"/>
        <c:auto val="1"/>
        <c:lblAlgn val="ctr"/>
        <c:lblOffset val="100"/>
      </c:catAx>
      <c:valAx>
        <c:axId val="13460172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600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June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'!$F$48:$Y$48</c:f>
              <c:numCache>
                <c:formatCode>0</c:formatCode>
                <c:ptCount val="20"/>
                <c:pt idx="0">
                  <c:v>235200</c:v>
                </c:pt>
                <c:pt idx="1">
                  <c:v>176400</c:v>
                </c:pt>
                <c:pt idx="2">
                  <c:v>139033.33333333334</c:v>
                </c:pt>
                <c:pt idx="3">
                  <c:v>152500</c:v>
                </c:pt>
                <c:pt idx="4">
                  <c:v>147720</c:v>
                </c:pt>
                <c:pt idx="5">
                  <c:v>132216.66666666666</c:v>
                </c:pt>
                <c:pt idx="6">
                  <c:v>196208.57142857142</c:v>
                </c:pt>
                <c:pt idx="7">
                  <c:v>193150</c:v>
                </c:pt>
                <c:pt idx="8">
                  <c:v>178837.77777777778</c:v>
                </c:pt>
                <c:pt idx="9">
                  <c:v>191638</c:v>
                </c:pt>
                <c:pt idx="10">
                  <c:v>174216.36363636365</c:v>
                </c:pt>
                <c:pt idx="11">
                  <c:v>193910</c:v>
                </c:pt>
                <c:pt idx="12">
                  <c:v>212549.23076923078</c:v>
                </c:pt>
                <c:pt idx="13">
                  <c:v>209774.28571428574</c:v>
                </c:pt>
                <c:pt idx="14">
                  <c:v>220610.66666666666</c:v>
                </c:pt>
                <c:pt idx="15">
                  <c:v>221452.5</c:v>
                </c:pt>
                <c:pt idx="16">
                  <c:v>235965.8823529412</c:v>
                </c:pt>
                <c:pt idx="17">
                  <c:v>236231.11111111109</c:v>
                </c:pt>
                <c:pt idx="18">
                  <c:v>233110.52631578947</c:v>
                </c:pt>
                <c:pt idx="19">
                  <c:v>265327</c:v>
                </c:pt>
              </c:numCache>
            </c:numRef>
          </c:val>
        </c:ser>
        <c:ser>
          <c:idx val="6"/>
          <c:order val="1"/>
          <c:tx>
            <c:strRef>
              <c:f>'Month - June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'!$F$49:$Y$49</c:f>
              <c:numCache>
                <c:formatCode>0</c:formatCode>
                <c:ptCount val="20"/>
                <c:pt idx="0">
                  <c:v>0</c:v>
                </c:pt>
                <c:pt idx="1">
                  <c:v>29900</c:v>
                </c:pt>
                <c:pt idx="2">
                  <c:v>69200</c:v>
                </c:pt>
                <c:pt idx="3">
                  <c:v>185275</c:v>
                </c:pt>
                <c:pt idx="4">
                  <c:v>166800</c:v>
                </c:pt>
                <c:pt idx="5">
                  <c:v>204233.33333333331</c:v>
                </c:pt>
                <c:pt idx="6">
                  <c:v>175057.14285714287</c:v>
                </c:pt>
                <c:pt idx="7">
                  <c:v>153175</c:v>
                </c:pt>
                <c:pt idx="8">
                  <c:v>167688.88888888891</c:v>
                </c:pt>
                <c:pt idx="9">
                  <c:v>170300</c:v>
                </c:pt>
                <c:pt idx="10">
                  <c:v>154818.18181818182</c:v>
                </c:pt>
                <c:pt idx="11">
                  <c:v>158550</c:v>
                </c:pt>
                <c:pt idx="12">
                  <c:v>150500</c:v>
                </c:pt>
                <c:pt idx="13">
                  <c:v>143021.42857142858</c:v>
                </c:pt>
                <c:pt idx="14">
                  <c:v>144413.33333333334</c:v>
                </c:pt>
                <c:pt idx="15">
                  <c:v>138250</c:v>
                </c:pt>
                <c:pt idx="16">
                  <c:v>133288.23529411765</c:v>
                </c:pt>
                <c:pt idx="17">
                  <c:v>125883.33333333334</c:v>
                </c:pt>
                <c:pt idx="18">
                  <c:v>122094.73684210527</c:v>
                </c:pt>
                <c:pt idx="19">
                  <c:v>128265</c:v>
                </c:pt>
              </c:numCache>
            </c:numRef>
          </c:val>
        </c:ser>
        <c:ser>
          <c:idx val="1"/>
          <c:order val="2"/>
          <c:tx>
            <c:strRef>
              <c:f>'Month - June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'!$F$50:$Y$50</c:f>
              <c:numCache>
                <c:formatCode>0</c:formatCode>
                <c:ptCount val="20"/>
                <c:pt idx="0">
                  <c:v>940100</c:v>
                </c:pt>
                <c:pt idx="1">
                  <c:v>555000</c:v>
                </c:pt>
                <c:pt idx="2">
                  <c:v>410300</c:v>
                </c:pt>
                <c:pt idx="3">
                  <c:v>365360</c:v>
                </c:pt>
                <c:pt idx="4">
                  <c:v>380868</c:v>
                </c:pt>
                <c:pt idx="5">
                  <c:v>340040</c:v>
                </c:pt>
                <c:pt idx="6">
                  <c:v>320505.71428571426</c:v>
                </c:pt>
                <c:pt idx="7">
                  <c:v>320005</c:v>
                </c:pt>
                <c:pt idx="8">
                  <c:v>329626.66666666663</c:v>
                </c:pt>
                <c:pt idx="9">
                  <c:v>296664</c:v>
                </c:pt>
                <c:pt idx="10">
                  <c:v>279685.45454545459</c:v>
                </c:pt>
                <c:pt idx="11">
                  <c:v>288028.33333333331</c:v>
                </c:pt>
                <c:pt idx="12">
                  <c:v>346656.92307692306</c:v>
                </c:pt>
                <c:pt idx="13">
                  <c:v>337595.71428571426</c:v>
                </c:pt>
                <c:pt idx="14">
                  <c:v>339802.66666666669</c:v>
                </c:pt>
                <c:pt idx="15">
                  <c:v>341783.75</c:v>
                </c:pt>
                <c:pt idx="16">
                  <c:v>338725.8823529412</c:v>
                </c:pt>
                <c:pt idx="17">
                  <c:v>326013.33333333331</c:v>
                </c:pt>
                <c:pt idx="18">
                  <c:v>316007.36842105264</c:v>
                </c:pt>
                <c:pt idx="19">
                  <c:v>315867</c:v>
                </c:pt>
              </c:numCache>
            </c:numRef>
          </c:val>
        </c:ser>
        <c:ser>
          <c:idx val="2"/>
          <c:order val="3"/>
          <c:tx>
            <c:strRef>
              <c:f>'Month - June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'!$F$51:$Y$51</c:f>
              <c:numCache>
                <c:formatCode>0</c:formatCode>
                <c:ptCount val="20"/>
                <c:pt idx="0">
                  <c:v>109900</c:v>
                </c:pt>
                <c:pt idx="1">
                  <c:v>96560</c:v>
                </c:pt>
                <c:pt idx="2">
                  <c:v>111186.66666666666</c:v>
                </c:pt>
                <c:pt idx="3">
                  <c:v>83390</c:v>
                </c:pt>
                <c:pt idx="4">
                  <c:v>66712</c:v>
                </c:pt>
                <c:pt idx="5">
                  <c:v>55593.333333333328</c:v>
                </c:pt>
                <c:pt idx="6">
                  <c:v>81008.571428571435</c:v>
                </c:pt>
                <c:pt idx="7">
                  <c:v>77995</c:v>
                </c:pt>
                <c:pt idx="8">
                  <c:v>69328.888888888891</c:v>
                </c:pt>
                <c:pt idx="9">
                  <c:v>62396</c:v>
                </c:pt>
                <c:pt idx="10">
                  <c:v>56723.63636363636</c:v>
                </c:pt>
                <c:pt idx="11">
                  <c:v>67058.333333333328</c:v>
                </c:pt>
                <c:pt idx="12">
                  <c:v>61900</c:v>
                </c:pt>
                <c:pt idx="13">
                  <c:v>57478.571428571435</c:v>
                </c:pt>
                <c:pt idx="14">
                  <c:v>53646.666666666672</c:v>
                </c:pt>
                <c:pt idx="15">
                  <c:v>56818.75</c:v>
                </c:pt>
                <c:pt idx="16">
                  <c:v>59617.647058823532</c:v>
                </c:pt>
                <c:pt idx="17">
                  <c:v>56305.555555555555</c:v>
                </c:pt>
                <c:pt idx="18">
                  <c:v>55887.368421052633</c:v>
                </c:pt>
                <c:pt idx="19">
                  <c:v>57530</c:v>
                </c:pt>
              </c:numCache>
            </c:numRef>
          </c:val>
        </c:ser>
        <c:ser>
          <c:idx val="3"/>
          <c:order val="4"/>
          <c:tx>
            <c:strRef>
              <c:f>'Month - June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16000</c:v>
                </c:pt>
                <c:pt idx="5">
                  <c:v>13333.333333333332</c:v>
                </c:pt>
                <c:pt idx="6">
                  <c:v>11428.571428571429</c:v>
                </c:pt>
                <c:pt idx="7">
                  <c:v>10000</c:v>
                </c:pt>
                <c:pt idx="8">
                  <c:v>8888.8888888888887</c:v>
                </c:pt>
                <c:pt idx="9">
                  <c:v>8000</c:v>
                </c:pt>
                <c:pt idx="10">
                  <c:v>7272.7272727272721</c:v>
                </c:pt>
                <c:pt idx="11">
                  <c:v>16666.666666666668</c:v>
                </c:pt>
                <c:pt idx="12">
                  <c:v>15384.615384615387</c:v>
                </c:pt>
                <c:pt idx="13">
                  <c:v>18564.285714285714</c:v>
                </c:pt>
                <c:pt idx="14">
                  <c:v>17326.666666666668</c:v>
                </c:pt>
                <c:pt idx="15">
                  <c:v>23882.5</c:v>
                </c:pt>
                <c:pt idx="16">
                  <c:v>22477.647058823532</c:v>
                </c:pt>
                <c:pt idx="17">
                  <c:v>21228.888888888887</c:v>
                </c:pt>
                <c:pt idx="18">
                  <c:v>20111.57894736842</c:v>
                </c:pt>
                <c:pt idx="19">
                  <c:v>19106</c:v>
                </c:pt>
              </c:numCache>
            </c:numRef>
          </c:val>
        </c:ser>
        <c:ser>
          <c:idx val="4"/>
          <c:order val="5"/>
          <c:tx>
            <c:strRef>
              <c:f>'Month - June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'!$F$53:$Y$53</c:f>
              <c:numCache>
                <c:formatCode>0</c:formatCode>
                <c:ptCount val="20"/>
                <c:pt idx="0">
                  <c:v>0</c:v>
                </c:pt>
                <c:pt idx="1">
                  <c:v>42370</c:v>
                </c:pt>
                <c:pt idx="2">
                  <c:v>167733.33333333331</c:v>
                </c:pt>
                <c:pt idx="3">
                  <c:v>199700</c:v>
                </c:pt>
                <c:pt idx="4">
                  <c:v>209656</c:v>
                </c:pt>
                <c:pt idx="5">
                  <c:v>218660</c:v>
                </c:pt>
                <c:pt idx="6">
                  <c:v>226974.28571428574</c:v>
                </c:pt>
                <c:pt idx="7">
                  <c:v>225597.5</c:v>
                </c:pt>
                <c:pt idx="8">
                  <c:v>219364.44444444444</c:v>
                </c:pt>
                <c:pt idx="9">
                  <c:v>224414</c:v>
                </c:pt>
                <c:pt idx="10">
                  <c:v>226354.54545454544</c:v>
                </c:pt>
                <c:pt idx="11">
                  <c:v>227581.66666666669</c:v>
                </c:pt>
                <c:pt idx="12">
                  <c:v>222690.76923076922</c:v>
                </c:pt>
                <c:pt idx="13">
                  <c:v>206784.28571428574</c:v>
                </c:pt>
                <c:pt idx="14">
                  <c:v>202241.33333333334</c:v>
                </c:pt>
                <c:pt idx="15">
                  <c:v>218627.5</c:v>
                </c:pt>
                <c:pt idx="16">
                  <c:v>214005.8823529412</c:v>
                </c:pt>
                <c:pt idx="17">
                  <c:v>211498.88888888891</c:v>
                </c:pt>
                <c:pt idx="18">
                  <c:v>204828.42105263157</c:v>
                </c:pt>
                <c:pt idx="19">
                  <c:v>215950</c:v>
                </c:pt>
              </c:numCache>
            </c:numRef>
          </c:val>
        </c:ser>
        <c:ser>
          <c:idx val="5"/>
          <c:order val="6"/>
          <c:tx>
            <c:strRef>
              <c:f>'Month - June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June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'!$F$54:$Y$54</c:f>
              <c:numCache>
                <c:formatCode>0</c:formatCode>
                <c:ptCount val="20"/>
                <c:pt idx="0">
                  <c:v>1285200</c:v>
                </c:pt>
                <c:pt idx="1">
                  <c:v>900230</c:v>
                </c:pt>
                <c:pt idx="2">
                  <c:v>897453.33333333326</c:v>
                </c:pt>
                <c:pt idx="3">
                  <c:v>986225</c:v>
                </c:pt>
                <c:pt idx="4">
                  <c:v>987756</c:v>
                </c:pt>
                <c:pt idx="5">
                  <c:v>964076.66666666674</c:v>
                </c:pt>
                <c:pt idx="6">
                  <c:v>1011182.8571428573</c:v>
                </c:pt>
                <c:pt idx="7">
                  <c:v>979922.5</c:v>
                </c:pt>
                <c:pt idx="8">
                  <c:v>973735.5555555555</c:v>
                </c:pt>
                <c:pt idx="9">
                  <c:v>953412</c:v>
                </c:pt>
                <c:pt idx="10">
                  <c:v>899070.90909090906</c:v>
                </c:pt>
                <c:pt idx="11">
                  <c:v>951795</c:v>
                </c:pt>
                <c:pt idx="12">
                  <c:v>1009681.5384615384</c:v>
                </c:pt>
                <c:pt idx="13">
                  <c:v>973218.57142857159</c:v>
                </c:pt>
                <c:pt idx="14">
                  <c:v>978041.33333333337</c:v>
                </c:pt>
                <c:pt idx="15">
                  <c:v>1000815</c:v>
                </c:pt>
                <c:pt idx="16">
                  <c:v>1004081.1764705882</c:v>
                </c:pt>
                <c:pt idx="17">
                  <c:v>977161.11111111101</c:v>
                </c:pt>
                <c:pt idx="18">
                  <c:v>952040</c:v>
                </c:pt>
                <c:pt idx="19">
                  <c:v>1002045</c:v>
                </c:pt>
              </c:numCache>
            </c:numRef>
          </c:val>
        </c:ser>
        <c:marker val="1"/>
        <c:axId val="134713344"/>
        <c:axId val="134714880"/>
      </c:lineChart>
      <c:catAx>
        <c:axId val="134713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714880"/>
        <c:crosses val="autoZero"/>
        <c:auto val="1"/>
        <c:lblAlgn val="ctr"/>
        <c:lblOffset val="100"/>
      </c:catAx>
      <c:valAx>
        <c:axId val="13471488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71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June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'!$F$17:$Y$17</c:f>
              <c:numCache>
                <c:formatCode>0.0%</c:formatCode>
                <c:ptCount val="20"/>
                <c:pt idx="0">
                  <c:v>0.59544303797468356</c:v>
                </c:pt>
                <c:pt idx="1">
                  <c:v>0.29812658227848099</c:v>
                </c:pt>
                <c:pt idx="2">
                  <c:v>0.1627848101265823</c:v>
                </c:pt>
                <c:pt idx="3">
                  <c:v>0.4883544303797468</c:v>
                </c:pt>
                <c:pt idx="4">
                  <c:v>0.3255696202531646</c:v>
                </c:pt>
                <c:pt idx="5">
                  <c:v>0.13848101265822788</c:v>
                </c:pt>
                <c:pt idx="6">
                  <c:v>1.607240506329114</c:v>
                </c:pt>
                <c:pt idx="7">
                  <c:v>0.43478481012658232</c:v>
                </c:pt>
                <c:pt idx="8">
                  <c:v>0.1628860759493671</c:v>
                </c:pt>
                <c:pt idx="9">
                  <c:v>0.77681012658227844</c:v>
                </c:pt>
                <c:pt idx="10">
                  <c:v>0</c:v>
                </c:pt>
                <c:pt idx="11">
                  <c:v>1.0393417721518987</c:v>
                </c:pt>
                <c:pt idx="12">
                  <c:v>1.1043544303797468</c:v>
                </c:pt>
                <c:pt idx="13">
                  <c:v>0.43974683544303794</c:v>
                </c:pt>
                <c:pt idx="14">
                  <c:v>0.94258227848101261</c:v>
                </c:pt>
                <c:pt idx="15">
                  <c:v>0.59260759493670889</c:v>
                </c:pt>
                <c:pt idx="16">
                  <c:v>1.1852658227848101</c:v>
                </c:pt>
                <c:pt idx="17">
                  <c:v>0.60946835443037972</c:v>
                </c:pt>
                <c:pt idx="18">
                  <c:v>0.87908860759493668</c:v>
                </c:pt>
                <c:pt idx="19">
                  <c:v>1.537873417721519</c:v>
                </c:pt>
              </c:numCache>
            </c:numRef>
          </c:val>
        </c:ser>
        <c:ser>
          <c:idx val="6"/>
          <c:order val="1"/>
          <c:tx>
            <c:strRef>
              <c:f>'Month - June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June 2011 '!$F$18:$Y$18</c:f>
              <c:numCache>
                <c:formatCode>0.0%</c:formatCode>
                <c:ptCount val="20"/>
                <c:pt idx="0">
                  <c:v>0</c:v>
                </c:pt>
                <c:pt idx="1">
                  <c:v>0.47840000000000005</c:v>
                </c:pt>
                <c:pt idx="2">
                  <c:v>1.1823999999999999</c:v>
                </c:pt>
                <c:pt idx="3">
                  <c:v>1.5992</c:v>
                </c:pt>
                <c:pt idx="4">
                  <c:v>0.75119999999999998</c:v>
                </c:pt>
                <c:pt idx="5">
                  <c:v>2.6440000000000001</c:v>
                </c:pt>
                <c:pt idx="6">
                  <c:v>0</c:v>
                </c:pt>
                <c:pt idx="7">
                  <c:v>0</c:v>
                </c:pt>
                <c:pt idx="8">
                  <c:v>2.2704</c:v>
                </c:pt>
                <c:pt idx="9">
                  <c:v>1.5504</c:v>
                </c:pt>
                <c:pt idx="10">
                  <c:v>0</c:v>
                </c:pt>
                <c:pt idx="11">
                  <c:v>1.5968</c:v>
                </c:pt>
                <c:pt idx="12">
                  <c:v>0.43120000000000003</c:v>
                </c:pt>
                <c:pt idx="13">
                  <c:v>0.36639999999999995</c:v>
                </c:pt>
                <c:pt idx="14">
                  <c:v>1.3111999999999999</c:v>
                </c:pt>
                <c:pt idx="15">
                  <c:v>0.36639999999999995</c:v>
                </c:pt>
                <c:pt idx="16">
                  <c:v>0.43120000000000003</c:v>
                </c:pt>
                <c:pt idx="17">
                  <c:v>0</c:v>
                </c:pt>
                <c:pt idx="18">
                  <c:v>0.43120000000000003</c:v>
                </c:pt>
                <c:pt idx="19">
                  <c:v>0.36639999999999995</c:v>
                </c:pt>
              </c:numCache>
            </c:numRef>
          </c:val>
        </c:ser>
        <c:ser>
          <c:idx val="1"/>
          <c:order val="2"/>
          <c:tx>
            <c:strRef>
              <c:f>'Month - June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'!$F$19:$Y$19</c:f>
              <c:numCache>
                <c:formatCode>0.0%</c:formatCode>
                <c:ptCount val="20"/>
                <c:pt idx="0">
                  <c:v>0</c:v>
                </c:pt>
                <c:pt idx="1">
                  <c:v>0.83563636363636362</c:v>
                </c:pt>
                <c:pt idx="2">
                  <c:v>0.4396363636363636</c:v>
                </c:pt>
                <c:pt idx="3">
                  <c:v>0.8383272727272727</c:v>
                </c:pt>
                <c:pt idx="4">
                  <c:v>1.6105454545454545</c:v>
                </c:pt>
                <c:pt idx="5">
                  <c:v>0.83381818181818179</c:v>
                </c:pt>
                <c:pt idx="6">
                  <c:v>1.1694545454545455</c:v>
                </c:pt>
                <c:pt idx="7">
                  <c:v>0.9658181818181818</c:v>
                </c:pt>
                <c:pt idx="8">
                  <c:v>1.6963636363636363</c:v>
                </c:pt>
                <c:pt idx="9">
                  <c:v>0.50872727272727269</c:v>
                </c:pt>
                <c:pt idx="10">
                  <c:v>0.39963636363636368</c:v>
                </c:pt>
                <c:pt idx="11">
                  <c:v>1.272</c:v>
                </c:pt>
                <c:pt idx="12">
                  <c:v>3.818909090909091</c:v>
                </c:pt>
                <c:pt idx="13">
                  <c:v>0.79927272727272725</c:v>
                </c:pt>
                <c:pt idx="14">
                  <c:v>1.5658181818181818</c:v>
                </c:pt>
                <c:pt idx="15">
                  <c:v>1.1330909090909091</c:v>
                </c:pt>
                <c:pt idx="16">
                  <c:v>1.3625454545454545</c:v>
                </c:pt>
                <c:pt idx="17">
                  <c:v>0.79927272727272725</c:v>
                </c:pt>
                <c:pt idx="18">
                  <c:v>0.70472727272727265</c:v>
                </c:pt>
                <c:pt idx="19">
                  <c:v>0.79927272727272725</c:v>
                </c:pt>
              </c:numCache>
            </c:numRef>
          </c:val>
        </c:ser>
        <c:ser>
          <c:idx val="2"/>
          <c:order val="3"/>
          <c:tx>
            <c:strRef>
              <c:f>'Month - June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'!$F$20:$Y$20</c:f>
              <c:numCache>
                <c:formatCode>0.0%</c:formatCode>
                <c:ptCount val="20"/>
                <c:pt idx="0">
                  <c:v>0</c:v>
                </c:pt>
                <c:pt idx="1">
                  <c:v>0.39784753363228698</c:v>
                </c:pt>
                <c:pt idx="2">
                  <c:v>0.62968609865470859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1.047085201793722</c:v>
                </c:pt>
                <c:pt idx="7">
                  <c:v>0.25515695067264577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0.81040358744394614</c:v>
                </c:pt>
                <c:pt idx="12">
                  <c:v>0</c:v>
                </c:pt>
                <c:pt idx="13">
                  <c:v>0.21677130044843052</c:v>
                </c:pt>
                <c:pt idx="14">
                  <c:v>0.46816143497757845</c:v>
                </c:pt>
                <c:pt idx="15">
                  <c:v>0.46816143497757845</c:v>
                </c:pt>
                <c:pt idx="16">
                  <c:v>0</c:v>
                </c:pt>
                <c:pt idx="17">
                  <c:v>0.21677130044843052</c:v>
                </c:pt>
                <c:pt idx="18">
                  <c:v>0.39784753363228698</c:v>
                </c:pt>
                <c:pt idx="19">
                  <c:v>0.68116591928251125</c:v>
                </c:pt>
              </c:numCache>
            </c:numRef>
          </c:val>
        </c:ser>
        <c:ser>
          <c:idx val="3"/>
          <c:order val="4"/>
          <c:tx>
            <c:strRef>
              <c:f>'Month - June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'!$F$22:$Y$22</c:f>
              <c:numCache>
                <c:formatCode>0.0%</c:formatCode>
                <c:ptCount val="20"/>
                <c:pt idx="0">
                  <c:v>0</c:v>
                </c:pt>
                <c:pt idx="1">
                  <c:v>0.50177033492822964</c:v>
                </c:pt>
                <c:pt idx="2">
                  <c:v>1.1437320574162679</c:v>
                </c:pt>
                <c:pt idx="3">
                  <c:v>0.56449760765550239</c:v>
                </c:pt>
                <c:pt idx="4">
                  <c:v>0.61071770334928233</c:v>
                </c:pt>
                <c:pt idx="5">
                  <c:v>0.62861244019138751</c:v>
                </c:pt>
                <c:pt idx="6">
                  <c:v>0.66234449760765557</c:v>
                </c:pt>
                <c:pt idx="7">
                  <c:v>0.51660287081339717</c:v>
                </c:pt>
                <c:pt idx="8">
                  <c:v>0.60827751196172253</c:v>
                </c:pt>
                <c:pt idx="9">
                  <c:v>0.81684210526315792</c:v>
                </c:pt>
                <c:pt idx="10">
                  <c:v>0.58794258373205743</c:v>
                </c:pt>
                <c:pt idx="11">
                  <c:v>0.57674641148325356</c:v>
                </c:pt>
                <c:pt idx="12">
                  <c:v>0.39234449760765555</c:v>
                </c:pt>
                <c:pt idx="13">
                  <c:v>0</c:v>
                </c:pt>
                <c:pt idx="14">
                  <c:v>0.73717703349282293</c:v>
                </c:pt>
                <c:pt idx="15">
                  <c:v>1.3137799043062202</c:v>
                </c:pt>
                <c:pt idx="16">
                  <c:v>0.33521531100478474</c:v>
                </c:pt>
                <c:pt idx="17">
                  <c:v>0.40401913875598083</c:v>
                </c:pt>
                <c:pt idx="18">
                  <c:v>0.20272727272727276</c:v>
                </c:pt>
                <c:pt idx="19">
                  <c:v>1.5387559808612439</c:v>
                </c:pt>
              </c:numCache>
            </c:numRef>
          </c:val>
        </c:ser>
        <c:ser>
          <c:idx val="5"/>
          <c:order val="5"/>
          <c:tx>
            <c:strRef>
              <c:f>'Month - June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0.96</c:v>
                </c:pt>
                <c:pt idx="12">
                  <c:v>0</c:v>
                </c:pt>
                <c:pt idx="13">
                  <c:v>0.47919999999999996</c:v>
                </c:pt>
                <c:pt idx="14">
                  <c:v>0</c:v>
                </c:pt>
                <c:pt idx="15">
                  <c:v>0.97775999999999996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June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'!$F$23:$Y$23</c:f>
              <c:numCache>
                <c:formatCode>0.0%</c:formatCode>
                <c:ptCount val="20"/>
                <c:pt idx="0">
                  <c:v>0.15067264573991035</c:v>
                </c:pt>
                <c:pt idx="1">
                  <c:v>0.45215887251761688</c:v>
                </c:pt>
                <c:pt idx="2">
                  <c:v>0.60954516335682252</c:v>
                </c:pt>
                <c:pt idx="3">
                  <c:v>0.55048046124279315</c:v>
                </c:pt>
                <c:pt idx="4">
                  <c:v>0.6410506085842409</c:v>
                </c:pt>
                <c:pt idx="5">
                  <c:v>0.5619859064702114</c:v>
                </c:pt>
                <c:pt idx="6">
                  <c:v>0.93966688020499678</c:v>
                </c:pt>
                <c:pt idx="7">
                  <c:v>0.45495195387572074</c:v>
                </c:pt>
                <c:pt idx="8">
                  <c:v>0.68475336322869951</c:v>
                </c:pt>
                <c:pt idx="9">
                  <c:v>0.62907110826393331</c:v>
                </c:pt>
                <c:pt idx="10">
                  <c:v>0.22784112748238305</c:v>
                </c:pt>
                <c:pt idx="11">
                  <c:v>0.9620371556694427</c:v>
                </c:pt>
                <c:pt idx="12">
                  <c:v>1.0918129404228059</c:v>
                </c:pt>
                <c:pt idx="13">
                  <c:v>0.35076233183856498</c:v>
                </c:pt>
                <c:pt idx="14">
                  <c:v>0.88363869314541965</c:v>
                </c:pt>
                <c:pt idx="15">
                  <c:v>0.87588725176169124</c:v>
                </c:pt>
                <c:pt idx="16">
                  <c:v>0.66425368353619474</c:v>
                </c:pt>
                <c:pt idx="17">
                  <c:v>0.43418321588725173</c:v>
                </c:pt>
                <c:pt idx="18">
                  <c:v>0.49224855861627159</c:v>
                </c:pt>
                <c:pt idx="19">
                  <c:v>1.0686483023702755</c:v>
                </c:pt>
              </c:numCache>
            </c:numRef>
          </c:val>
        </c:ser>
        <c:gapWidth val="75"/>
        <c:axId val="134750976"/>
        <c:axId val="134752512"/>
      </c:barChart>
      <c:catAx>
        <c:axId val="1347509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752512"/>
        <c:crosses val="autoZero"/>
        <c:auto val="1"/>
        <c:lblAlgn val="ctr"/>
        <c:lblOffset val="100"/>
      </c:catAx>
      <c:valAx>
        <c:axId val="1347525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4750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June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'!$F$38:$Y$38</c:f>
              <c:numCache>
                <c:formatCode>0.0%</c:formatCode>
                <c:ptCount val="20"/>
                <c:pt idx="0">
                  <c:v>0.59544303797468356</c:v>
                </c:pt>
                <c:pt idx="1">
                  <c:v>0.44658227848101267</c:v>
                </c:pt>
                <c:pt idx="2">
                  <c:v>0.35198312236286922</c:v>
                </c:pt>
                <c:pt idx="3">
                  <c:v>0.38607594936708861</c:v>
                </c:pt>
                <c:pt idx="4">
                  <c:v>0.3739746835443038</c:v>
                </c:pt>
                <c:pt idx="5">
                  <c:v>0.33472573839662445</c:v>
                </c:pt>
                <c:pt idx="6">
                  <c:v>0.49673056057866183</c:v>
                </c:pt>
                <c:pt idx="7">
                  <c:v>0.48898734177215192</c:v>
                </c:pt>
                <c:pt idx="8">
                  <c:v>0.45275386779184246</c:v>
                </c:pt>
                <c:pt idx="9">
                  <c:v>0.48515949367088607</c:v>
                </c:pt>
                <c:pt idx="10">
                  <c:v>0.44105408515535099</c:v>
                </c:pt>
                <c:pt idx="11">
                  <c:v>0.49091139240506332</c:v>
                </c:pt>
                <c:pt idx="12">
                  <c:v>0.53809931840311587</c:v>
                </c:pt>
                <c:pt idx="13">
                  <c:v>0.53107414104882467</c:v>
                </c:pt>
                <c:pt idx="14">
                  <c:v>0.55850801687763707</c:v>
                </c:pt>
                <c:pt idx="15">
                  <c:v>0.56063924050632907</c:v>
                </c:pt>
                <c:pt idx="16">
                  <c:v>0.59738198064035752</c:v>
                </c:pt>
                <c:pt idx="17">
                  <c:v>0.59805344585091413</c:v>
                </c:pt>
                <c:pt idx="18">
                  <c:v>0.59015323117921381</c:v>
                </c:pt>
                <c:pt idx="19">
                  <c:v>0.6717139240506329</c:v>
                </c:pt>
              </c:numCache>
            </c:numRef>
          </c:val>
        </c:ser>
        <c:ser>
          <c:idx val="6"/>
          <c:order val="1"/>
          <c:tx>
            <c:strRef>
              <c:f>'Month - June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0.2392</c:v>
                </c:pt>
                <c:pt idx="2">
                  <c:v>0.55359999999999998</c:v>
                </c:pt>
                <c:pt idx="3">
                  <c:v>1.4822</c:v>
                </c:pt>
                <c:pt idx="4">
                  <c:v>1.3344</c:v>
                </c:pt>
                <c:pt idx="5">
                  <c:v>1.6338666666666666</c:v>
                </c:pt>
                <c:pt idx="6">
                  <c:v>1.4004571428571431</c:v>
                </c:pt>
                <c:pt idx="7">
                  <c:v>1.2254</c:v>
                </c:pt>
                <c:pt idx="8">
                  <c:v>1.3415111111111113</c:v>
                </c:pt>
                <c:pt idx="9">
                  <c:v>1.3624000000000001</c:v>
                </c:pt>
                <c:pt idx="10">
                  <c:v>1.2385454545454546</c:v>
                </c:pt>
                <c:pt idx="11">
                  <c:v>1.2684</c:v>
                </c:pt>
                <c:pt idx="12">
                  <c:v>1.204</c:v>
                </c:pt>
                <c:pt idx="13">
                  <c:v>1.1441714285714286</c:v>
                </c:pt>
                <c:pt idx="14">
                  <c:v>1.1553066666666667</c:v>
                </c:pt>
                <c:pt idx="15">
                  <c:v>1.1060000000000001</c:v>
                </c:pt>
                <c:pt idx="16">
                  <c:v>1.0663058823529412</c:v>
                </c:pt>
                <c:pt idx="17">
                  <c:v>1.0070666666666668</c:v>
                </c:pt>
                <c:pt idx="18">
                  <c:v>0.97675789473684216</c:v>
                </c:pt>
                <c:pt idx="19">
                  <c:v>1.0261199999999999</c:v>
                </c:pt>
              </c:numCache>
            </c:numRef>
          </c:val>
        </c:ser>
        <c:ser>
          <c:idx val="1"/>
          <c:order val="2"/>
          <c:tx>
            <c:strRef>
              <c:f>'Month - June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'!$F$40:$Y$40</c:f>
              <c:numCache>
                <c:formatCode>0.0%</c:formatCode>
                <c:ptCount val="20"/>
                <c:pt idx="0">
                  <c:v>3.4185454545454546</c:v>
                </c:pt>
                <c:pt idx="1">
                  <c:v>2.0181818181818181</c:v>
                </c:pt>
                <c:pt idx="2">
                  <c:v>1.492</c:v>
                </c:pt>
                <c:pt idx="3">
                  <c:v>1.3285818181818181</c:v>
                </c:pt>
                <c:pt idx="4">
                  <c:v>1.3849745454545455</c:v>
                </c:pt>
                <c:pt idx="5">
                  <c:v>1.236509090909091</c:v>
                </c:pt>
                <c:pt idx="6">
                  <c:v>1.1654753246753247</c:v>
                </c:pt>
                <c:pt idx="7">
                  <c:v>1.1636545454545455</c:v>
                </c:pt>
                <c:pt idx="8">
                  <c:v>1.1986424242424241</c:v>
                </c:pt>
                <c:pt idx="9">
                  <c:v>1.0787781818181819</c:v>
                </c:pt>
                <c:pt idx="10">
                  <c:v>1.0170380165289257</c:v>
                </c:pt>
                <c:pt idx="11">
                  <c:v>1.0473757575757574</c:v>
                </c:pt>
                <c:pt idx="12">
                  <c:v>1.2605706293706294</c:v>
                </c:pt>
                <c:pt idx="13">
                  <c:v>1.2276207792207792</c:v>
                </c:pt>
                <c:pt idx="14">
                  <c:v>1.2356460606060606</c:v>
                </c:pt>
                <c:pt idx="15">
                  <c:v>1.24285</c:v>
                </c:pt>
                <c:pt idx="16">
                  <c:v>1.2317304812834227</c:v>
                </c:pt>
                <c:pt idx="17">
                  <c:v>1.1855030303030303</c:v>
                </c:pt>
                <c:pt idx="18">
                  <c:v>1.1491177033492823</c:v>
                </c:pt>
                <c:pt idx="19">
                  <c:v>1.1486072727272727</c:v>
                </c:pt>
              </c:numCache>
            </c:numRef>
          </c:val>
        </c:ser>
        <c:ser>
          <c:idx val="2"/>
          <c:order val="3"/>
          <c:tx>
            <c:strRef>
              <c:f>'Month - June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'!$F$41:$Y$41</c:f>
              <c:numCache>
                <c:formatCode>0.0%</c:formatCode>
                <c:ptCount val="20"/>
                <c:pt idx="0">
                  <c:v>0.49282511210762331</c:v>
                </c:pt>
                <c:pt idx="1">
                  <c:v>0.43300448430493271</c:v>
                </c:pt>
                <c:pt idx="2">
                  <c:v>0.49859491778774284</c:v>
                </c:pt>
                <c:pt idx="3">
                  <c:v>0.37394618834080717</c:v>
                </c:pt>
                <c:pt idx="4">
                  <c:v>0.29915695067264575</c:v>
                </c:pt>
                <c:pt idx="5">
                  <c:v>0.24929745889387142</c:v>
                </c:pt>
                <c:pt idx="6">
                  <c:v>0.36326713645099296</c:v>
                </c:pt>
                <c:pt idx="7">
                  <c:v>0.34975336322869954</c:v>
                </c:pt>
                <c:pt idx="8">
                  <c:v>0.31089187842551069</c:v>
                </c:pt>
                <c:pt idx="9">
                  <c:v>0.27980269058295965</c:v>
                </c:pt>
                <c:pt idx="10">
                  <c:v>0.25436608234814512</c:v>
                </c:pt>
                <c:pt idx="11">
                  <c:v>0.30071001494768307</c:v>
                </c:pt>
                <c:pt idx="12">
                  <c:v>0.27757847533632285</c:v>
                </c:pt>
                <c:pt idx="13">
                  <c:v>0.25775144138372841</c:v>
                </c:pt>
                <c:pt idx="14">
                  <c:v>0.2405680119581465</c:v>
                </c:pt>
                <c:pt idx="15">
                  <c:v>0.25479260089686101</c:v>
                </c:pt>
                <c:pt idx="16">
                  <c:v>0.26734370878396202</c:v>
                </c:pt>
                <c:pt idx="17">
                  <c:v>0.25249128051818637</c:v>
                </c:pt>
                <c:pt idx="18">
                  <c:v>0.25061600188812838</c:v>
                </c:pt>
                <c:pt idx="19">
                  <c:v>0.25798206278026908</c:v>
                </c:pt>
              </c:numCache>
            </c:numRef>
          </c:val>
        </c:ser>
        <c:ser>
          <c:idx val="5"/>
          <c:order val="4"/>
          <c:tx>
            <c:strRef>
              <c:f>'Month - June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7.1748878923766815E-2</c:v>
                </c:pt>
                <c:pt idx="5">
                  <c:v>5.9790732436472344E-2</c:v>
                </c:pt>
                <c:pt idx="6">
                  <c:v>5.1249199231262012E-2</c:v>
                </c:pt>
                <c:pt idx="7">
                  <c:v>4.4843049327354258E-2</c:v>
                </c:pt>
                <c:pt idx="8">
                  <c:v>3.9860488290981565E-2</c:v>
                </c:pt>
                <c:pt idx="9">
                  <c:v>3.5874439461883408E-2</c:v>
                </c:pt>
                <c:pt idx="10">
                  <c:v>3.2613126783530365E-2</c:v>
                </c:pt>
                <c:pt idx="11">
                  <c:v>7.4738415545590436E-2</c:v>
                </c:pt>
                <c:pt idx="12">
                  <c:v>6.8989306657468108E-2</c:v>
                </c:pt>
                <c:pt idx="13">
                  <c:v>8.3247918001281229E-2</c:v>
                </c:pt>
                <c:pt idx="14">
                  <c:v>7.7698056801195819E-2</c:v>
                </c:pt>
                <c:pt idx="15">
                  <c:v>0.10709641255605382</c:v>
                </c:pt>
                <c:pt idx="16">
                  <c:v>0.1007966235821683</c:v>
                </c:pt>
                <c:pt idx="17">
                  <c:v>9.5196811160936715E-2</c:v>
                </c:pt>
                <c:pt idx="18">
                  <c:v>9.0186452678782156E-2</c:v>
                </c:pt>
                <c:pt idx="19">
                  <c:v>8.567713004484305E-2</c:v>
                </c:pt>
              </c:numCache>
            </c:numRef>
          </c:val>
        </c:ser>
        <c:ser>
          <c:idx val="3"/>
          <c:order val="5"/>
          <c:tx>
            <c:strRef>
              <c:f>'Month - June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'!$F$43:$Y$43</c:f>
              <c:numCache>
                <c:formatCode>0.0%</c:formatCode>
                <c:ptCount val="20"/>
                <c:pt idx="0">
                  <c:v>0</c:v>
                </c:pt>
                <c:pt idx="1">
                  <c:v>0.10136363636363636</c:v>
                </c:pt>
                <c:pt idx="2">
                  <c:v>0.40127591706539073</c:v>
                </c:pt>
                <c:pt idx="3">
                  <c:v>0.47775119617224882</c:v>
                </c:pt>
                <c:pt idx="4">
                  <c:v>0.50156937799043066</c:v>
                </c:pt>
                <c:pt idx="5">
                  <c:v>0.52311004784688997</c:v>
                </c:pt>
                <c:pt idx="6">
                  <c:v>0.54300068352699937</c:v>
                </c:pt>
                <c:pt idx="7">
                  <c:v>0.53970693779904311</c:v>
                </c:pt>
                <c:pt idx="8">
                  <c:v>0.52479532163742693</c:v>
                </c:pt>
                <c:pt idx="9">
                  <c:v>0.53687559808612439</c:v>
                </c:pt>
                <c:pt idx="10">
                  <c:v>0.54151805132666375</c:v>
                </c:pt>
                <c:pt idx="11">
                  <c:v>0.54445374800637958</c:v>
                </c:pt>
                <c:pt idx="12">
                  <c:v>0.53275303643724692</c:v>
                </c:pt>
                <c:pt idx="13">
                  <c:v>0.49469924812030081</c:v>
                </c:pt>
                <c:pt idx="14">
                  <c:v>0.48383094098883572</c:v>
                </c:pt>
                <c:pt idx="15">
                  <c:v>0.52303229665071771</c:v>
                </c:pt>
                <c:pt idx="16">
                  <c:v>0.51197579510273017</c:v>
                </c:pt>
                <c:pt idx="17">
                  <c:v>0.5059782030834663</c:v>
                </c:pt>
                <c:pt idx="18">
                  <c:v>0.49002014605892719</c:v>
                </c:pt>
                <c:pt idx="19">
                  <c:v>0.51662679425837321</c:v>
                </c:pt>
              </c:numCache>
            </c:numRef>
          </c:val>
        </c:ser>
        <c:ser>
          <c:idx val="4"/>
          <c:order val="6"/>
          <c:tx>
            <c:strRef>
              <c:f>'Month - June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June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2011 '!$F$44:$Y$44</c:f>
              <c:numCache>
                <c:formatCode>0.0%</c:formatCode>
                <c:ptCount val="20"/>
                <c:pt idx="0">
                  <c:v>0.82331838565022419</c:v>
                </c:pt>
                <c:pt idx="1">
                  <c:v>0.57670083279948747</c:v>
                </c:pt>
                <c:pt idx="2">
                  <c:v>0.5749220585095024</c:v>
                </c:pt>
                <c:pt idx="3">
                  <c:v>0.63179051889814219</c:v>
                </c:pt>
                <c:pt idx="4">
                  <c:v>0.63277130044843044</c:v>
                </c:pt>
                <c:pt idx="5">
                  <c:v>0.61760196455263727</c:v>
                </c:pt>
                <c:pt idx="6">
                  <c:v>0.64777889631188812</c:v>
                </c:pt>
                <c:pt idx="7">
                  <c:v>0.62775304292120437</c:v>
                </c:pt>
                <c:pt idx="8">
                  <c:v>0.62378959356537833</c:v>
                </c:pt>
                <c:pt idx="9">
                  <c:v>0.61077001921844976</c:v>
                </c:pt>
                <c:pt idx="10">
                  <c:v>0.5759583017878982</c:v>
                </c:pt>
                <c:pt idx="11">
                  <c:v>0.6097341447789878</c:v>
                </c:pt>
                <c:pt idx="12">
                  <c:v>0.64681712905928146</c:v>
                </c:pt>
                <c:pt idx="13">
                  <c:v>0.62345840578383827</c:v>
                </c:pt>
                <c:pt idx="14">
                  <c:v>0.62654793935511421</c:v>
                </c:pt>
                <c:pt idx="15">
                  <c:v>0.64113709160794363</c:v>
                </c:pt>
                <c:pt idx="16">
                  <c:v>0.64322945321626401</c:v>
                </c:pt>
                <c:pt idx="17">
                  <c:v>0.62598405580468353</c:v>
                </c:pt>
                <c:pt idx="18">
                  <c:v>0.60989109545163356</c:v>
                </c:pt>
                <c:pt idx="19">
                  <c:v>0.64192504804612427</c:v>
                </c:pt>
              </c:numCache>
            </c:numRef>
          </c:val>
        </c:ser>
        <c:marker val="1"/>
        <c:axId val="134801664"/>
        <c:axId val="134950912"/>
      </c:lineChart>
      <c:catAx>
        <c:axId val="134801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950912"/>
        <c:crosses val="autoZero"/>
        <c:auto val="1"/>
        <c:lblAlgn val="ctr"/>
        <c:lblOffset val="100"/>
      </c:catAx>
      <c:valAx>
        <c:axId val="13495091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480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July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'!$F$48:$Y$48</c:f>
              <c:numCache>
                <c:formatCode>0</c:formatCode>
                <c:ptCount val="20"/>
                <c:pt idx="0">
                  <c:v>287340</c:v>
                </c:pt>
                <c:pt idx="1">
                  <c:v>404330</c:v>
                </c:pt>
                <c:pt idx="2">
                  <c:v>388813.33333333337</c:v>
                </c:pt>
                <c:pt idx="3">
                  <c:v>306585</c:v>
                </c:pt>
                <c:pt idx="4">
                  <c:v>287028</c:v>
                </c:pt>
                <c:pt idx="5">
                  <c:v>249823.33333333331</c:v>
                </c:pt>
                <c:pt idx="6">
                  <c:v>214134.28571428574</c:v>
                </c:pt>
                <c:pt idx="7">
                  <c:v>203392.5</c:v>
                </c:pt>
                <c:pt idx="8">
                  <c:v>208104.44444444444</c:v>
                </c:pt>
                <c:pt idx="9">
                  <c:v>221804</c:v>
                </c:pt>
                <c:pt idx="10">
                  <c:v>212349.09090909091</c:v>
                </c:pt>
                <c:pt idx="11">
                  <c:v>187070</c:v>
                </c:pt>
                <c:pt idx="12">
                  <c:v>208926.15384615381</c:v>
                </c:pt>
                <c:pt idx="13">
                  <c:v>220012.85714285713</c:v>
                </c:pt>
                <c:pt idx="14">
                  <c:v>221472</c:v>
                </c:pt>
                <c:pt idx="15">
                  <c:v>211642.5</c:v>
                </c:pt>
                <c:pt idx="16">
                  <c:v>249734.1176470588</c:v>
                </c:pt>
                <c:pt idx="17">
                  <c:v>248948.88888888891</c:v>
                </c:pt>
                <c:pt idx="18">
                  <c:v>244204.21052631579</c:v>
                </c:pt>
                <c:pt idx="19">
                  <c:v>252049</c:v>
                </c:pt>
              </c:numCache>
            </c:numRef>
          </c:val>
        </c:ser>
        <c:ser>
          <c:idx val="6"/>
          <c:order val="1"/>
          <c:tx>
            <c:strRef>
              <c:f>'Month - July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'!$F$49:$Y$49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97166.666666666657</c:v>
                </c:pt>
                <c:pt idx="3">
                  <c:v>86350</c:v>
                </c:pt>
                <c:pt idx="4">
                  <c:v>69080</c:v>
                </c:pt>
                <c:pt idx="5">
                  <c:v>57566.666666666672</c:v>
                </c:pt>
                <c:pt idx="6">
                  <c:v>49342.857142857145</c:v>
                </c:pt>
                <c:pt idx="7">
                  <c:v>67400</c:v>
                </c:pt>
                <c:pt idx="8">
                  <c:v>59911.111111111109</c:v>
                </c:pt>
                <c:pt idx="9">
                  <c:v>87290</c:v>
                </c:pt>
                <c:pt idx="10">
                  <c:v>93127.272727272721</c:v>
                </c:pt>
                <c:pt idx="11">
                  <c:v>111983.33333333334</c:v>
                </c:pt>
                <c:pt idx="12">
                  <c:v>129153.84615384616</c:v>
                </c:pt>
                <c:pt idx="13">
                  <c:v>156235.71428571429</c:v>
                </c:pt>
                <c:pt idx="14">
                  <c:v>164473.33333333331</c:v>
                </c:pt>
                <c:pt idx="15">
                  <c:v>154193.75</c:v>
                </c:pt>
                <c:pt idx="16">
                  <c:v>158994.11764705883</c:v>
                </c:pt>
                <c:pt idx="17">
                  <c:v>153155.55555555556</c:v>
                </c:pt>
                <c:pt idx="18">
                  <c:v>157089.47368421053</c:v>
                </c:pt>
                <c:pt idx="19">
                  <c:v>152230</c:v>
                </c:pt>
              </c:numCache>
            </c:numRef>
          </c:val>
        </c:ser>
        <c:ser>
          <c:idx val="1"/>
          <c:order val="2"/>
          <c:tx>
            <c:strRef>
              <c:f>'Month - July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'!$F$50:$Y$50</c:f>
              <c:numCache>
                <c:formatCode>0</c:formatCode>
                <c:ptCount val="20"/>
                <c:pt idx="0">
                  <c:v>0</c:v>
                </c:pt>
                <c:pt idx="1">
                  <c:v>312700</c:v>
                </c:pt>
                <c:pt idx="2">
                  <c:v>241733.33333333331</c:v>
                </c:pt>
                <c:pt idx="3">
                  <c:v>245175</c:v>
                </c:pt>
                <c:pt idx="4">
                  <c:v>244100</c:v>
                </c:pt>
                <c:pt idx="5">
                  <c:v>203416.66666666669</c:v>
                </c:pt>
                <c:pt idx="6">
                  <c:v>213028.57142857142</c:v>
                </c:pt>
                <c:pt idx="7">
                  <c:v>209500</c:v>
                </c:pt>
                <c:pt idx="8">
                  <c:v>189944.44444444444</c:v>
                </c:pt>
                <c:pt idx="9">
                  <c:v>175530</c:v>
                </c:pt>
                <c:pt idx="10">
                  <c:v>162300</c:v>
                </c:pt>
                <c:pt idx="11">
                  <c:v>175750</c:v>
                </c:pt>
                <c:pt idx="12">
                  <c:v>162230.76923076925</c:v>
                </c:pt>
                <c:pt idx="13">
                  <c:v>170614.28571428574</c:v>
                </c:pt>
                <c:pt idx="14">
                  <c:v>189273.33333333331</c:v>
                </c:pt>
                <c:pt idx="15">
                  <c:v>226037.5</c:v>
                </c:pt>
                <c:pt idx="16">
                  <c:v>231600</c:v>
                </c:pt>
                <c:pt idx="17">
                  <c:v>218733.33333333331</c:v>
                </c:pt>
                <c:pt idx="18">
                  <c:v>227652.63157894736</c:v>
                </c:pt>
                <c:pt idx="19">
                  <c:v>226435</c:v>
                </c:pt>
              </c:numCache>
            </c:numRef>
          </c:val>
        </c:ser>
        <c:ser>
          <c:idx val="2"/>
          <c:order val="3"/>
          <c:tx>
            <c:strRef>
              <c:f>'Month - July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'!$F$51:$Y$51</c:f>
              <c:numCache>
                <c:formatCode>0</c:formatCode>
                <c:ptCount val="20"/>
                <c:pt idx="0">
                  <c:v>0</c:v>
                </c:pt>
                <c:pt idx="1">
                  <c:v>205670</c:v>
                </c:pt>
                <c:pt idx="2">
                  <c:v>137113.33333333334</c:v>
                </c:pt>
                <c:pt idx="3">
                  <c:v>114925</c:v>
                </c:pt>
                <c:pt idx="4">
                  <c:v>91940</c:v>
                </c:pt>
                <c:pt idx="5">
                  <c:v>76616.666666666672</c:v>
                </c:pt>
                <c:pt idx="6">
                  <c:v>65671.428571428565</c:v>
                </c:pt>
                <c:pt idx="7">
                  <c:v>57462.5</c:v>
                </c:pt>
                <c:pt idx="8">
                  <c:v>56451.111111111109</c:v>
                </c:pt>
                <c:pt idx="9">
                  <c:v>62186</c:v>
                </c:pt>
                <c:pt idx="10">
                  <c:v>56532.727272727272</c:v>
                </c:pt>
                <c:pt idx="11">
                  <c:v>51821.666666666672</c:v>
                </c:pt>
                <c:pt idx="12">
                  <c:v>52212.307692307695</c:v>
                </c:pt>
                <c:pt idx="13">
                  <c:v>56612.857142857145</c:v>
                </c:pt>
                <c:pt idx="14">
                  <c:v>62396</c:v>
                </c:pt>
                <c:pt idx="15">
                  <c:v>58496.25</c:v>
                </c:pt>
                <c:pt idx="16">
                  <c:v>60358.823529411762</c:v>
                </c:pt>
                <c:pt idx="17">
                  <c:v>59691.111111111109</c:v>
                </c:pt>
                <c:pt idx="18">
                  <c:v>59545.263157894733</c:v>
                </c:pt>
                <c:pt idx="19">
                  <c:v>63204</c:v>
                </c:pt>
              </c:numCache>
            </c:numRef>
          </c:val>
        </c:ser>
        <c:ser>
          <c:idx val="3"/>
          <c:order val="4"/>
          <c:tx>
            <c:strRef>
              <c:f>'Month - July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'!$F$52:$Y$52</c:f>
              <c:numCache>
                <c:formatCode>0</c:formatCode>
                <c:ptCount val="20"/>
                <c:pt idx="0">
                  <c:v>0</c:v>
                </c:pt>
                <c:pt idx="1">
                  <c:v>26950</c:v>
                </c:pt>
                <c:pt idx="2">
                  <c:v>17966.666666666668</c:v>
                </c:pt>
                <c:pt idx="3">
                  <c:v>13475</c:v>
                </c:pt>
                <c:pt idx="4">
                  <c:v>10780</c:v>
                </c:pt>
                <c:pt idx="5">
                  <c:v>8983.3333333333339</c:v>
                </c:pt>
                <c:pt idx="6">
                  <c:v>26748.571428571428</c:v>
                </c:pt>
                <c:pt idx="7">
                  <c:v>23405</c:v>
                </c:pt>
                <c:pt idx="8">
                  <c:v>38571.111111111109</c:v>
                </c:pt>
                <c:pt idx="9">
                  <c:v>34714</c:v>
                </c:pt>
                <c:pt idx="10">
                  <c:v>31558.18181818182</c:v>
                </c:pt>
                <c:pt idx="11">
                  <c:v>28928.333333333336</c:v>
                </c:pt>
                <c:pt idx="12">
                  <c:v>37004.615384615383</c:v>
                </c:pt>
                <c:pt idx="13">
                  <c:v>34361.428571428572</c:v>
                </c:pt>
                <c:pt idx="14">
                  <c:v>32070.666666666664</c:v>
                </c:pt>
                <c:pt idx="15">
                  <c:v>30066.25</c:v>
                </c:pt>
                <c:pt idx="16">
                  <c:v>28297.647058823532</c:v>
                </c:pt>
                <c:pt idx="17">
                  <c:v>26725.555555555555</c:v>
                </c:pt>
                <c:pt idx="18">
                  <c:v>25318.947368421053</c:v>
                </c:pt>
                <c:pt idx="19">
                  <c:v>25181</c:v>
                </c:pt>
              </c:numCache>
            </c:numRef>
          </c:val>
        </c:ser>
        <c:ser>
          <c:idx val="4"/>
          <c:order val="5"/>
          <c:tx>
            <c:strRef>
              <c:f>'Month - July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'!$F$53:$Y$53</c:f>
              <c:numCache>
                <c:formatCode>0</c:formatCode>
                <c:ptCount val="20"/>
                <c:pt idx="0">
                  <c:v>512940</c:v>
                </c:pt>
                <c:pt idx="1">
                  <c:v>426150</c:v>
                </c:pt>
                <c:pt idx="2">
                  <c:v>363166.66666666663</c:v>
                </c:pt>
                <c:pt idx="3">
                  <c:v>321850</c:v>
                </c:pt>
                <c:pt idx="4">
                  <c:v>300092</c:v>
                </c:pt>
                <c:pt idx="5">
                  <c:v>292343.33333333331</c:v>
                </c:pt>
                <c:pt idx="6">
                  <c:v>288108.57142857142</c:v>
                </c:pt>
                <c:pt idx="7">
                  <c:v>267125</c:v>
                </c:pt>
                <c:pt idx="8">
                  <c:v>249008.88888888891</c:v>
                </c:pt>
                <c:pt idx="9">
                  <c:v>228408</c:v>
                </c:pt>
                <c:pt idx="10">
                  <c:v>213607.27272727271</c:v>
                </c:pt>
                <c:pt idx="11">
                  <c:v>203360</c:v>
                </c:pt>
                <c:pt idx="12">
                  <c:v>203941.53846153847</c:v>
                </c:pt>
                <c:pt idx="13">
                  <c:v>192554.28571428574</c:v>
                </c:pt>
                <c:pt idx="14">
                  <c:v>182646.66666666669</c:v>
                </c:pt>
                <c:pt idx="15">
                  <c:v>178513.75</c:v>
                </c:pt>
                <c:pt idx="16">
                  <c:v>185100</c:v>
                </c:pt>
                <c:pt idx="17">
                  <c:v>188373.33333333331</c:v>
                </c:pt>
                <c:pt idx="18">
                  <c:v>174536.84210526317</c:v>
                </c:pt>
                <c:pt idx="19">
                  <c:v>167416</c:v>
                </c:pt>
              </c:numCache>
            </c:numRef>
          </c:val>
        </c:ser>
        <c:ser>
          <c:idx val="5"/>
          <c:order val="6"/>
          <c:tx>
            <c:strRef>
              <c:f>'Month - July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July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'!$F$54:$Y$54</c:f>
              <c:numCache>
                <c:formatCode>0</c:formatCode>
                <c:ptCount val="20"/>
                <c:pt idx="0">
                  <c:v>800280</c:v>
                </c:pt>
                <c:pt idx="1">
                  <c:v>1375800</c:v>
                </c:pt>
                <c:pt idx="2">
                  <c:v>1245960</c:v>
                </c:pt>
                <c:pt idx="3">
                  <c:v>1088360</c:v>
                </c:pt>
                <c:pt idx="4">
                  <c:v>1003020</c:v>
                </c:pt>
                <c:pt idx="5">
                  <c:v>888750</c:v>
                </c:pt>
                <c:pt idx="6">
                  <c:v>857034.28571428568</c:v>
                </c:pt>
                <c:pt idx="7">
                  <c:v>828285</c:v>
                </c:pt>
                <c:pt idx="8">
                  <c:v>801991.11111111112</c:v>
                </c:pt>
                <c:pt idx="9">
                  <c:v>809932</c:v>
                </c:pt>
                <c:pt idx="10">
                  <c:v>769474.54545454541</c:v>
                </c:pt>
                <c:pt idx="11">
                  <c:v>758913.33333333337</c:v>
                </c:pt>
                <c:pt idx="12">
                  <c:v>793469.23076923087</c:v>
                </c:pt>
                <c:pt idx="13">
                  <c:v>830391.42857142864</c:v>
                </c:pt>
                <c:pt idx="14">
                  <c:v>852332</c:v>
                </c:pt>
                <c:pt idx="15">
                  <c:v>858950</c:v>
                </c:pt>
                <c:pt idx="16">
                  <c:v>914084.70588235289</c:v>
                </c:pt>
                <c:pt idx="17">
                  <c:v>895627.77777777775</c:v>
                </c:pt>
                <c:pt idx="18">
                  <c:v>888347.36842105258</c:v>
                </c:pt>
                <c:pt idx="19">
                  <c:v>886515</c:v>
                </c:pt>
              </c:numCache>
            </c:numRef>
          </c:val>
        </c:ser>
        <c:marker val="1"/>
        <c:axId val="135021312"/>
        <c:axId val="135022848"/>
      </c:lineChart>
      <c:catAx>
        <c:axId val="1350213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022848"/>
        <c:crosses val="autoZero"/>
        <c:auto val="1"/>
        <c:lblAlgn val="ctr"/>
        <c:lblOffset val="100"/>
      </c:catAx>
      <c:valAx>
        <c:axId val="135022848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02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July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'!$F$17:$Y$17</c:f>
              <c:numCache>
                <c:formatCode>0.0%</c:formatCode>
                <c:ptCount val="20"/>
                <c:pt idx="0">
                  <c:v>1.3751384615384614</c:v>
                </c:pt>
                <c:pt idx="1">
                  <c:v>1.6040615384615384</c:v>
                </c:pt>
                <c:pt idx="2">
                  <c:v>1.1008615384615386</c:v>
                </c:pt>
                <c:pt idx="3">
                  <c:v>0.18430769230769228</c:v>
                </c:pt>
                <c:pt idx="4">
                  <c:v>0.64246153846153842</c:v>
                </c:pt>
                <c:pt idx="5">
                  <c:v>0.19630769230769229</c:v>
                </c:pt>
                <c:pt idx="6">
                  <c:v>0</c:v>
                </c:pt>
                <c:pt idx="7">
                  <c:v>0.39446153846153842</c:v>
                </c:pt>
                <c:pt idx="8">
                  <c:v>0.75630769230769235</c:v>
                </c:pt>
                <c:pt idx="9">
                  <c:v>1.0618461538461539</c:v>
                </c:pt>
                <c:pt idx="10">
                  <c:v>0.3624615384615385</c:v>
                </c:pt>
                <c:pt idx="11">
                  <c:v>0.19753846153846155</c:v>
                </c:pt>
                <c:pt idx="12">
                  <c:v>1.2523076923076923</c:v>
                </c:pt>
                <c:pt idx="13">
                  <c:v>1.1204307692307691</c:v>
                </c:pt>
                <c:pt idx="14">
                  <c:v>0.74430769230769234</c:v>
                </c:pt>
                <c:pt idx="15">
                  <c:v>0.72</c:v>
                </c:pt>
                <c:pt idx="16">
                  <c:v>2.488923076923077</c:v>
                </c:pt>
                <c:pt idx="17">
                  <c:v>0.3624615384615385</c:v>
                </c:pt>
                <c:pt idx="18">
                  <c:v>0.48861538461538456</c:v>
                </c:pt>
                <c:pt idx="19">
                  <c:v>0.86553846153846159</c:v>
                </c:pt>
              </c:numCache>
            </c:numRef>
          </c:val>
        </c:ser>
        <c:ser>
          <c:idx val="6"/>
          <c:order val="1"/>
          <c:tx>
            <c:strRef>
              <c:f>'Month - July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July 2011 '!$F$18:$Y$18</c:f>
              <c:numCache>
                <c:formatCode>0.0%</c:formatCode>
                <c:ptCount val="20"/>
                <c:pt idx="0">
                  <c:v>1.9969999999999999</c:v>
                </c:pt>
                <c:pt idx="1">
                  <c:v>0</c:v>
                </c:pt>
                <c:pt idx="2">
                  <c:v>2.915</c:v>
                </c:pt>
                <c:pt idx="3">
                  <c:v>0.53899999999999992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1.9379999999999999</c:v>
                </c:pt>
                <c:pt idx="8">
                  <c:v>0</c:v>
                </c:pt>
                <c:pt idx="9">
                  <c:v>3.3370000000000002</c:v>
                </c:pt>
                <c:pt idx="10">
                  <c:v>1.5150000000000001</c:v>
                </c:pt>
                <c:pt idx="11">
                  <c:v>3.194</c:v>
                </c:pt>
                <c:pt idx="12">
                  <c:v>3.3519999999999999</c:v>
                </c:pt>
                <c:pt idx="13">
                  <c:v>5.0830000000000002</c:v>
                </c:pt>
                <c:pt idx="14">
                  <c:v>2.798</c:v>
                </c:pt>
                <c:pt idx="15">
                  <c:v>0</c:v>
                </c:pt>
                <c:pt idx="16">
                  <c:v>2.3580000000000001</c:v>
                </c:pt>
                <c:pt idx="17">
                  <c:v>0</c:v>
                </c:pt>
                <c:pt idx="18">
                  <c:v>0.53899999999999992</c:v>
                </c:pt>
                <c:pt idx="19">
                  <c:v>1.179</c:v>
                </c:pt>
              </c:numCache>
            </c:numRef>
          </c:val>
        </c:ser>
        <c:ser>
          <c:idx val="1"/>
          <c:order val="2"/>
          <c:tx>
            <c:strRef>
              <c:f>'Month - July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'!$F$19:$Y$19</c:f>
              <c:numCache>
                <c:formatCode>0.0%</c:formatCode>
                <c:ptCount val="20"/>
                <c:pt idx="0">
                  <c:v>0.90355555555555556</c:v>
                </c:pt>
                <c:pt idx="1">
                  <c:v>1.560888888888889</c:v>
                </c:pt>
                <c:pt idx="2">
                  <c:v>0.70977777777777784</c:v>
                </c:pt>
                <c:pt idx="3">
                  <c:v>1.1355555555555557</c:v>
                </c:pt>
                <c:pt idx="4">
                  <c:v>1.2431111111111111</c:v>
                </c:pt>
                <c:pt idx="5">
                  <c:v>0</c:v>
                </c:pt>
                <c:pt idx="6">
                  <c:v>1.203111111111111</c:v>
                </c:pt>
                <c:pt idx="7">
                  <c:v>0.82133333333333336</c:v>
                </c:pt>
                <c:pt idx="8">
                  <c:v>0.4151111111111111</c:v>
                </c:pt>
                <c:pt idx="9">
                  <c:v>0.3368888888888889</c:v>
                </c:pt>
                <c:pt idx="10">
                  <c:v>0.26622222222222225</c:v>
                </c:pt>
                <c:pt idx="11">
                  <c:v>1.1724444444444444</c:v>
                </c:pt>
                <c:pt idx="12">
                  <c:v>0.42622222222222217</c:v>
                </c:pt>
                <c:pt idx="13">
                  <c:v>1.5088888888888889</c:v>
                </c:pt>
                <c:pt idx="14">
                  <c:v>2.3746666666666667</c:v>
                </c:pt>
                <c:pt idx="15">
                  <c:v>2.923111111111111</c:v>
                </c:pt>
                <c:pt idx="16">
                  <c:v>1.4248888888888889</c:v>
                </c:pt>
                <c:pt idx="17">
                  <c:v>0.26622222222222225</c:v>
                </c:pt>
                <c:pt idx="18">
                  <c:v>1.7253333333333334</c:v>
                </c:pt>
                <c:pt idx="19">
                  <c:v>0.90355555555555556</c:v>
                </c:pt>
              </c:numCache>
            </c:numRef>
          </c:val>
        </c:ser>
        <c:ser>
          <c:idx val="2"/>
          <c:order val="3"/>
          <c:tx>
            <c:strRef>
              <c:f>'Month - July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'!$F$20:$Y$20</c:f>
              <c:numCache>
                <c:formatCode>0.0%</c:formatCode>
                <c:ptCount val="20"/>
                <c:pt idx="0">
                  <c:v>0</c:v>
                </c:pt>
                <c:pt idx="1">
                  <c:v>1.3654736842105264</c:v>
                </c:pt>
                <c:pt idx="2">
                  <c:v>0.25442105263157899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0.25442105263157899</c:v>
                </c:pt>
                <c:pt idx="7">
                  <c:v>0</c:v>
                </c:pt>
                <c:pt idx="8">
                  <c:v>0.55400000000000005</c:v>
                </c:pt>
                <c:pt idx="9">
                  <c:v>0.67947368421052634</c:v>
                </c:pt>
                <c:pt idx="10">
                  <c:v>0</c:v>
                </c:pt>
                <c:pt idx="11">
                  <c:v>0.29947368421052634</c:v>
                </c:pt>
                <c:pt idx="12">
                  <c:v>1.0989473684210527</c:v>
                </c:pt>
                <c:pt idx="13">
                  <c:v>0</c:v>
                </c:pt>
                <c:pt idx="14">
                  <c:v>0</c:v>
                </c:pt>
                <c:pt idx="15">
                  <c:v>0.47431578947368425</c:v>
                </c:pt>
                <c:pt idx="16">
                  <c:v>0.55400000000000005</c:v>
                </c:pt>
                <c:pt idx="17">
                  <c:v>0</c:v>
                </c:pt>
                <c:pt idx="18">
                  <c:v>0</c:v>
                </c:pt>
                <c:pt idx="19">
                  <c:v>0.39905263157894733</c:v>
                </c:pt>
              </c:numCache>
            </c:numRef>
          </c:val>
        </c:ser>
        <c:ser>
          <c:idx val="3"/>
          <c:order val="4"/>
          <c:tx>
            <c:strRef>
              <c:f>'Month - July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'!$F$22:$Y$22</c:f>
              <c:numCache>
                <c:formatCode>0.0%</c:formatCode>
                <c:ptCount val="20"/>
                <c:pt idx="0">
                  <c:v>0.82499999999999996</c:v>
                </c:pt>
                <c:pt idx="1">
                  <c:v>0.94261111111111107</c:v>
                </c:pt>
                <c:pt idx="2">
                  <c:v>0.85905555555555557</c:v>
                </c:pt>
                <c:pt idx="3">
                  <c:v>0.98205555555555557</c:v>
                </c:pt>
                <c:pt idx="4">
                  <c:v>0.80766666666666664</c:v>
                </c:pt>
                <c:pt idx="5">
                  <c:v>0.7045555555555556</c:v>
                </c:pt>
                <c:pt idx="6">
                  <c:v>0.72966666666666669</c:v>
                </c:pt>
                <c:pt idx="7">
                  <c:v>0.33399999999999996</c:v>
                </c:pt>
                <c:pt idx="8">
                  <c:v>0.28905555555555551</c:v>
                </c:pt>
                <c:pt idx="9">
                  <c:v>0.11944444444444446</c:v>
                </c:pt>
                <c:pt idx="10">
                  <c:v>0.34783333333333333</c:v>
                </c:pt>
                <c:pt idx="11">
                  <c:v>0.5865555555555555</c:v>
                </c:pt>
                <c:pt idx="12">
                  <c:v>0.48650000000000004</c:v>
                </c:pt>
                <c:pt idx="13">
                  <c:v>0.12361111111111112</c:v>
                </c:pt>
                <c:pt idx="14">
                  <c:v>0.4568888888888889</c:v>
                </c:pt>
                <c:pt idx="15">
                  <c:v>0.55905555555555553</c:v>
                </c:pt>
                <c:pt idx="16">
                  <c:v>0.80688888888888888</c:v>
                </c:pt>
                <c:pt idx="17">
                  <c:v>0.67783333333333329</c:v>
                </c:pt>
                <c:pt idx="18">
                  <c:v>0.16566666666666663</c:v>
                </c:pt>
                <c:pt idx="19">
                  <c:v>0.49388888888888893</c:v>
                </c:pt>
              </c:numCache>
            </c:numRef>
          </c:val>
        </c:ser>
        <c:ser>
          <c:idx val="5"/>
          <c:order val="5"/>
          <c:tx>
            <c:strRef>
              <c:f>'Month - July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0.53899999999999992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1.3333999999999999</c:v>
                </c:pt>
                <c:pt idx="7">
                  <c:v>0</c:v>
                </c:pt>
                <c:pt idx="8">
                  <c:v>1.599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1.3391999999999999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July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'!$F$23:$Y$23</c:f>
              <c:numCache>
                <c:formatCode>0.0%</c:formatCode>
                <c:ptCount val="20"/>
                <c:pt idx="0">
                  <c:v>0.8822461538461539</c:v>
                </c:pt>
                <c:pt idx="1">
                  <c:v>1.1732307692307693</c:v>
                </c:pt>
                <c:pt idx="2">
                  <c:v>0.89736923076923081</c:v>
                </c:pt>
                <c:pt idx="3">
                  <c:v>0.55603076923076922</c:v>
                </c:pt>
                <c:pt idx="4">
                  <c:v>0.59943076923076921</c:v>
                </c:pt>
                <c:pt idx="5">
                  <c:v>0.24418461538461533</c:v>
                </c:pt>
                <c:pt idx="6">
                  <c:v>0.55004615384615385</c:v>
                </c:pt>
                <c:pt idx="7">
                  <c:v>0.48233846153846149</c:v>
                </c:pt>
                <c:pt idx="8">
                  <c:v>0.54493846153846159</c:v>
                </c:pt>
                <c:pt idx="9">
                  <c:v>0.71284615384615391</c:v>
                </c:pt>
                <c:pt idx="10">
                  <c:v>0.3495538461538461</c:v>
                </c:pt>
                <c:pt idx="11">
                  <c:v>0.70419999999999994</c:v>
                </c:pt>
                <c:pt idx="12">
                  <c:v>1.043046153846154</c:v>
                </c:pt>
                <c:pt idx="13">
                  <c:v>0.96649230769230765</c:v>
                </c:pt>
                <c:pt idx="14">
                  <c:v>0.93883076923076925</c:v>
                </c:pt>
                <c:pt idx="15">
                  <c:v>0.91006153846153848</c:v>
                </c:pt>
                <c:pt idx="16">
                  <c:v>1.3546461538461538</c:v>
                </c:pt>
                <c:pt idx="17">
                  <c:v>0.32440000000000002</c:v>
                </c:pt>
                <c:pt idx="18">
                  <c:v>0.50810769230769237</c:v>
                </c:pt>
                <c:pt idx="19">
                  <c:v>0.65855384615384616</c:v>
                </c:pt>
              </c:numCache>
            </c:numRef>
          </c:val>
        </c:ser>
        <c:gapWidth val="75"/>
        <c:axId val="135194112"/>
        <c:axId val="135195648"/>
      </c:barChart>
      <c:catAx>
        <c:axId val="1351941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195648"/>
        <c:crosses val="autoZero"/>
        <c:auto val="1"/>
        <c:lblAlgn val="ctr"/>
        <c:lblOffset val="100"/>
      </c:catAx>
      <c:valAx>
        <c:axId val="1351956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194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July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'!$F$38:$Y$38</c:f>
              <c:numCache>
                <c:formatCode>0.0%</c:formatCode>
                <c:ptCount val="20"/>
                <c:pt idx="0">
                  <c:v>0.8841230769230769</c:v>
                </c:pt>
                <c:pt idx="1">
                  <c:v>1.2440923076923076</c:v>
                </c:pt>
                <c:pt idx="2">
                  <c:v>1.196348717948718</c:v>
                </c:pt>
                <c:pt idx="3">
                  <c:v>0.94333846153846157</c:v>
                </c:pt>
                <c:pt idx="4">
                  <c:v>0.88316307692307694</c:v>
                </c:pt>
                <c:pt idx="5">
                  <c:v>0.76868717948717946</c:v>
                </c:pt>
                <c:pt idx="6">
                  <c:v>0.65887472527472535</c:v>
                </c:pt>
                <c:pt idx="7">
                  <c:v>0.62582307692307693</c:v>
                </c:pt>
                <c:pt idx="8">
                  <c:v>0.64032136752136748</c:v>
                </c:pt>
                <c:pt idx="9">
                  <c:v>0.68247384615384621</c:v>
                </c:pt>
                <c:pt idx="10">
                  <c:v>0.65338181818181817</c:v>
                </c:pt>
                <c:pt idx="11">
                  <c:v>0.5756</c:v>
                </c:pt>
                <c:pt idx="12">
                  <c:v>0.6428497041420117</c:v>
                </c:pt>
                <c:pt idx="13">
                  <c:v>0.67696263736263729</c:v>
                </c:pt>
                <c:pt idx="14">
                  <c:v>0.68145230769230769</c:v>
                </c:pt>
                <c:pt idx="15">
                  <c:v>0.65120769230769227</c:v>
                </c:pt>
                <c:pt idx="16">
                  <c:v>0.76841266968325783</c:v>
                </c:pt>
                <c:pt idx="17">
                  <c:v>0.76599658119658121</c:v>
                </c:pt>
                <c:pt idx="18">
                  <c:v>0.75139757085020242</c:v>
                </c:pt>
                <c:pt idx="19">
                  <c:v>0.77553538461538463</c:v>
                </c:pt>
              </c:numCache>
            </c:numRef>
          </c:val>
        </c:ser>
        <c:ser>
          <c:idx val="6"/>
          <c:order val="1"/>
          <c:tx>
            <c:strRef>
              <c:f>'Month - July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0.97166666666666657</c:v>
                </c:pt>
                <c:pt idx="3">
                  <c:v>0.86350000000000005</c:v>
                </c:pt>
                <c:pt idx="4">
                  <c:v>0.69079999999999997</c:v>
                </c:pt>
                <c:pt idx="5">
                  <c:v>0.57566666666666666</c:v>
                </c:pt>
                <c:pt idx="6">
                  <c:v>0.49342857142857144</c:v>
                </c:pt>
                <c:pt idx="7">
                  <c:v>0.67400000000000004</c:v>
                </c:pt>
                <c:pt idx="8">
                  <c:v>0.59911111111111115</c:v>
                </c:pt>
                <c:pt idx="9">
                  <c:v>0.87290000000000001</c:v>
                </c:pt>
                <c:pt idx="10">
                  <c:v>0.93127272727272725</c:v>
                </c:pt>
                <c:pt idx="11">
                  <c:v>1.1198333333333335</c:v>
                </c:pt>
                <c:pt idx="12">
                  <c:v>1.2915384615384615</c:v>
                </c:pt>
                <c:pt idx="13">
                  <c:v>1.562357142857143</c:v>
                </c:pt>
                <c:pt idx="14">
                  <c:v>1.6447333333333332</c:v>
                </c:pt>
                <c:pt idx="15">
                  <c:v>1.5419375</c:v>
                </c:pt>
                <c:pt idx="16">
                  <c:v>1.5899411764705882</c:v>
                </c:pt>
                <c:pt idx="17">
                  <c:v>1.5315555555555556</c:v>
                </c:pt>
                <c:pt idx="18">
                  <c:v>1.5708947368421053</c:v>
                </c:pt>
                <c:pt idx="19">
                  <c:v>1.5223</c:v>
                </c:pt>
              </c:numCache>
            </c:numRef>
          </c:val>
        </c:ser>
        <c:ser>
          <c:idx val="1"/>
          <c:order val="2"/>
          <c:tx>
            <c:strRef>
              <c:f>'Month - July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'!$F$40:$Y$40</c:f>
              <c:numCache>
                <c:formatCode>0.0%</c:formatCode>
                <c:ptCount val="20"/>
                <c:pt idx="0">
                  <c:v>0</c:v>
                </c:pt>
                <c:pt idx="1">
                  <c:v>1.3897777777777778</c:v>
                </c:pt>
                <c:pt idx="2">
                  <c:v>1.0743703703703702</c:v>
                </c:pt>
                <c:pt idx="3">
                  <c:v>1.0896666666666666</c:v>
                </c:pt>
                <c:pt idx="4">
                  <c:v>1.0848888888888888</c:v>
                </c:pt>
                <c:pt idx="5">
                  <c:v>0.90407407407407414</c:v>
                </c:pt>
                <c:pt idx="6">
                  <c:v>0.94679365079365074</c:v>
                </c:pt>
                <c:pt idx="7">
                  <c:v>0.93111111111111111</c:v>
                </c:pt>
                <c:pt idx="8">
                  <c:v>0.84419753086419747</c:v>
                </c:pt>
                <c:pt idx="9">
                  <c:v>0.78013333333333335</c:v>
                </c:pt>
                <c:pt idx="10">
                  <c:v>0.72133333333333338</c:v>
                </c:pt>
                <c:pt idx="11">
                  <c:v>0.78111111111111109</c:v>
                </c:pt>
                <c:pt idx="12">
                  <c:v>0.72102564102564115</c:v>
                </c:pt>
                <c:pt idx="13">
                  <c:v>0.75828571428571445</c:v>
                </c:pt>
                <c:pt idx="14">
                  <c:v>0.84121481481481475</c:v>
                </c:pt>
                <c:pt idx="15">
                  <c:v>1.0046111111111111</c:v>
                </c:pt>
                <c:pt idx="16">
                  <c:v>1.0293333333333334</c:v>
                </c:pt>
                <c:pt idx="17">
                  <c:v>0.97214814814814809</c:v>
                </c:pt>
                <c:pt idx="18">
                  <c:v>1.0117894736842106</c:v>
                </c:pt>
                <c:pt idx="19">
                  <c:v>1.0063777777777778</c:v>
                </c:pt>
              </c:numCache>
            </c:numRef>
          </c:val>
        </c:ser>
        <c:ser>
          <c:idx val="2"/>
          <c:order val="3"/>
          <c:tx>
            <c:strRef>
              <c:f>'Month - July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'!$F$41:$Y$41</c:f>
              <c:numCache>
                <c:formatCode>0.0%</c:formatCode>
                <c:ptCount val="20"/>
                <c:pt idx="0">
                  <c:v>0</c:v>
                </c:pt>
                <c:pt idx="1">
                  <c:v>1.0824736842105263</c:v>
                </c:pt>
                <c:pt idx="2">
                  <c:v>0.72164912280701754</c:v>
                </c:pt>
                <c:pt idx="3">
                  <c:v>0.60486842105263161</c:v>
                </c:pt>
                <c:pt idx="4">
                  <c:v>0.48389473684210527</c:v>
                </c:pt>
                <c:pt idx="5">
                  <c:v>0.40324561403508774</c:v>
                </c:pt>
                <c:pt idx="6">
                  <c:v>0.34563909774436086</c:v>
                </c:pt>
                <c:pt idx="7">
                  <c:v>0.30243421052631581</c:v>
                </c:pt>
                <c:pt idx="8">
                  <c:v>0.2971111111111111</c:v>
                </c:pt>
                <c:pt idx="9">
                  <c:v>0.32729473684210525</c:v>
                </c:pt>
                <c:pt idx="10">
                  <c:v>0.29754066985645933</c:v>
                </c:pt>
                <c:pt idx="11">
                  <c:v>0.27274561403508774</c:v>
                </c:pt>
                <c:pt idx="12">
                  <c:v>0.27480161943319842</c:v>
                </c:pt>
                <c:pt idx="13">
                  <c:v>0.2979624060150376</c:v>
                </c:pt>
                <c:pt idx="14">
                  <c:v>0.32840000000000003</c:v>
                </c:pt>
                <c:pt idx="15">
                  <c:v>0.30787500000000001</c:v>
                </c:pt>
                <c:pt idx="16">
                  <c:v>0.31767801857585137</c:v>
                </c:pt>
                <c:pt idx="17">
                  <c:v>0.31416374269005848</c:v>
                </c:pt>
                <c:pt idx="18">
                  <c:v>0.31339612188365651</c:v>
                </c:pt>
                <c:pt idx="19">
                  <c:v>0.33265263157894737</c:v>
                </c:pt>
              </c:numCache>
            </c:numRef>
          </c:val>
        </c:ser>
        <c:ser>
          <c:idx val="5"/>
          <c:order val="4"/>
          <c:tx>
            <c:strRef>
              <c:f>'Month - July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0.14184210526315791</c:v>
                </c:pt>
                <c:pt idx="2">
                  <c:v>9.456140350877193E-2</c:v>
                </c:pt>
                <c:pt idx="3">
                  <c:v>7.0921052631578954E-2</c:v>
                </c:pt>
                <c:pt idx="4">
                  <c:v>5.6736842105263155E-2</c:v>
                </c:pt>
                <c:pt idx="5">
                  <c:v>4.7280701754385965E-2</c:v>
                </c:pt>
                <c:pt idx="6">
                  <c:v>0.14078195488721804</c:v>
                </c:pt>
                <c:pt idx="7">
                  <c:v>0.12318421052631578</c:v>
                </c:pt>
                <c:pt idx="8">
                  <c:v>0.20300584795321636</c:v>
                </c:pt>
                <c:pt idx="9">
                  <c:v>0.18270526315789473</c:v>
                </c:pt>
                <c:pt idx="10">
                  <c:v>0.16609569377990432</c:v>
                </c:pt>
                <c:pt idx="11">
                  <c:v>0.15225438596491228</c:v>
                </c:pt>
                <c:pt idx="12">
                  <c:v>0.19476113360323885</c:v>
                </c:pt>
                <c:pt idx="13">
                  <c:v>0.18084962406015037</c:v>
                </c:pt>
                <c:pt idx="14">
                  <c:v>0.16879298245614033</c:v>
                </c:pt>
                <c:pt idx="15">
                  <c:v>0.15824342105263159</c:v>
                </c:pt>
                <c:pt idx="16">
                  <c:v>0.14893498452012385</c:v>
                </c:pt>
                <c:pt idx="17">
                  <c:v>0.14066081871345029</c:v>
                </c:pt>
                <c:pt idx="18">
                  <c:v>0.13325761772853187</c:v>
                </c:pt>
                <c:pt idx="19">
                  <c:v>0.13253157894736842</c:v>
                </c:pt>
              </c:numCache>
            </c:numRef>
          </c:val>
        </c:ser>
        <c:ser>
          <c:idx val="3"/>
          <c:order val="5"/>
          <c:tx>
            <c:strRef>
              <c:f>'Month - July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'!$F$43:$Y$43</c:f>
              <c:numCache>
                <c:formatCode>0.0%</c:formatCode>
                <c:ptCount val="20"/>
                <c:pt idx="0">
                  <c:v>1.4248333333333334</c:v>
                </c:pt>
                <c:pt idx="1">
                  <c:v>1.1837500000000001</c:v>
                </c:pt>
                <c:pt idx="2">
                  <c:v>1.0087962962962962</c:v>
                </c:pt>
                <c:pt idx="3">
                  <c:v>0.89402777777777775</c:v>
                </c:pt>
                <c:pt idx="4">
                  <c:v>0.83358888888888893</c:v>
                </c:pt>
                <c:pt idx="5">
                  <c:v>0.81206481481481474</c:v>
                </c:pt>
                <c:pt idx="6">
                  <c:v>0.80030158730158729</c:v>
                </c:pt>
                <c:pt idx="7">
                  <c:v>0.74201388888888886</c:v>
                </c:pt>
                <c:pt idx="8">
                  <c:v>0.69169135802469139</c:v>
                </c:pt>
                <c:pt idx="9">
                  <c:v>0.63446666666666662</c:v>
                </c:pt>
                <c:pt idx="10">
                  <c:v>0.5933535353535353</c:v>
                </c:pt>
                <c:pt idx="11">
                  <c:v>0.56488888888888888</c:v>
                </c:pt>
                <c:pt idx="12">
                  <c:v>0.56650427350427357</c:v>
                </c:pt>
                <c:pt idx="13">
                  <c:v>0.53487301587301594</c:v>
                </c:pt>
                <c:pt idx="14">
                  <c:v>0.50735185185185194</c:v>
                </c:pt>
                <c:pt idx="15">
                  <c:v>0.49587152777777777</c:v>
                </c:pt>
                <c:pt idx="16">
                  <c:v>0.51416666666666666</c:v>
                </c:pt>
                <c:pt idx="17">
                  <c:v>0.5232592592592592</c:v>
                </c:pt>
                <c:pt idx="18">
                  <c:v>0.48482456140350882</c:v>
                </c:pt>
                <c:pt idx="19">
                  <c:v>0.46504444444444443</c:v>
                </c:pt>
              </c:numCache>
            </c:numRef>
          </c:val>
        </c:ser>
        <c:ser>
          <c:idx val="4"/>
          <c:order val="6"/>
          <c:tx>
            <c:strRef>
              <c:f>'Month - July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July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2011 '!$F$44:$Y$44</c:f>
              <c:numCache>
                <c:formatCode>0.0%</c:formatCode>
                <c:ptCount val="20"/>
                <c:pt idx="0">
                  <c:v>0.61560000000000004</c:v>
                </c:pt>
                <c:pt idx="1">
                  <c:v>1.0583076923076924</c:v>
                </c:pt>
                <c:pt idx="2">
                  <c:v>0.9584307692307692</c:v>
                </c:pt>
                <c:pt idx="3">
                  <c:v>0.83720000000000006</c:v>
                </c:pt>
                <c:pt idx="4">
                  <c:v>0.77155384615384615</c:v>
                </c:pt>
                <c:pt idx="5">
                  <c:v>0.68365384615384617</c:v>
                </c:pt>
                <c:pt idx="6">
                  <c:v>0.65925714285714287</c:v>
                </c:pt>
                <c:pt idx="7">
                  <c:v>0.63714230769230773</c:v>
                </c:pt>
                <c:pt idx="8">
                  <c:v>0.61691623931623929</c:v>
                </c:pt>
                <c:pt idx="9">
                  <c:v>0.6230246153846154</c:v>
                </c:pt>
                <c:pt idx="10">
                  <c:v>0.5919034965034965</c:v>
                </c:pt>
                <c:pt idx="11">
                  <c:v>0.58377948717948724</c:v>
                </c:pt>
                <c:pt idx="12">
                  <c:v>0.61036094674556218</c:v>
                </c:pt>
                <c:pt idx="13">
                  <c:v>0.63876263736263739</c:v>
                </c:pt>
                <c:pt idx="14">
                  <c:v>0.65564</c:v>
                </c:pt>
                <c:pt idx="15">
                  <c:v>0.66073076923076923</c:v>
                </c:pt>
                <c:pt idx="16">
                  <c:v>0.70314208144796375</c:v>
                </c:pt>
                <c:pt idx="17">
                  <c:v>0.68894444444444447</c:v>
                </c:pt>
                <c:pt idx="18">
                  <c:v>0.68334412955465584</c:v>
                </c:pt>
                <c:pt idx="19">
                  <c:v>0.68193461538461542</c:v>
                </c:pt>
              </c:numCache>
            </c:numRef>
          </c:val>
        </c:ser>
        <c:marker val="1"/>
        <c:axId val="135244800"/>
        <c:axId val="135267072"/>
      </c:lineChart>
      <c:catAx>
        <c:axId val="135244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267072"/>
        <c:crosses val="autoZero"/>
        <c:auto val="1"/>
        <c:lblAlgn val="ctr"/>
        <c:lblOffset val="100"/>
      </c:catAx>
      <c:valAx>
        <c:axId val="135267072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24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Aug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'!$F$48:$Y$48</c:f>
              <c:numCache>
                <c:formatCode>0</c:formatCode>
                <c:ptCount val="20"/>
                <c:pt idx="0">
                  <c:v>450840</c:v>
                </c:pt>
                <c:pt idx="1">
                  <c:v>403840</c:v>
                </c:pt>
                <c:pt idx="2">
                  <c:v>505273.33333333337</c:v>
                </c:pt>
                <c:pt idx="3">
                  <c:v>493080</c:v>
                </c:pt>
                <c:pt idx="4">
                  <c:v>429624</c:v>
                </c:pt>
                <c:pt idx="5">
                  <c:v>404803.33333333337</c:v>
                </c:pt>
                <c:pt idx="6">
                  <c:v>440388.57142857148</c:v>
                </c:pt>
                <c:pt idx="7">
                  <c:v>447477.5</c:v>
                </c:pt>
                <c:pt idx="8">
                  <c:v>417946.66666666663</c:v>
                </c:pt>
                <c:pt idx="9">
                  <c:v>423912</c:v>
                </c:pt>
                <c:pt idx="10">
                  <c:v>411601.81818181818</c:v>
                </c:pt>
                <c:pt idx="11">
                  <c:v>398360</c:v>
                </c:pt>
                <c:pt idx="12">
                  <c:v>392024.61538461538</c:v>
                </c:pt>
                <c:pt idx="13">
                  <c:v>400147.14285714284</c:v>
                </c:pt>
                <c:pt idx="14">
                  <c:v>392126.66666666663</c:v>
                </c:pt>
                <c:pt idx="15">
                  <c:v>389693.75</c:v>
                </c:pt>
                <c:pt idx="16">
                  <c:v>386543.5294117647</c:v>
                </c:pt>
                <c:pt idx="17">
                  <c:v>376712.22222222219</c:v>
                </c:pt>
                <c:pt idx="18">
                  <c:v>356885.26315789472</c:v>
                </c:pt>
                <c:pt idx="19">
                  <c:v>354773</c:v>
                </c:pt>
              </c:numCache>
            </c:numRef>
          </c:val>
        </c:ser>
        <c:ser>
          <c:idx val="6"/>
          <c:order val="1"/>
          <c:tx>
            <c:strRef>
              <c:f>'Month - Aug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'!$F$49:$Y$49</c:f>
              <c:numCache>
                <c:formatCode>0</c:formatCode>
                <c:ptCount val="20"/>
                <c:pt idx="0">
                  <c:v>0</c:v>
                </c:pt>
                <c:pt idx="1">
                  <c:v>142600</c:v>
                </c:pt>
                <c:pt idx="2">
                  <c:v>113033.33333333334</c:v>
                </c:pt>
                <c:pt idx="3">
                  <c:v>98250</c:v>
                </c:pt>
                <c:pt idx="4">
                  <c:v>129360</c:v>
                </c:pt>
                <c:pt idx="5">
                  <c:v>127450</c:v>
                </c:pt>
                <c:pt idx="6">
                  <c:v>134342.85714285713</c:v>
                </c:pt>
                <c:pt idx="7">
                  <c:v>133787.5</c:v>
                </c:pt>
                <c:pt idx="8">
                  <c:v>134466.66666666666</c:v>
                </c:pt>
                <c:pt idx="9">
                  <c:v>143000</c:v>
                </c:pt>
                <c:pt idx="10">
                  <c:v>134900</c:v>
                </c:pt>
                <c:pt idx="11">
                  <c:v>132816.66666666666</c:v>
                </c:pt>
                <c:pt idx="12">
                  <c:v>126746.15384615384</c:v>
                </c:pt>
                <c:pt idx="13">
                  <c:v>127685.71428571429</c:v>
                </c:pt>
                <c:pt idx="14">
                  <c:v>165273.33333333331</c:v>
                </c:pt>
                <c:pt idx="15">
                  <c:v>154943.75</c:v>
                </c:pt>
                <c:pt idx="16">
                  <c:v>162876.4705882353</c:v>
                </c:pt>
                <c:pt idx="17">
                  <c:v>159155.55555555556</c:v>
                </c:pt>
                <c:pt idx="18">
                  <c:v>161300</c:v>
                </c:pt>
                <c:pt idx="19">
                  <c:v>161730</c:v>
                </c:pt>
              </c:numCache>
            </c:numRef>
          </c:val>
        </c:ser>
        <c:ser>
          <c:idx val="1"/>
          <c:order val="2"/>
          <c:tx>
            <c:strRef>
              <c:f>'Month - Aug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'!$F$50:$Y$50</c:f>
              <c:numCache>
                <c:formatCode>0</c:formatCode>
                <c:ptCount val="20"/>
                <c:pt idx="0">
                  <c:v>219800</c:v>
                </c:pt>
                <c:pt idx="1">
                  <c:v>209800</c:v>
                </c:pt>
                <c:pt idx="2">
                  <c:v>233133.33333333331</c:v>
                </c:pt>
                <c:pt idx="3">
                  <c:v>223175</c:v>
                </c:pt>
                <c:pt idx="4">
                  <c:v>190520</c:v>
                </c:pt>
                <c:pt idx="5">
                  <c:v>249500</c:v>
                </c:pt>
                <c:pt idx="6">
                  <c:v>206714.28571428574</c:v>
                </c:pt>
                <c:pt idx="7">
                  <c:v>172450</c:v>
                </c:pt>
                <c:pt idx="8">
                  <c:v>222777.77777777778</c:v>
                </c:pt>
                <c:pt idx="9">
                  <c:v>239460</c:v>
                </c:pt>
                <c:pt idx="10">
                  <c:v>248645.45454545456</c:v>
                </c:pt>
                <c:pt idx="11">
                  <c:v>275375</c:v>
                </c:pt>
                <c:pt idx="12">
                  <c:v>280407.69230769231</c:v>
                </c:pt>
                <c:pt idx="13">
                  <c:v>260378.57142857142</c:v>
                </c:pt>
                <c:pt idx="14">
                  <c:v>269000</c:v>
                </c:pt>
                <c:pt idx="15">
                  <c:v>297575</c:v>
                </c:pt>
                <c:pt idx="16">
                  <c:v>266505.8823529412</c:v>
                </c:pt>
                <c:pt idx="17">
                  <c:v>257255.55555555556</c:v>
                </c:pt>
                <c:pt idx="18">
                  <c:v>244242.10526315789</c:v>
                </c:pt>
                <c:pt idx="19">
                  <c:v>238030</c:v>
                </c:pt>
              </c:numCache>
            </c:numRef>
          </c:val>
        </c:ser>
        <c:ser>
          <c:idx val="2"/>
          <c:order val="3"/>
          <c:tx>
            <c:strRef>
              <c:f>'Month - Aug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'!$F$51:$Y$51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18966.666666666668</c:v>
                </c:pt>
                <c:pt idx="3">
                  <c:v>40325</c:v>
                </c:pt>
                <c:pt idx="4">
                  <c:v>32260</c:v>
                </c:pt>
                <c:pt idx="5">
                  <c:v>26883.333333333336</c:v>
                </c:pt>
                <c:pt idx="6">
                  <c:v>23042.857142857141</c:v>
                </c:pt>
                <c:pt idx="7">
                  <c:v>27275</c:v>
                </c:pt>
                <c:pt idx="8">
                  <c:v>22644.444444444445</c:v>
                </c:pt>
                <c:pt idx="9">
                  <c:v>30172</c:v>
                </c:pt>
                <c:pt idx="10">
                  <c:v>27429.090909090912</c:v>
                </c:pt>
                <c:pt idx="11">
                  <c:v>25143.333333333336</c:v>
                </c:pt>
                <c:pt idx="12">
                  <c:v>29487.692307692309</c:v>
                </c:pt>
                <c:pt idx="13">
                  <c:v>42381.428571428565</c:v>
                </c:pt>
                <c:pt idx="14">
                  <c:v>39556</c:v>
                </c:pt>
                <c:pt idx="15">
                  <c:v>37083.75</c:v>
                </c:pt>
                <c:pt idx="16">
                  <c:v>34943.529411764706</c:v>
                </c:pt>
                <c:pt idx="17">
                  <c:v>33002.222222222219</c:v>
                </c:pt>
                <c:pt idx="18">
                  <c:v>37155.789473684214</c:v>
                </c:pt>
                <c:pt idx="19">
                  <c:v>40748</c:v>
                </c:pt>
              </c:numCache>
            </c:numRef>
          </c:val>
        </c:ser>
        <c:ser>
          <c:idx val="3"/>
          <c:order val="4"/>
          <c:tx>
            <c:strRef>
              <c:f>'Month - Aug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'!$F$52:$Y$52</c:f>
              <c:numCache>
                <c:formatCode>0</c:formatCode>
                <c:ptCount val="20"/>
                <c:pt idx="0">
                  <c:v>0</c:v>
                </c:pt>
                <c:pt idx="1">
                  <c:v>11030</c:v>
                </c:pt>
                <c:pt idx="2">
                  <c:v>27320</c:v>
                </c:pt>
                <c:pt idx="3">
                  <c:v>20490</c:v>
                </c:pt>
                <c:pt idx="4">
                  <c:v>16392</c:v>
                </c:pt>
                <c:pt idx="5">
                  <c:v>13660</c:v>
                </c:pt>
                <c:pt idx="6">
                  <c:v>11708.571428571429</c:v>
                </c:pt>
                <c:pt idx="7">
                  <c:v>10245</c:v>
                </c:pt>
                <c:pt idx="8">
                  <c:v>9106.6666666666661</c:v>
                </c:pt>
                <c:pt idx="9">
                  <c:v>8196</c:v>
                </c:pt>
                <c:pt idx="10">
                  <c:v>7450.909090909091</c:v>
                </c:pt>
                <c:pt idx="11">
                  <c:v>6830</c:v>
                </c:pt>
                <c:pt idx="12">
                  <c:v>6304.6153846153848</c:v>
                </c:pt>
                <c:pt idx="13">
                  <c:v>5854.2857142857147</c:v>
                </c:pt>
                <c:pt idx="14">
                  <c:v>5464</c:v>
                </c:pt>
                <c:pt idx="15">
                  <c:v>5122.5</c:v>
                </c:pt>
                <c:pt idx="16">
                  <c:v>18609.411764705881</c:v>
                </c:pt>
                <c:pt idx="17">
                  <c:v>23677.777777777777</c:v>
                </c:pt>
                <c:pt idx="18">
                  <c:v>22431.57894736842</c:v>
                </c:pt>
                <c:pt idx="19">
                  <c:v>24305</c:v>
                </c:pt>
              </c:numCache>
            </c:numRef>
          </c:val>
        </c:ser>
        <c:ser>
          <c:idx val="4"/>
          <c:order val="5"/>
          <c:tx>
            <c:strRef>
              <c:f>'Month - Aug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'!$F$53:$Y$53</c:f>
              <c:numCache>
                <c:formatCode>0</c:formatCode>
                <c:ptCount val="20"/>
                <c:pt idx="0">
                  <c:v>159280</c:v>
                </c:pt>
                <c:pt idx="1">
                  <c:v>70820</c:v>
                </c:pt>
                <c:pt idx="2">
                  <c:v>73533.333333333328</c:v>
                </c:pt>
                <c:pt idx="3">
                  <c:v>65595</c:v>
                </c:pt>
                <c:pt idx="4">
                  <c:v>106784</c:v>
                </c:pt>
                <c:pt idx="5">
                  <c:v>146800</c:v>
                </c:pt>
                <c:pt idx="6">
                  <c:v>149674.28571428571</c:v>
                </c:pt>
                <c:pt idx="7">
                  <c:v>133477.5</c:v>
                </c:pt>
                <c:pt idx="8">
                  <c:v>121308.88888888889</c:v>
                </c:pt>
                <c:pt idx="9">
                  <c:v>126988</c:v>
                </c:pt>
                <c:pt idx="10">
                  <c:v>133723.63636363635</c:v>
                </c:pt>
                <c:pt idx="11">
                  <c:v>128288.33333333334</c:v>
                </c:pt>
                <c:pt idx="12">
                  <c:v>124940</c:v>
                </c:pt>
                <c:pt idx="13">
                  <c:v>140251.42857142858</c:v>
                </c:pt>
                <c:pt idx="14">
                  <c:v>151062.66666666666</c:v>
                </c:pt>
                <c:pt idx="15">
                  <c:v>163101.25</c:v>
                </c:pt>
                <c:pt idx="16">
                  <c:v>167254.1176470588</c:v>
                </c:pt>
                <c:pt idx="17">
                  <c:v>167901.11111111109</c:v>
                </c:pt>
                <c:pt idx="18">
                  <c:v>168232.63157894736</c:v>
                </c:pt>
                <c:pt idx="19">
                  <c:v>192175</c:v>
                </c:pt>
              </c:numCache>
            </c:numRef>
          </c:val>
        </c:ser>
        <c:ser>
          <c:idx val="5"/>
          <c:order val="6"/>
          <c:tx>
            <c:strRef>
              <c:f>'Month - Aug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Aug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'!$F$54:$Y$54</c:f>
              <c:numCache>
                <c:formatCode>0</c:formatCode>
                <c:ptCount val="20"/>
                <c:pt idx="0">
                  <c:v>829920</c:v>
                </c:pt>
                <c:pt idx="1">
                  <c:v>838090</c:v>
                </c:pt>
                <c:pt idx="2">
                  <c:v>971260</c:v>
                </c:pt>
                <c:pt idx="3">
                  <c:v>940915</c:v>
                </c:pt>
                <c:pt idx="4">
                  <c:v>904940</c:v>
                </c:pt>
                <c:pt idx="5">
                  <c:v>969096.66666666674</c:v>
                </c:pt>
                <c:pt idx="6">
                  <c:v>965871.42857142864</c:v>
                </c:pt>
                <c:pt idx="7">
                  <c:v>924712.5</c:v>
                </c:pt>
                <c:pt idx="8">
                  <c:v>928251.11111111101</c:v>
                </c:pt>
                <c:pt idx="9">
                  <c:v>971728</c:v>
                </c:pt>
                <c:pt idx="10">
                  <c:v>963750.90909090906</c:v>
                </c:pt>
                <c:pt idx="11">
                  <c:v>966813.33333333337</c:v>
                </c:pt>
                <c:pt idx="12">
                  <c:v>959910.76923076913</c:v>
                </c:pt>
                <c:pt idx="13">
                  <c:v>976698.57142857136</c:v>
                </c:pt>
                <c:pt idx="14">
                  <c:v>1022482.6666666666</c:v>
                </c:pt>
                <c:pt idx="15">
                  <c:v>1047520</c:v>
                </c:pt>
                <c:pt idx="16">
                  <c:v>1036732.9411764706</c:v>
                </c:pt>
                <c:pt idx="17">
                  <c:v>1017704.4444444444</c:v>
                </c:pt>
                <c:pt idx="18">
                  <c:v>990247.36842105258</c:v>
                </c:pt>
                <c:pt idx="19">
                  <c:v>1011761</c:v>
                </c:pt>
              </c:numCache>
            </c:numRef>
          </c:val>
        </c:ser>
        <c:marker val="1"/>
        <c:axId val="135349760"/>
        <c:axId val="135351296"/>
      </c:lineChart>
      <c:catAx>
        <c:axId val="135349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351296"/>
        <c:crosses val="autoZero"/>
        <c:auto val="1"/>
        <c:lblAlgn val="ctr"/>
        <c:lblOffset val="100"/>
      </c:catAx>
      <c:valAx>
        <c:axId val="13535129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34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Aug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'!$F$17:$Y$17</c:f>
              <c:numCache>
                <c:formatCode>0.0%</c:formatCode>
                <c:ptCount val="20"/>
                <c:pt idx="0">
                  <c:v>1.7558153846153846</c:v>
                </c:pt>
                <c:pt idx="1">
                  <c:v>1.0979692307692308</c:v>
                </c:pt>
                <c:pt idx="2">
                  <c:v>1.4535384615384617</c:v>
                </c:pt>
                <c:pt idx="3">
                  <c:v>1.4046153846153846</c:v>
                </c:pt>
                <c:pt idx="4">
                  <c:v>0.54092307692307684</c:v>
                </c:pt>
                <c:pt idx="5">
                  <c:v>0.86369230769230776</c:v>
                </c:pt>
                <c:pt idx="6">
                  <c:v>2.012</c:v>
                </c:pt>
                <c:pt idx="7">
                  <c:v>1.5295384615384615</c:v>
                </c:pt>
                <c:pt idx="8">
                  <c:v>0.74338461538461531</c:v>
                </c:pt>
                <c:pt idx="9">
                  <c:v>1.4695384615384615</c:v>
                </c:pt>
                <c:pt idx="10">
                  <c:v>0.87661538461538457</c:v>
                </c:pt>
                <c:pt idx="11">
                  <c:v>0.77753846153846151</c:v>
                </c:pt>
                <c:pt idx="12">
                  <c:v>0.97230769230769232</c:v>
                </c:pt>
                <c:pt idx="13">
                  <c:v>1.5561230769230769</c:v>
                </c:pt>
                <c:pt idx="14">
                  <c:v>0.85366153846153847</c:v>
                </c:pt>
                <c:pt idx="15">
                  <c:v>1.0867692307692307</c:v>
                </c:pt>
                <c:pt idx="16">
                  <c:v>1.0342769230769231</c:v>
                </c:pt>
                <c:pt idx="17">
                  <c:v>0.64486153846153849</c:v>
                </c:pt>
                <c:pt idx="18">
                  <c:v>0.45483076923076926</c:v>
                </c:pt>
                <c:pt idx="19">
                  <c:v>0.8896615384615385</c:v>
                </c:pt>
              </c:numCache>
            </c:numRef>
          </c:val>
        </c:ser>
        <c:ser>
          <c:idx val="6"/>
          <c:order val="1"/>
          <c:tx>
            <c:strRef>
              <c:f>'Month - Aug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Aug 2011 '!$F$18:$Y$18</c:f>
              <c:numCache>
                <c:formatCode>0.0%</c:formatCode>
                <c:ptCount val="20"/>
                <c:pt idx="0">
                  <c:v>0.59899999999999998</c:v>
                </c:pt>
                <c:pt idx="1">
                  <c:v>2.8520000000000003</c:v>
                </c:pt>
                <c:pt idx="2">
                  <c:v>0.53899999999999992</c:v>
                </c:pt>
                <c:pt idx="3">
                  <c:v>0.53899999999999992</c:v>
                </c:pt>
                <c:pt idx="4">
                  <c:v>2.5380000000000003</c:v>
                </c:pt>
                <c:pt idx="5">
                  <c:v>1.179</c:v>
                </c:pt>
                <c:pt idx="6">
                  <c:v>1.7570000000000001</c:v>
                </c:pt>
                <c:pt idx="7">
                  <c:v>1.2989999999999999</c:v>
                </c:pt>
                <c:pt idx="8">
                  <c:v>1.399</c:v>
                </c:pt>
                <c:pt idx="9">
                  <c:v>2.198</c:v>
                </c:pt>
                <c:pt idx="10">
                  <c:v>0.53899999999999992</c:v>
                </c:pt>
                <c:pt idx="11">
                  <c:v>1.099</c:v>
                </c:pt>
                <c:pt idx="12">
                  <c:v>0.53899999999999992</c:v>
                </c:pt>
                <c:pt idx="13">
                  <c:v>1.399</c:v>
                </c:pt>
                <c:pt idx="14">
                  <c:v>6.8949999999999996</c:v>
                </c:pt>
                <c:pt idx="15">
                  <c:v>0</c:v>
                </c:pt>
                <c:pt idx="16">
                  <c:v>2.9180000000000001</c:v>
                </c:pt>
                <c:pt idx="17">
                  <c:v>0.95899999999999996</c:v>
                </c:pt>
                <c:pt idx="18">
                  <c:v>2.5380000000000003</c:v>
                </c:pt>
                <c:pt idx="19">
                  <c:v>1.6989999999999998</c:v>
                </c:pt>
              </c:numCache>
            </c:numRef>
          </c:val>
        </c:ser>
        <c:ser>
          <c:idx val="1"/>
          <c:order val="2"/>
          <c:tx>
            <c:strRef>
              <c:f>'Month - Aug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'!$F$19:$Y$19</c:f>
              <c:numCache>
                <c:formatCode>0.0%</c:formatCode>
                <c:ptCount val="20"/>
                <c:pt idx="0">
                  <c:v>1.5093333333333332</c:v>
                </c:pt>
                <c:pt idx="1">
                  <c:v>1.1102222222222222</c:v>
                </c:pt>
                <c:pt idx="2">
                  <c:v>1.6431111111111112</c:v>
                </c:pt>
                <c:pt idx="3">
                  <c:v>1.4848888888888889</c:v>
                </c:pt>
                <c:pt idx="4">
                  <c:v>1.3982222222222223</c:v>
                </c:pt>
                <c:pt idx="5">
                  <c:v>1.2653333333333334</c:v>
                </c:pt>
                <c:pt idx="6">
                  <c:v>0.93644444444444441</c:v>
                </c:pt>
                <c:pt idx="7">
                  <c:v>1.403111111111111</c:v>
                </c:pt>
                <c:pt idx="8">
                  <c:v>1.8466666666666667</c:v>
                </c:pt>
                <c:pt idx="9">
                  <c:v>1.7315555555555555</c:v>
                </c:pt>
                <c:pt idx="10">
                  <c:v>1.9284444444444444</c:v>
                </c:pt>
                <c:pt idx="11">
                  <c:v>2.0422222222222222</c:v>
                </c:pt>
                <c:pt idx="12">
                  <c:v>2.0031111111111111</c:v>
                </c:pt>
                <c:pt idx="13">
                  <c:v>1.2745777777777778</c:v>
                </c:pt>
                <c:pt idx="14">
                  <c:v>1.732</c:v>
                </c:pt>
                <c:pt idx="15">
                  <c:v>1.6862222222222223</c:v>
                </c:pt>
                <c:pt idx="16">
                  <c:v>1.4657777777777778</c:v>
                </c:pt>
                <c:pt idx="17">
                  <c:v>1.6875555555555555</c:v>
                </c:pt>
                <c:pt idx="18">
                  <c:v>1.1946666666666665</c:v>
                </c:pt>
                <c:pt idx="19">
                  <c:v>2.1475555555555559</c:v>
                </c:pt>
              </c:numCache>
            </c:numRef>
          </c:val>
        </c:ser>
        <c:ser>
          <c:idx val="2"/>
          <c:order val="3"/>
          <c:tx>
            <c:strRef>
              <c:f>'Month - Aug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'!$F$20:$Y$20</c:f>
              <c:numCache>
                <c:formatCode>0.0%</c:formatCode>
                <c:ptCount val="20"/>
                <c:pt idx="0">
                  <c:v>0.3152631578947368</c:v>
                </c:pt>
                <c:pt idx="1">
                  <c:v>0.29947368421052634</c:v>
                </c:pt>
                <c:pt idx="2">
                  <c:v>0</c:v>
                </c:pt>
                <c:pt idx="3">
                  <c:v>0.54947368421052634</c:v>
                </c:pt>
                <c:pt idx="4">
                  <c:v>0</c:v>
                </c:pt>
                <c:pt idx="5">
                  <c:v>0</c:v>
                </c:pt>
                <c:pt idx="6">
                  <c:v>0.29947368421052634</c:v>
                </c:pt>
                <c:pt idx="7">
                  <c:v>0</c:v>
                </c:pt>
                <c:pt idx="8">
                  <c:v>0</c:v>
                </c:pt>
                <c:pt idx="9">
                  <c:v>0.43957894736842107</c:v>
                </c:pt>
                <c:pt idx="10">
                  <c:v>0</c:v>
                </c:pt>
                <c:pt idx="11">
                  <c:v>0.42947368421052634</c:v>
                </c:pt>
                <c:pt idx="12">
                  <c:v>0.79947368421052634</c:v>
                </c:pt>
                <c:pt idx="13">
                  <c:v>0.29947368421052634</c:v>
                </c:pt>
                <c:pt idx="14">
                  <c:v>0</c:v>
                </c:pt>
                <c:pt idx="15">
                  <c:v>0</c:v>
                </c:pt>
                <c:pt idx="16">
                  <c:v>0.89842105263157901</c:v>
                </c:pt>
                <c:pt idx="17">
                  <c:v>0</c:v>
                </c:pt>
                <c:pt idx="18">
                  <c:v>0</c:v>
                </c:pt>
                <c:pt idx="19">
                  <c:v>1.4789473684210526</c:v>
                </c:pt>
              </c:numCache>
            </c:numRef>
          </c:val>
        </c:ser>
        <c:ser>
          <c:idx val="3"/>
          <c:order val="4"/>
          <c:tx>
            <c:strRef>
              <c:f>'Month - Aug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'!$F$22:$Y$22</c:f>
              <c:numCache>
                <c:formatCode>0.0%</c:formatCode>
                <c:ptCount val="20"/>
                <c:pt idx="0">
                  <c:v>0</c:v>
                </c:pt>
                <c:pt idx="1">
                  <c:v>0.20711111111111113</c:v>
                </c:pt>
                <c:pt idx="2">
                  <c:v>0.19872222222222224</c:v>
                </c:pt>
                <c:pt idx="3">
                  <c:v>0.31472222222222224</c:v>
                </c:pt>
                <c:pt idx="4">
                  <c:v>0.7543333333333333</c:v>
                </c:pt>
                <c:pt idx="5">
                  <c:v>0.9635555555555555</c:v>
                </c:pt>
                <c:pt idx="6">
                  <c:v>0.46361111111111108</c:v>
                </c:pt>
                <c:pt idx="7">
                  <c:v>0.22144444444444444</c:v>
                </c:pt>
                <c:pt idx="8">
                  <c:v>6.6500000000000004E-2</c:v>
                </c:pt>
                <c:pt idx="9">
                  <c:v>0.92894444444444446</c:v>
                </c:pt>
                <c:pt idx="10">
                  <c:v>0.40888888888888886</c:v>
                </c:pt>
                <c:pt idx="11">
                  <c:v>0.19038888888888894</c:v>
                </c:pt>
                <c:pt idx="12">
                  <c:v>0.23538888888888887</c:v>
                </c:pt>
                <c:pt idx="13">
                  <c:v>0.9425</c:v>
                </c:pt>
                <c:pt idx="14">
                  <c:v>0.84</c:v>
                </c:pt>
                <c:pt idx="15">
                  <c:v>0.96283333333333332</c:v>
                </c:pt>
                <c:pt idx="16">
                  <c:v>0.91794444444444445</c:v>
                </c:pt>
                <c:pt idx="17">
                  <c:v>0.93111111111111111</c:v>
                </c:pt>
                <c:pt idx="18">
                  <c:v>0.64949999999999997</c:v>
                </c:pt>
                <c:pt idx="19">
                  <c:v>0.99255555555555552</c:v>
                </c:pt>
              </c:numCache>
            </c:numRef>
          </c:val>
        </c:ser>
        <c:ser>
          <c:idx val="5"/>
          <c:order val="5"/>
          <c:tx>
            <c:strRef>
              <c:f>'Month - Aug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'!$F$21:$Y$21</c:f>
              <c:numCache>
                <c:formatCode>0.0%</c:formatCode>
                <c:ptCount val="20"/>
                <c:pt idx="0">
                  <c:v>0.22560000000000002</c:v>
                </c:pt>
                <c:pt idx="1">
                  <c:v>0.22060000000000002</c:v>
                </c:pt>
                <c:pt idx="2">
                  <c:v>0.59899999999999998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2.3433999999999999</c:v>
                </c:pt>
                <c:pt idx="17">
                  <c:v>1.099</c:v>
                </c:pt>
                <c:pt idx="18">
                  <c:v>0.88439999999999996</c:v>
                </c:pt>
                <c:pt idx="19">
                  <c:v>0.59899999999999998</c:v>
                </c:pt>
              </c:numCache>
            </c:numRef>
          </c:val>
        </c:ser>
        <c:ser>
          <c:idx val="4"/>
          <c:order val="6"/>
          <c:tx>
            <c:strRef>
              <c:f>'Month - Aug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'!$F$23:$Y$23</c:f>
              <c:numCache>
                <c:formatCode>0.0%</c:formatCode>
                <c:ptCount val="20"/>
                <c:pt idx="0">
                  <c:v>0.80969230769230771</c:v>
                </c:pt>
                <c:pt idx="1">
                  <c:v>0.80412307692307694</c:v>
                </c:pt>
                <c:pt idx="2">
                  <c:v>0.79033846153846155</c:v>
                </c:pt>
                <c:pt idx="3">
                  <c:v>0.81707692307692303</c:v>
                </c:pt>
                <c:pt idx="4">
                  <c:v>0.78135384615384618</c:v>
                </c:pt>
                <c:pt idx="5">
                  <c:v>0.7924461538461538</c:v>
                </c:pt>
                <c:pt idx="6">
                  <c:v>0.9723846153846154</c:v>
                </c:pt>
                <c:pt idx="7">
                  <c:v>0.78647692307692307</c:v>
                </c:pt>
                <c:pt idx="8">
                  <c:v>0.63149230769230769</c:v>
                </c:pt>
                <c:pt idx="9">
                  <c:v>1.1576461538461538</c:v>
                </c:pt>
                <c:pt idx="10">
                  <c:v>0.70761538461538454</c:v>
                </c:pt>
                <c:pt idx="11">
                  <c:v>0.74787692307692311</c:v>
                </c:pt>
                <c:pt idx="12">
                  <c:v>0.81326153846153848</c:v>
                </c:pt>
                <c:pt idx="13">
                  <c:v>1.0220153846153845</c:v>
                </c:pt>
                <c:pt idx="14">
                  <c:v>1.2761846153846155</c:v>
                </c:pt>
                <c:pt idx="15">
                  <c:v>0.83016923076923077</c:v>
                </c:pt>
                <c:pt idx="16">
                  <c:v>1.3024923076923076</c:v>
                </c:pt>
                <c:pt idx="17">
                  <c:v>0.86944615384615387</c:v>
                </c:pt>
                <c:pt idx="18">
                  <c:v>0.76360000000000006</c:v>
                </c:pt>
                <c:pt idx="19">
                  <c:v>1.2618923076923076</c:v>
                </c:pt>
              </c:numCache>
            </c:numRef>
          </c:val>
        </c:ser>
        <c:gapWidth val="75"/>
        <c:axId val="135513984"/>
        <c:axId val="135515520"/>
      </c:barChart>
      <c:catAx>
        <c:axId val="1355139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515520"/>
        <c:crosses val="autoZero"/>
        <c:auto val="1"/>
        <c:lblAlgn val="ctr"/>
        <c:lblOffset val="100"/>
      </c:catAx>
      <c:valAx>
        <c:axId val="13551552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513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Feb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8.3871143882610744E-2"/>
          <c:w val="0.93299344501092496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'Feb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('Feb 10'!$F$31:$X$31,'Feb 10'!$Y$31)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10'!$F$32:$Y$32</c:f>
              <c:numCache>
                <c:formatCode>0.0%</c:formatCode>
                <c:ptCount val="20"/>
                <c:pt idx="0">
                  <c:v>4.6383333333333336</c:v>
                </c:pt>
                <c:pt idx="1">
                  <c:v>2.6597083333333331</c:v>
                </c:pt>
                <c:pt idx="2">
                  <c:v>2.0002222222222223</c:v>
                </c:pt>
                <c:pt idx="3">
                  <c:v>1.7902708333333333</c:v>
                </c:pt>
                <c:pt idx="4">
                  <c:v>1.4322166666666667</c:v>
                </c:pt>
                <c:pt idx="5">
                  <c:v>1.446</c:v>
                </c:pt>
                <c:pt idx="6">
                  <c:v>1.3726904761904761</c:v>
                </c:pt>
                <c:pt idx="7">
                  <c:v>1.3655416666666667</c:v>
                </c:pt>
                <c:pt idx="8">
                  <c:v>1.4193148148148149</c:v>
                </c:pt>
                <c:pt idx="9">
                  <c:v>1.3238000000000001</c:v>
                </c:pt>
                <c:pt idx="10">
                  <c:v>1.3193106060606059</c:v>
                </c:pt>
                <c:pt idx="11">
                  <c:v>1.2655000000000001</c:v>
                </c:pt>
                <c:pt idx="12">
                  <c:v>1.2760705128205128</c:v>
                </c:pt>
                <c:pt idx="13">
                  <c:v>1.2153511904761907</c:v>
                </c:pt>
                <c:pt idx="14">
                  <c:v>1.2056888888888888</c:v>
                </c:pt>
                <c:pt idx="15">
                  <c:v>1.2208958333333333</c:v>
                </c:pt>
                <c:pt idx="16">
                  <c:v>1.1815637254901961</c:v>
                </c:pt>
                <c:pt idx="17">
                  <c:v>1.1340324074074073</c:v>
                </c:pt>
                <c:pt idx="18">
                  <c:v>1.1069254385964913</c:v>
                </c:pt>
                <c:pt idx="19">
                  <c:v>1.0470583333333334</c:v>
                </c:pt>
              </c:numCache>
            </c:numRef>
          </c:val>
        </c:ser>
        <c:ser>
          <c:idx val="1"/>
          <c:order val="1"/>
          <c:tx>
            <c:strRef>
              <c:f>'Feb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('Feb 10'!$F$31:$X$31,'Feb 10'!$Y$31)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10'!$F$33:$Y$33</c:f>
              <c:numCache>
                <c:formatCode>0.0%</c:formatCode>
                <c:ptCount val="20"/>
                <c:pt idx="0">
                  <c:v>1.5163199999999999</c:v>
                </c:pt>
                <c:pt idx="1">
                  <c:v>0.91156000000000004</c:v>
                </c:pt>
                <c:pt idx="2">
                  <c:v>1.0310666666666668</c:v>
                </c:pt>
                <c:pt idx="3">
                  <c:v>1.01898</c:v>
                </c:pt>
                <c:pt idx="4">
                  <c:v>0.85115200000000002</c:v>
                </c:pt>
                <c:pt idx="5">
                  <c:v>0.75856000000000001</c:v>
                </c:pt>
                <c:pt idx="6">
                  <c:v>0.69676571428571432</c:v>
                </c:pt>
                <c:pt idx="7">
                  <c:v>0.73987999999999998</c:v>
                </c:pt>
                <c:pt idx="8">
                  <c:v>0.7910044444444444</c:v>
                </c:pt>
                <c:pt idx="9">
                  <c:v>0.83286400000000005</c:v>
                </c:pt>
                <c:pt idx="10">
                  <c:v>0.81162181818181822</c:v>
                </c:pt>
                <c:pt idx="11">
                  <c:v>0.7439866666666668</c:v>
                </c:pt>
                <c:pt idx="12">
                  <c:v>0.77097230769230762</c:v>
                </c:pt>
                <c:pt idx="13">
                  <c:v>0.70391428571428571</c:v>
                </c:pt>
                <c:pt idx="14">
                  <c:v>0.65698666666666672</c:v>
                </c:pt>
                <c:pt idx="15">
                  <c:v>0.61592499999999994</c:v>
                </c:pt>
                <c:pt idx="16">
                  <c:v>0.61494117647058821</c:v>
                </c:pt>
                <c:pt idx="17">
                  <c:v>0.56272888888888883</c:v>
                </c:pt>
                <c:pt idx="18">
                  <c:v>0.56715368421052625</c:v>
                </c:pt>
                <c:pt idx="19">
                  <c:v>0.55775600000000003</c:v>
                </c:pt>
              </c:numCache>
            </c:numRef>
          </c:val>
        </c:ser>
        <c:ser>
          <c:idx val="2"/>
          <c:order val="2"/>
          <c:tx>
            <c:strRef>
              <c:f>'Feb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('Feb 10'!$F$31:$X$31,'Feb 10'!$Y$31)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10'!$F$34:$Y$34</c:f>
              <c:numCache>
                <c:formatCode>0.0%</c:formatCode>
                <c:ptCount val="20"/>
                <c:pt idx="0">
                  <c:v>3.0018181818181819</c:v>
                </c:pt>
                <c:pt idx="1">
                  <c:v>2.1181818181818182</c:v>
                </c:pt>
                <c:pt idx="2">
                  <c:v>1.9450505050505051</c:v>
                </c:pt>
                <c:pt idx="3">
                  <c:v>1.5648181818181819</c:v>
                </c:pt>
                <c:pt idx="4">
                  <c:v>1.4889454545454546</c:v>
                </c:pt>
                <c:pt idx="5">
                  <c:v>1.2832121212121212</c:v>
                </c:pt>
                <c:pt idx="6">
                  <c:v>1.1465512265512265</c:v>
                </c:pt>
                <c:pt idx="7">
                  <c:v>1.0607424242424242</c:v>
                </c:pt>
                <c:pt idx="8">
                  <c:v>0.94099663299663294</c:v>
                </c:pt>
                <c:pt idx="9">
                  <c:v>0.97756363636363641</c:v>
                </c:pt>
                <c:pt idx="10">
                  <c:v>1.0120550964187329</c:v>
                </c:pt>
                <c:pt idx="11">
                  <c:v>0.94286868686868686</c:v>
                </c:pt>
                <c:pt idx="12">
                  <c:v>0.90479254079254079</c:v>
                </c:pt>
                <c:pt idx="13">
                  <c:v>0.85830303030303046</c:v>
                </c:pt>
                <c:pt idx="14">
                  <c:v>0.92040404040404045</c:v>
                </c:pt>
                <c:pt idx="15">
                  <c:v>0.86287878787878791</c:v>
                </c:pt>
                <c:pt idx="16">
                  <c:v>0.84691622103386799</c:v>
                </c:pt>
                <c:pt idx="17">
                  <c:v>0.82811447811447814</c:v>
                </c:pt>
                <c:pt idx="18">
                  <c:v>0.78452950558213708</c:v>
                </c:pt>
                <c:pt idx="19">
                  <c:v>0.75984511784511788</c:v>
                </c:pt>
              </c:numCache>
            </c:numRef>
          </c:val>
        </c:ser>
        <c:ser>
          <c:idx val="3"/>
          <c:order val="3"/>
          <c:tx>
            <c:strRef>
              <c:f>'Feb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('Feb 10'!$F$31:$X$31,'Feb 10'!$Y$31)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10'!$F$35:$Y$35</c:f>
              <c:numCache>
                <c:formatCode>0.0%</c:formatCode>
                <c:ptCount val="20"/>
                <c:pt idx="0">
                  <c:v>5.1369523809523807</c:v>
                </c:pt>
                <c:pt idx="1">
                  <c:v>3.1225714285714288</c:v>
                </c:pt>
                <c:pt idx="2">
                  <c:v>2.6172063492063491</c:v>
                </c:pt>
                <c:pt idx="3">
                  <c:v>2.2204047619047618</c:v>
                </c:pt>
                <c:pt idx="4">
                  <c:v>1.9062285714285714</c:v>
                </c:pt>
                <c:pt idx="5">
                  <c:v>1.6796031746031743</c:v>
                </c:pt>
                <c:pt idx="6">
                  <c:v>1.6703086112493777</c:v>
                </c:pt>
                <c:pt idx="7">
                  <c:v>1.628095238095238</c:v>
                </c:pt>
                <c:pt idx="8">
                  <c:v>1.5246137566137563</c:v>
                </c:pt>
                <c:pt idx="9">
                  <c:v>1.5461714285714283</c:v>
                </c:pt>
                <c:pt idx="10">
                  <c:v>1.5368225108225104</c:v>
                </c:pt>
                <c:pt idx="11">
                  <c:v>1.5783730158730158</c:v>
                </c:pt>
                <c:pt idx="12">
                  <c:v>1.569032967032967</c:v>
                </c:pt>
                <c:pt idx="13">
                  <c:v>1.5598639455782313</c:v>
                </c:pt>
                <c:pt idx="14">
                  <c:v>1.5428507936507938</c:v>
                </c:pt>
                <c:pt idx="15">
                  <c:v>1.4653511904761904</c:v>
                </c:pt>
                <c:pt idx="16">
                  <c:v>1.4070308123249298</c:v>
                </c:pt>
                <c:pt idx="17">
                  <c:v>1.3572698412698412</c:v>
                </c:pt>
                <c:pt idx="18">
                  <c:v>1.3217593984962406</c:v>
                </c:pt>
                <c:pt idx="19">
                  <c:v>1.1166666666666667</c:v>
                </c:pt>
              </c:numCache>
            </c:numRef>
          </c:val>
        </c:ser>
        <c:ser>
          <c:idx val="4"/>
          <c:order val="4"/>
          <c:tx>
            <c:strRef>
              <c:f>'Feb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('Feb 10'!$F$31:$X$31,'Feb 10'!$Y$31)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'Feb 10'!$F$36:$Y$36</c:f>
              <c:numCache>
                <c:formatCode>0.0%</c:formatCode>
                <c:ptCount val="20"/>
                <c:pt idx="0">
                  <c:v>3.7717126869467901</c:v>
                </c:pt>
                <c:pt idx="1">
                  <c:v>2.2954355478685522</c:v>
                </c:pt>
                <c:pt idx="2">
                  <c:v>1.9615686912876862</c:v>
                </c:pt>
                <c:pt idx="3">
                  <c:v>1.7107466680231966</c:v>
                </c:pt>
                <c:pt idx="4">
                  <c:v>1.4590838539017195</c:v>
                </c:pt>
                <c:pt idx="5">
                  <c:v>1.3284081120493776</c:v>
                </c:pt>
                <c:pt idx="6">
                  <c:v>1.2708864439050622</c:v>
                </c:pt>
                <c:pt idx="7">
                  <c:v>1.2523514599654084</c:v>
                </c:pt>
                <c:pt idx="8">
                  <c:v>1.224134341687297</c:v>
                </c:pt>
                <c:pt idx="9">
                  <c:v>1.2245372265744225</c:v>
                </c:pt>
                <c:pt idx="10">
                  <c:v>1.2199733996799822</c:v>
                </c:pt>
                <c:pt idx="11">
                  <c:v>1.1937372401397228</c:v>
                </c:pt>
                <c:pt idx="12">
                  <c:v>1.1941567261713766</c:v>
                </c:pt>
                <c:pt idx="13">
                  <c:v>1.1520378471868959</c:v>
                </c:pt>
                <c:pt idx="14">
                  <c:v>1.1411637128226</c:v>
                </c:pt>
                <c:pt idx="15">
                  <c:v>1.0985865296571371</c:v>
                </c:pt>
                <c:pt idx="16">
                  <c:v>1.0658857043682262</c:v>
                </c:pt>
                <c:pt idx="17">
                  <c:v>1.0207230983145115</c:v>
                </c:pt>
                <c:pt idx="18">
                  <c:v>0.99620215152797043</c:v>
                </c:pt>
                <c:pt idx="19">
                  <c:v>0.90360158714009564</c:v>
                </c:pt>
              </c:numCache>
            </c:numRef>
          </c:val>
        </c:ser>
        <c:marker val="1"/>
        <c:axId val="109445504"/>
        <c:axId val="109447040"/>
      </c:lineChart>
      <c:catAx>
        <c:axId val="109445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447040"/>
        <c:crosses val="autoZero"/>
        <c:auto val="1"/>
        <c:lblAlgn val="ctr"/>
        <c:lblOffset val="100"/>
      </c:catAx>
      <c:valAx>
        <c:axId val="1094470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445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847778587037146"/>
          <c:y val="0.92258267716535358"/>
          <c:w val="0.32119446467590096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Aug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'!$F$38:$Y$38</c:f>
              <c:numCache>
                <c:formatCode>0.0%</c:formatCode>
                <c:ptCount val="20"/>
                <c:pt idx="0">
                  <c:v>1.3872</c:v>
                </c:pt>
                <c:pt idx="1">
                  <c:v>1.2425846153846154</c:v>
                </c:pt>
                <c:pt idx="2">
                  <c:v>1.5546871794871797</c:v>
                </c:pt>
                <c:pt idx="3">
                  <c:v>1.5171692307692308</c:v>
                </c:pt>
                <c:pt idx="4">
                  <c:v>1.32192</c:v>
                </c:pt>
                <c:pt idx="5">
                  <c:v>1.2455487179487181</c:v>
                </c:pt>
                <c:pt idx="6">
                  <c:v>1.3550417582417584</c:v>
                </c:pt>
                <c:pt idx="7">
                  <c:v>1.3768538461538462</c:v>
                </c:pt>
                <c:pt idx="8">
                  <c:v>1.2859897435897434</c:v>
                </c:pt>
                <c:pt idx="9">
                  <c:v>1.3043446153846154</c:v>
                </c:pt>
                <c:pt idx="10">
                  <c:v>1.2664671328671329</c:v>
                </c:pt>
                <c:pt idx="11">
                  <c:v>1.2257230769230769</c:v>
                </c:pt>
                <c:pt idx="12">
                  <c:v>1.2062295857988166</c:v>
                </c:pt>
                <c:pt idx="13">
                  <c:v>1.231221978021978</c:v>
                </c:pt>
                <c:pt idx="14">
                  <c:v>1.2065435897435897</c:v>
                </c:pt>
                <c:pt idx="15">
                  <c:v>1.1990576923076923</c:v>
                </c:pt>
                <c:pt idx="16">
                  <c:v>1.1893647058823529</c:v>
                </c:pt>
                <c:pt idx="17">
                  <c:v>1.1591145299145298</c:v>
                </c:pt>
                <c:pt idx="18">
                  <c:v>1.0981085020242913</c:v>
                </c:pt>
                <c:pt idx="19">
                  <c:v>1.0916092307692307</c:v>
                </c:pt>
              </c:numCache>
            </c:numRef>
          </c:val>
        </c:ser>
        <c:ser>
          <c:idx val="6"/>
          <c:order val="1"/>
          <c:tx>
            <c:strRef>
              <c:f>'Month - Aug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1.4259999999999999</c:v>
                </c:pt>
                <c:pt idx="2">
                  <c:v>1.1303333333333334</c:v>
                </c:pt>
                <c:pt idx="3">
                  <c:v>0.98250000000000004</c:v>
                </c:pt>
                <c:pt idx="4">
                  <c:v>1.2936000000000001</c:v>
                </c:pt>
                <c:pt idx="5">
                  <c:v>1.2745</c:v>
                </c:pt>
                <c:pt idx="6">
                  <c:v>1.3434285714285712</c:v>
                </c:pt>
                <c:pt idx="7">
                  <c:v>1.3378749999999999</c:v>
                </c:pt>
                <c:pt idx="8">
                  <c:v>1.3446666666666667</c:v>
                </c:pt>
                <c:pt idx="9">
                  <c:v>1.43</c:v>
                </c:pt>
                <c:pt idx="10">
                  <c:v>1.349</c:v>
                </c:pt>
                <c:pt idx="11">
                  <c:v>1.3281666666666665</c:v>
                </c:pt>
                <c:pt idx="12">
                  <c:v>1.2674615384615384</c:v>
                </c:pt>
                <c:pt idx="13">
                  <c:v>1.2768571428571429</c:v>
                </c:pt>
                <c:pt idx="14">
                  <c:v>1.6527333333333332</c:v>
                </c:pt>
                <c:pt idx="15">
                  <c:v>1.5494375</c:v>
                </c:pt>
                <c:pt idx="16">
                  <c:v>1.6287647058823531</c:v>
                </c:pt>
                <c:pt idx="17">
                  <c:v>1.5915555555555556</c:v>
                </c:pt>
                <c:pt idx="18">
                  <c:v>1.613</c:v>
                </c:pt>
                <c:pt idx="19">
                  <c:v>1.6173</c:v>
                </c:pt>
              </c:numCache>
            </c:numRef>
          </c:val>
        </c:ser>
        <c:ser>
          <c:idx val="1"/>
          <c:order val="2"/>
          <c:tx>
            <c:strRef>
              <c:f>'Month - Aug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'!$F$40:$Y$40</c:f>
              <c:numCache>
                <c:formatCode>0.0%</c:formatCode>
                <c:ptCount val="20"/>
                <c:pt idx="0">
                  <c:v>0.97688888888888892</c:v>
                </c:pt>
                <c:pt idx="1">
                  <c:v>0.93244444444444441</c:v>
                </c:pt>
                <c:pt idx="2">
                  <c:v>1.036148148148148</c:v>
                </c:pt>
                <c:pt idx="3">
                  <c:v>0.99188888888888893</c:v>
                </c:pt>
                <c:pt idx="4">
                  <c:v>0.84675555555555559</c:v>
                </c:pt>
                <c:pt idx="5">
                  <c:v>1.1088888888888888</c:v>
                </c:pt>
                <c:pt idx="6">
                  <c:v>0.91873015873015884</c:v>
                </c:pt>
                <c:pt idx="7">
                  <c:v>0.76644444444444448</c:v>
                </c:pt>
                <c:pt idx="8">
                  <c:v>0.99012345679012348</c:v>
                </c:pt>
                <c:pt idx="9">
                  <c:v>1.0642666666666667</c:v>
                </c:pt>
                <c:pt idx="10">
                  <c:v>1.1050909090909091</c:v>
                </c:pt>
                <c:pt idx="11">
                  <c:v>1.2238888888888888</c:v>
                </c:pt>
                <c:pt idx="12">
                  <c:v>1.2462564102564102</c:v>
                </c:pt>
                <c:pt idx="13">
                  <c:v>1.1572380952380952</c:v>
                </c:pt>
                <c:pt idx="14">
                  <c:v>1.1955555555555555</c:v>
                </c:pt>
                <c:pt idx="15">
                  <c:v>1.3225555555555555</c:v>
                </c:pt>
                <c:pt idx="16">
                  <c:v>1.1844705882352942</c:v>
                </c:pt>
                <c:pt idx="17">
                  <c:v>1.1433580246913579</c:v>
                </c:pt>
                <c:pt idx="18">
                  <c:v>1.0855204678362573</c:v>
                </c:pt>
                <c:pt idx="19">
                  <c:v>1.057911111111111</c:v>
                </c:pt>
              </c:numCache>
            </c:numRef>
          </c:val>
        </c:ser>
        <c:ser>
          <c:idx val="2"/>
          <c:order val="3"/>
          <c:tx>
            <c:strRef>
              <c:f>'Month - Aug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'!$F$41:$Y$41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9.9824561403508774E-2</c:v>
                </c:pt>
                <c:pt idx="3">
                  <c:v>0.21223684210526317</c:v>
                </c:pt>
                <c:pt idx="4">
                  <c:v>0.16978947368421052</c:v>
                </c:pt>
                <c:pt idx="5">
                  <c:v>0.14149122807017545</c:v>
                </c:pt>
                <c:pt idx="6">
                  <c:v>0.12127819548872179</c:v>
                </c:pt>
                <c:pt idx="7">
                  <c:v>0.14355263157894738</c:v>
                </c:pt>
                <c:pt idx="8">
                  <c:v>0.11918128654970761</c:v>
                </c:pt>
                <c:pt idx="9">
                  <c:v>0.1588</c:v>
                </c:pt>
                <c:pt idx="10">
                  <c:v>0.14436363636363639</c:v>
                </c:pt>
                <c:pt idx="11">
                  <c:v>0.13233333333333336</c:v>
                </c:pt>
                <c:pt idx="12">
                  <c:v>0.15519838056680163</c:v>
                </c:pt>
                <c:pt idx="13">
                  <c:v>0.22306015037593982</c:v>
                </c:pt>
                <c:pt idx="14">
                  <c:v>0.20818947368421054</c:v>
                </c:pt>
                <c:pt idx="15">
                  <c:v>0.19517763157894738</c:v>
                </c:pt>
                <c:pt idx="16">
                  <c:v>0.18391331269349845</c:v>
                </c:pt>
                <c:pt idx="17">
                  <c:v>0.17369590643274851</c:v>
                </c:pt>
                <c:pt idx="18">
                  <c:v>0.19555678670360113</c:v>
                </c:pt>
                <c:pt idx="19">
                  <c:v>0.21446315789473686</c:v>
                </c:pt>
              </c:numCache>
            </c:numRef>
          </c:val>
        </c:ser>
        <c:ser>
          <c:idx val="5"/>
          <c:order val="4"/>
          <c:tx>
            <c:strRef>
              <c:f>'Month - Aug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5.805263157894737E-2</c:v>
                </c:pt>
                <c:pt idx="2">
                  <c:v>0.14378947368421052</c:v>
                </c:pt>
                <c:pt idx="3">
                  <c:v>0.10784210526315789</c:v>
                </c:pt>
                <c:pt idx="4">
                  <c:v>8.6273684210526322E-2</c:v>
                </c:pt>
                <c:pt idx="5">
                  <c:v>7.1894736842105261E-2</c:v>
                </c:pt>
                <c:pt idx="6">
                  <c:v>6.1624060150375942E-2</c:v>
                </c:pt>
                <c:pt idx="7">
                  <c:v>5.3921052631578946E-2</c:v>
                </c:pt>
                <c:pt idx="8">
                  <c:v>4.7929824561403503E-2</c:v>
                </c:pt>
                <c:pt idx="9">
                  <c:v>4.3136842105263161E-2</c:v>
                </c:pt>
                <c:pt idx="10">
                  <c:v>3.9215311004784689E-2</c:v>
                </c:pt>
                <c:pt idx="11">
                  <c:v>3.5947368421052631E-2</c:v>
                </c:pt>
                <c:pt idx="12">
                  <c:v>3.3182186234817813E-2</c:v>
                </c:pt>
                <c:pt idx="13">
                  <c:v>3.0812030075187971E-2</c:v>
                </c:pt>
                <c:pt idx="14">
                  <c:v>2.8757894736842104E-2</c:v>
                </c:pt>
                <c:pt idx="15">
                  <c:v>2.6960526315789473E-2</c:v>
                </c:pt>
                <c:pt idx="16">
                  <c:v>9.7944272445820421E-2</c:v>
                </c:pt>
                <c:pt idx="17">
                  <c:v>0.12461988304093567</c:v>
                </c:pt>
                <c:pt idx="18">
                  <c:v>0.11806094182825484</c:v>
                </c:pt>
                <c:pt idx="19">
                  <c:v>0.12792105263157894</c:v>
                </c:pt>
              </c:numCache>
            </c:numRef>
          </c:val>
        </c:ser>
        <c:ser>
          <c:idx val="3"/>
          <c:order val="5"/>
          <c:tx>
            <c:strRef>
              <c:f>'Month - Aug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'!$F$43:$Y$43</c:f>
              <c:numCache>
                <c:formatCode>0.0%</c:formatCode>
                <c:ptCount val="20"/>
                <c:pt idx="0">
                  <c:v>0.44244444444444442</c:v>
                </c:pt>
                <c:pt idx="1">
                  <c:v>0.19672222222222221</c:v>
                </c:pt>
                <c:pt idx="2">
                  <c:v>0.20425925925925925</c:v>
                </c:pt>
                <c:pt idx="3">
                  <c:v>0.18220833333333333</c:v>
                </c:pt>
                <c:pt idx="4">
                  <c:v>0.29662222222222223</c:v>
                </c:pt>
                <c:pt idx="5">
                  <c:v>0.40777777777777779</c:v>
                </c:pt>
                <c:pt idx="6">
                  <c:v>0.41576190476190478</c:v>
                </c:pt>
                <c:pt idx="7">
                  <c:v>0.37077083333333333</c:v>
                </c:pt>
                <c:pt idx="8">
                  <c:v>0.33696913580246912</c:v>
                </c:pt>
                <c:pt idx="9">
                  <c:v>0.35274444444444447</c:v>
                </c:pt>
                <c:pt idx="10">
                  <c:v>0.37145454545454543</c:v>
                </c:pt>
                <c:pt idx="11">
                  <c:v>0.35635648148148152</c:v>
                </c:pt>
                <c:pt idx="12">
                  <c:v>0.34705555555555556</c:v>
                </c:pt>
                <c:pt idx="13">
                  <c:v>0.38958730158730159</c:v>
                </c:pt>
                <c:pt idx="14">
                  <c:v>0.4196185185185185</c:v>
                </c:pt>
                <c:pt idx="15">
                  <c:v>0.45305902777777779</c:v>
                </c:pt>
                <c:pt idx="16">
                  <c:v>0.46459477124182996</c:v>
                </c:pt>
                <c:pt idx="17">
                  <c:v>0.4663919753086419</c:v>
                </c:pt>
                <c:pt idx="18">
                  <c:v>0.46731286549707601</c:v>
                </c:pt>
                <c:pt idx="19">
                  <c:v>0.5338194444444444</c:v>
                </c:pt>
              </c:numCache>
            </c:numRef>
          </c:val>
        </c:ser>
        <c:ser>
          <c:idx val="4"/>
          <c:order val="6"/>
          <c:tx>
            <c:strRef>
              <c:f>'Month - Aug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Aug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2011 '!$F$44:$Y$44</c:f>
              <c:numCache>
                <c:formatCode>0.0%</c:formatCode>
                <c:ptCount val="20"/>
                <c:pt idx="0">
                  <c:v>0.63839999999999997</c:v>
                </c:pt>
                <c:pt idx="1">
                  <c:v>0.64468461538461541</c:v>
                </c:pt>
                <c:pt idx="2">
                  <c:v>0.74712307692307689</c:v>
                </c:pt>
                <c:pt idx="3">
                  <c:v>0.72378076923076928</c:v>
                </c:pt>
                <c:pt idx="4">
                  <c:v>0.69610769230769232</c:v>
                </c:pt>
                <c:pt idx="5">
                  <c:v>0.74545897435897446</c:v>
                </c:pt>
                <c:pt idx="6">
                  <c:v>0.74297802197802199</c:v>
                </c:pt>
                <c:pt idx="7">
                  <c:v>0.71131730769230772</c:v>
                </c:pt>
                <c:pt idx="8">
                  <c:v>0.71403931623931616</c:v>
                </c:pt>
                <c:pt idx="9">
                  <c:v>0.74748307692307692</c:v>
                </c:pt>
                <c:pt idx="10">
                  <c:v>0.74134685314685311</c:v>
                </c:pt>
                <c:pt idx="11">
                  <c:v>0.74370256410256408</c:v>
                </c:pt>
                <c:pt idx="12">
                  <c:v>0.7383928994082839</c:v>
                </c:pt>
                <c:pt idx="13">
                  <c:v>0.75130659340659334</c:v>
                </c:pt>
                <c:pt idx="14">
                  <c:v>0.78652512820512821</c:v>
                </c:pt>
                <c:pt idx="15">
                  <c:v>0.80578461538461543</c:v>
                </c:pt>
                <c:pt idx="16">
                  <c:v>0.79748687782805427</c:v>
                </c:pt>
                <c:pt idx="17">
                  <c:v>0.78284957264957256</c:v>
                </c:pt>
                <c:pt idx="18">
                  <c:v>0.76172874493927123</c:v>
                </c:pt>
                <c:pt idx="19">
                  <c:v>0.77827769230769228</c:v>
                </c:pt>
              </c:numCache>
            </c:numRef>
          </c:val>
        </c:ser>
        <c:marker val="1"/>
        <c:axId val="135454080"/>
        <c:axId val="135459968"/>
      </c:lineChart>
      <c:catAx>
        <c:axId val="1354540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459968"/>
        <c:crosses val="autoZero"/>
        <c:auto val="1"/>
        <c:lblAlgn val="ctr"/>
        <c:lblOffset val="100"/>
      </c:catAx>
      <c:valAx>
        <c:axId val="13545996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45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Sept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'!$F$48:$Y$48</c:f>
              <c:numCache>
                <c:formatCode>0</c:formatCode>
                <c:ptCount val="20"/>
                <c:pt idx="0">
                  <c:v>448620</c:v>
                </c:pt>
                <c:pt idx="1">
                  <c:v>300610</c:v>
                </c:pt>
                <c:pt idx="2">
                  <c:v>253106.66666666669</c:v>
                </c:pt>
                <c:pt idx="3">
                  <c:v>336420</c:v>
                </c:pt>
                <c:pt idx="4">
                  <c:v>321556</c:v>
                </c:pt>
                <c:pt idx="5">
                  <c:v>315310</c:v>
                </c:pt>
                <c:pt idx="6">
                  <c:v>305274.28571428574</c:v>
                </c:pt>
                <c:pt idx="7">
                  <c:v>313767.5</c:v>
                </c:pt>
                <c:pt idx="8">
                  <c:v>351693.33333333337</c:v>
                </c:pt>
                <c:pt idx="9">
                  <c:v>362080</c:v>
                </c:pt>
                <c:pt idx="10">
                  <c:v>354800</c:v>
                </c:pt>
                <c:pt idx="11">
                  <c:v>340391.66666666663</c:v>
                </c:pt>
                <c:pt idx="12">
                  <c:v>338892.30769230763</c:v>
                </c:pt>
                <c:pt idx="13">
                  <c:v>353137.14285714284</c:v>
                </c:pt>
                <c:pt idx="14">
                  <c:v>329594.66666666669</c:v>
                </c:pt>
                <c:pt idx="15">
                  <c:v>348563.75</c:v>
                </c:pt>
                <c:pt idx="16">
                  <c:v>348018.82352941175</c:v>
                </c:pt>
                <c:pt idx="17">
                  <c:v>343287.77777777781</c:v>
                </c:pt>
                <c:pt idx="18">
                  <c:v>323483.15789473685</c:v>
                </c:pt>
                <c:pt idx="19">
                  <c:v>322454</c:v>
                </c:pt>
              </c:numCache>
            </c:numRef>
          </c:val>
        </c:ser>
        <c:ser>
          <c:idx val="6"/>
          <c:order val="1"/>
          <c:tx>
            <c:strRef>
              <c:f>'Month - Sept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'!$F$49:$Y$49</c:f>
              <c:numCache>
                <c:formatCode>0</c:formatCode>
                <c:ptCount val="20"/>
                <c:pt idx="0">
                  <c:v>107800</c:v>
                </c:pt>
                <c:pt idx="1">
                  <c:v>101850</c:v>
                </c:pt>
                <c:pt idx="2">
                  <c:v>111933.33333333334</c:v>
                </c:pt>
                <c:pt idx="3">
                  <c:v>107925</c:v>
                </c:pt>
                <c:pt idx="4">
                  <c:v>97120</c:v>
                </c:pt>
                <c:pt idx="5">
                  <c:v>134216.66666666666</c:v>
                </c:pt>
                <c:pt idx="6">
                  <c:v>122742.85714285713</c:v>
                </c:pt>
                <c:pt idx="7">
                  <c:v>167125</c:v>
                </c:pt>
                <c:pt idx="8">
                  <c:v>205377.77777777778</c:v>
                </c:pt>
                <c:pt idx="9">
                  <c:v>239390</c:v>
                </c:pt>
                <c:pt idx="10">
                  <c:v>217627.27272727271</c:v>
                </c:pt>
                <c:pt idx="11">
                  <c:v>199491.66666666669</c:v>
                </c:pt>
                <c:pt idx="12">
                  <c:v>199984.61538461538</c:v>
                </c:pt>
                <c:pt idx="13">
                  <c:v>192550</c:v>
                </c:pt>
                <c:pt idx="14">
                  <c:v>192500</c:v>
                </c:pt>
                <c:pt idx="15">
                  <c:v>180468.75</c:v>
                </c:pt>
                <c:pt idx="16">
                  <c:v>186700</c:v>
                </c:pt>
                <c:pt idx="17">
                  <c:v>178872.22222222222</c:v>
                </c:pt>
                <c:pt idx="18">
                  <c:v>180294.73684210528</c:v>
                </c:pt>
                <c:pt idx="19">
                  <c:v>176670</c:v>
                </c:pt>
              </c:numCache>
            </c:numRef>
          </c:val>
        </c:ser>
        <c:ser>
          <c:idx val="1"/>
          <c:order val="2"/>
          <c:tx>
            <c:strRef>
              <c:f>'Month - Sept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'!$F$50:$Y$50</c:f>
              <c:numCache>
                <c:formatCode>0</c:formatCode>
                <c:ptCount val="20"/>
                <c:pt idx="0">
                  <c:v>1262300</c:v>
                </c:pt>
                <c:pt idx="1">
                  <c:v>746100</c:v>
                </c:pt>
                <c:pt idx="2">
                  <c:v>640600</c:v>
                </c:pt>
                <c:pt idx="3">
                  <c:v>552750</c:v>
                </c:pt>
                <c:pt idx="4">
                  <c:v>476160</c:v>
                </c:pt>
                <c:pt idx="5">
                  <c:v>415100</c:v>
                </c:pt>
                <c:pt idx="6">
                  <c:v>370071.42857142852</c:v>
                </c:pt>
                <c:pt idx="7">
                  <c:v>330062.5</c:v>
                </c:pt>
                <c:pt idx="8">
                  <c:v>306711.11111111112</c:v>
                </c:pt>
                <c:pt idx="9">
                  <c:v>316610</c:v>
                </c:pt>
                <c:pt idx="10">
                  <c:v>287827.27272727271</c:v>
                </c:pt>
                <c:pt idx="11">
                  <c:v>282983.33333333331</c:v>
                </c:pt>
                <c:pt idx="12">
                  <c:v>269100</c:v>
                </c:pt>
                <c:pt idx="13">
                  <c:v>264585.71428571426</c:v>
                </c:pt>
                <c:pt idx="14">
                  <c:v>273220</c:v>
                </c:pt>
                <c:pt idx="15">
                  <c:v>267387.5</c:v>
                </c:pt>
                <c:pt idx="16">
                  <c:v>266411.76470588235</c:v>
                </c:pt>
                <c:pt idx="17">
                  <c:v>284827.77777777775</c:v>
                </c:pt>
                <c:pt idx="18">
                  <c:v>289810.52631578944</c:v>
                </c:pt>
                <c:pt idx="19">
                  <c:v>279645</c:v>
                </c:pt>
              </c:numCache>
            </c:numRef>
          </c:val>
        </c:ser>
        <c:ser>
          <c:idx val="2"/>
          <c:order val="3"/>
          <c:tx>
            <c:strRef>
              <c:f>'Month - Sept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'!$F$51:$Y$51</c:f>
              <c:numCache>
                <c:formatCode>0</c:formatCode>
                <c:ptCount val="20"/>
                <c:pt idx="0">
                  <c:v>129100</c:v>
                </c:pt>
                <c:pt idx="1">
                  <c:v>159450</c:v>
                </c:pt>
                <c:pt idx="2">
                  <c:v>106300</c:v>
                </c:pt>
                <c:pt idx="3">
                  <c:v>108180</c:v>
                </c:pt>
                <c:pt idx="4">
                  <c:v>86544</c:v>
                </c:pt>
                <c:pt idx="5">
                  <c:v>72120</c:v>
                </c:pt>
                <c:pt idx="6">
                  <c:v>61817.142857142855</c:v>
                </c:pt>
                <c:pt idx="7">
                  <c:v>54090</c:v>
                </c:pt>
                <c:pt idx="8">
                  <c:v>54402.222222222226</c:v>
                </c:pt>
                <c:pt idx="9">
                  <c:v>48962</c:v>
                </c:pt>
                <c:pt idx="10">
                  <c:v>102150.9090909091</c:v>
                </c:pt>
                <c:pt idx="11">
                  <c:v>93638.333333333343</c:v>
                </c:pt>
                <c:pt idx="12">
                  <c:v>92281.538461538454</c:v>
                </c:pt>
                <c:pt idx="13">
                  <c:v>93818.571428571435</c:v>
                </c:pt>
                <c:pt idx="14">
                  <c:v>101738.66666666667</c:v>
                </c:pt>
                <c:pt idx="15">
                  <c:v>98402.5</c:v>
                </c:pt>
                <c:pt idx="16">
                  <c:v>92614.117647058825</c:v>
                </c:pt>
                <c:pt idx="17">
                  <c:v>87468.888888888891</c:v>
                </c:pt>
                <c:pt idx="18">
                  <c:v>82865.263157894733</c:v>
                </c:pt>
                <c:pt idx="19">
                  <c:v>87253</c:v>
                </c:pt>
              </c:numCache>
            </c:numRef>
          </c:val>
        </c:ser>
        <c:ser>
          <c:idx val="3"/>
          <c:order val="4"/>
          <c:tx>
            <c:strRef>
              <c:f>'Month - Sept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'!$F$52:$Y$52</c:f>
              <c:numCache>
                <c:formatCode>0</c:formatCode>
                <c:ptCount val="20"/>
                <c:pt idx="0">
                  <c:v>88440</c:v>
                </c:pt>
                <c:pt idx="1">
                  <c:v>44220</c:v>
                </c:pt>
                <c:pt idx="2">
                  <c:v>41733.333333333328</c:v>
                </c:pt>
                <c:pt idx="3">
                  <c:v>31300</c:v>
                </c:pt>
                <c:pt idx="4">
                  <c:v>29928</c:v>
                </c:pt>
                <c:pt idx="5">
                  <c:v>34923.333333333336</c:v>
                </c:pt>
                <c:pt idx="6">
                  <c:v>38491.428571428572</c:v>
                </c:pt>
                <c:pt idx="7">
                  <c:v>33680</c:v>
                </c:pt>
                <c:pt idx="8">
                  <c:v>29937.777777777777</c:v>
                </c:pt>
                <c:pt idx="9">
                  <c:v>26944</c:v>
                </c:pt>
                <c:pt idx="10">
                  <c:v>34485.454545454544</c:v>
                </c:pt>
                <c:pt idx="11">
                  <c:v>31611.666666666664</c:v>
                </c:pt>
                <c:pt idx="12">
                  <c:v>30889.230769230773</c:v>
                </c:pt>
                <c:pt idx="13">
                  <c:v>28682.857142857141</c:v>
                </c:pt>
                <c:pt idx="14">
                  <c:v>30764</c:v>
                </c:pt>
                <c:pt idx="15">
                  <c:v>28841.25</c:v>
                </c:pt>
                <c:pt idx="16">
                  <c:v>27144.705882352941</c:v>
                </c:pt>
                <c:pt idx="17">
                  <c:v>25636.666666666664</c:v>
                </c:pt>
                <c:pt idx="18">
                  <c:v>27211.57894736842</c:v>
                </c:pt>
                <c:pt idx="19">
                  <c:v>25851</c:v>
                </c:pt>
              </c:numCache>
            </c:numRef>
          </c:val>
        </c:ser>
        <c:ser>
          <c:idx val="4"/>
          <c:order val="5"/>
          <c:tx>
            <c:strRef>
              <c:f>'Month - Sept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'!$F$53:$Y$53</c:f>
              <c:numCache>
                <c:formatCode>0</c:formatCode>
                <c:ptCount val="20"/>
                <c:pt idx="0">
                  <c:v>241080</c:v>
                </c:pt>
                <c:pt idx="1">
                  <c:v>328440</c:v>
                </c:pt>
                <c:pt idx="2">
                  <c:v>296746.66666666669</c:v>
                </c:pt>
                <c:pt idx="3">
                  <c:v>250885</c:v>
                </c:pt>
                <c:pt idx="4">
                  <c:v>278136</c:v>
                </c:pt>
                <c:pt idx="5">
                  <c:v>231780</c:v>
                </c:pt>
                <c:pt idx="6">
                  <c:v>259757.14285714287</c:v>
                </c:pt>
                <c:pt idx="7">
                  <c:v>274652.5</c:v>
                </c:pt>
                <c:pt idx="8">
                  <c:v>287384.44444444444</c:v>
                </c:pt>
                <c:pt idx="9">
                  <c:v>280738</c:v>
                </c:pt>
                <c:pt idx="10">
                  <c:v>283361.81818181818</c:v>
                </c:pt>
                <c:pt idx="11">
                  <c:v>287788.33333333331</c:v>
                </c:pt>
                <c:pt idx="12">
                  <c:v>270829.23076923075</c:v>
                </c:pt>
                <c:pt idx="13">
                  <c:v>261797.14285714287</c:v>
                </c:pt>
                <c:pt idx="14">
                  <c:v>280614.66666666669</c:v>
                </c:pt>
                <c:pt idx="15">
                  <c:v>283092.5</c:v>
                </c:pt>
                <c:pt idx="16">
                  <c:v>279898.82352941175</c:v>
                </c:pt>
                <c:pt idx="17">
                  <c:v>279720</c:v>
                </c:pt>
                <c:pt idx="18">
                  <c:v>274282.10526315792</c:v>
                </c:pt>
                <c:pt idx="19">
                  <c:v>287857</c:v>
                </c:pt>
              </c:numCache>
            </c:numRef>
          </c:val>
        </c:ser>
        <c:ser>
          <c:idx val="5"/>
          <c:order val="6"/>
          <c:tx>
            <c:strRef>
              <c:f>'Month - Sept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Sept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'!$F$54:$Y$54</c:f>
              <c:numCache>
                <c:formatCode>0</c:formatCode>
                <c:ptCount val="20"/>
                <c:pt idx="0">
                  <c:v>2277340</c:v>
                </c:pt>
                <c:pt idx="1">
                  <c:v>1680670</c:v>
                </c:pt>
                <c:pt idx="2">
                  <c:v>1450420</c:v>
                </c:pt>
                <c:pt idx="3">
                  <c:v>1387460</c:v>
                </c:pt>
                <c:pt idx="4">
                  <c:v>1289444</c:v>
                </c:pt>
                <c:pt idx="5">
                  <c:v>1203450</c:v>
                </c:pt>
                <c:pt idx="6">
                  <c:v>1158154.2857142857</c:v>
                </c:pt>
                <c:pt idx="7">
                  <c:v>1173377.5</c:v>
                </c:pt>
                <c:pt idx="8">
                  <c:v>1235506.6666666667</c:v>
                </c:pt>
                <c:pt idx="9">
                  <c:v>1274724</c:v>
                </c:pt>
                <c:pt idx="10">
                  <c:v>1280252.7272727273</c:v>
                </c:pt>
                <c:pt idx="11">
                  <c:v>1235904.9999999998</c:v>
                </c:pt>
                <c:pt idx="12">
                  <c:v>1201976.923076923</c:v>
                </c:pt>
                <c:pt idx="13">
                  <c:v>1194571.4285714286</c:v>
                </c:pt>
                <c:pt idx="14">
                  <c:v>1208432</c:v>
                </c:pt>
                <c:pt idx="15">
                  <c:v>1206756.25</c:v>
                </c:pt>
                <c:pt idx="16">
                  <c:v>1200788.2352941176</c:v>
                </c:pt>
                <c:pt idx="17">
                  <c:v>1199813.3333333333</c:v>
                </c:pt>
                <c:pt idx="18">
                  <c:v>1177947.3684210526</c:v>
                </c:pt>
                <c:pt idx="19">
                  <c:v>1179730</c:v>
                </c:pt>
              </c:numCache>
            </c:numRef>
          </c:val>
        </c:ser>
        <c:marker val="1"/>
        <c:axId val="135612288"/>
        <c:axId val="135613824"/>
      </c:lineChart>
      <c:catAx>
        <c:axId val="1356122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613824"/>
        <c:crosses val="autoZero"/>
        <c:auto val="1"/>
        <c:lblAlgn val="ctr"/>
        <c:lblOffset val="100"/>
      </c:catAx>
      <c:valAx>
        <c:axId val="135613824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61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Sept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'!$F$17:$Y$17</c:f>
              <c:numCache>
                <c:formatCode>0.0%</c:formatCode>
                <c:ptCount val="20"/>
                <c:pt idx="0">
                  <c:v>1.1043037974683545</c:v>
                </c:pt>
                <c:pt idx="1">
                  <c:v>0.38632911392405067</c:v>
                </c:pt>
                <c:pt idx="2">
                  <c:v>0.58430379746835448</c:v>
                </c:pt>
                <c:pt idx="3">
                  <c:v>1.4844050632911392</c:v>
                </c:pt>
                <c:pt idx="4">
                  <c:v>0.66354430379746843</c:v>
                </c:pt>
                <c:pt idx="5">
                  <c:v>0.71918987341772156</c:v>
                </c:pt>
                <c:pt idx="6">
                  <c:v>0.62040506329113931</c:v>
                </c:pt>
                <c:pt idx="7">
                  <c:v>0.94486075949367088</c:v>
                </c:pt>
                <c:pt idx="8">
                  <c:v>1.6584810126582279</c:v>
                </c:pt>
                <c:pt idx="9">
                  <c:v>1.1533164556962026</c:v>
                </c:pt>
                <c:pt idx="10">
                  <c:v>0.71392405063291142</c:v>
                </c:pt>
                <c:pt idx="11">
                  <c:v>0.46050632911392408</c:v>
                </c:pt>
                <c:pt idx="12">
                  <c:v>0.81240506329113926</c:v>
                </c:pt>
                <c:pt idx="13">
                  <c:v>1.3628354430379748</c:v>
                </c:pt>
                <c:pt idx="14">
                  <c:v>0.29772151898734178</c:v>
                </c:pt>
                <c:pt idx="15">
                  <c:v>1.3050632911392406</c:v>
                </c:pt>
                <c:pt idx="16">
                  <c:v>0.85898734177215186</c:v>
                </c:pt>
                <c:pt idx="17">
                  <c:v>1.191139240506329</c:v>
                </c:pt>
                <c:pt idx="18">
                  <c:v>0.74592405063291145</c:v>
                </c:pt>
                <c:pt idx="19">
                  <c:v>1.0886075949367089</c:v>
                </c:pt>
              </c:numCache>
            </c:numRef>
          </c:val>
        </c:ser>
        <c:ser>
          <c:idx val="6"/>
          <c:order val="1"/>
          <c:tx>
            <c:strRef>
              <c:f>'Month - Sept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Sept 2011 '!$F$18:$Y$18</c:f>
              <c:numCache>
                <c:formatCode>0.0%</c:formatCode>
                <c:ptCount val="20"/>
                <c:pt idx="0">
                  <c:v>0.43120000000000003</c:v>
                </c:pt>
                <c:pt idx="1">
                  <c:v>0.76719999999999999</c:v>
                </c:pt>
                <c:pt idx="2">
                  <c:v>1.0568</c:v>
                </c:pt>
                <c:pt idx="3">
                  <c:v>0.76719999999999999</c:v>
                </c:pt>
                <c:pt idx="4">
                  <c:v>1.1192</c:v>
                </c:pt>
                <c:pt idx="5">
                  <c:v>1.4384000000000001</c:v>
                </c:pt>
                <c:pt idx="6">
                  <c:v>1.9656</c:v>
                </c:pt>
                <c:pt idx="7">
                  <c:v>3.5815999999999999</c:v>
                </c:pt>
                <c:pt idx="8">
                  <c:v>2.3664000000000001</c:v>
                </c:pt>
                <c:pt idx="9">
                  <c:v>2.6536</c:v>
                </c:pt>
                <c:pt idx="10">
                  <c:v>0</c:v>
                </c:pt>
                <c:pt idx="11">
                  <c:v>0</c:v>
                </c:pt>
                <c:pt idx="12">
                  <c:v>1.6472</c:v>
                </c:pt>
                <c:pt idx="13">
                  <c:v>0.76719999999999999</c:v>
                </c:pt>
                <c:pt idx="14">
                  <c:v>1.5344</c:v>
                </c:pt>
                <c:pt idx="15">
                  <c:v>0</c:v>
                </c:pt>
                <c:pt idx="16">
                  <c:v>2.2911999999999999</c:v>
                </c:pt>
                <c:pt idx="17">
                  <c:v>0.36639999999999995</c:v>
                </c:pt>
                <c:pt idx="18">
                  <c:v>1.6472</c:v>
                </c:pt>
                <c:pt idx="19">
                  <c:v>0.86240000000000006</c:v>
                </c:pt>
              </c:numCache>
            </c:numRef>
          </c:val>
        </c:ser>
        <c:ser>
          <c:idx val="1"/>
          <c:order val="2"/>
          <c:tx>
            <c:strRef>
              <c:f>'Month - Sept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'!$F$19:$Y$19</c:f>
              <c:numCache>
                <c:formatCode>0.0%</c:formatCode>
                <c:ptCount val="20"/>
                <c:pt idx="0">
                  <c:v>1.5261818181818181</c:v>
                </c:pt>
                <c:pt idx="1">
                  <c:v>1.1756363636363636</c:v>
                </c:pt>
                <c:pt idx="2">
                  <c:v>1.0530909090909091</c:v>
                </c:pt>
                <c:pt idx="3">
                  <c:v>1.4872727272727273</c:v>
                </c:pt>
                <c:pt idx="4">
                  <c:v>0.4356363636363636</c:v>
                </c:pt>
                <c:pt idx="5">
                  <c:v>0.7989090909090909</c:v>
                </c:pt>
                <c:pt idx="6">
                  <c:v>0.5810909090909091</c:v>
                </c:pt>
                <c:pt idx="7">
                  <c:v>0.61745454545454548</c:v>
                </c:pt>
                <c:pt idx="8">
                  <c:v>0.81418181818181812</c:v>
                </c:pt>
                <c:pt idx="9">
                  <c:v>1.3665454545454545</c:v>
                </c:pt>
                <c:pt idx="10">
                  <c:v>0</c:v>
                </c:pt>
                <c:pt idx="11">
                  <c:v>0.83527272727272728</c:v>
                </c:pt>
                <c:pt idx="12">
                  <c:v>1.1120000000000001</c:v>
                </c:pt>
                <c:pt idx="13">
                  <c:v>1.1483636363636363</c:v>
                </c:pt>
                <c:pt idx="14">
                  <c:v>1.5778181818181818</c:v>
                </c:pt>
                <c:pt idx="15">
                  <c:v>0.83599999999999997</c:v>
                </c:pt>
                <c:pt idx="16">
                  <c:v>1.4385454545454546</c:v>
                </c:pt>
                <c:pt idx="17">
                  <c:v>1.974181818181818</c:v>
                </c:pt>
                <c:pt idx="18">
                  <c:v>1.1294545454545455</c:v>
                </c:pt>
                <c:pt idx="19">
                  <c:v>1.1858181818181819</c:v>
                </c:pt>
              </c:numCache>
            </c:numRef>
          </c:val>
        </c:ser>
        <c:ser>
          <c:idx val="2"/>
          <c:order val="3"/>
          <c:tx>
            <c:strRef>
              <c:f>'Month - Sept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'!$F$20:$Y$20</c:f>
              <c:numCache>
                <c:formatCode>0.0%</c:formatCode>
                <c:ptCount val="20"/>
                <c:pt idx="0">
                  <c:v>0.85112107623318389</c:v>
                </c:pt>
                <c:pt idx="1">
                  <c:v>0.25515695067264577</c:v>
                </c:pt>
                <c:pt idx="2">
                  <c:v>0</c:v>
                </c:pt>
                <c:pt idx="3">
                  <c:v>0.25515695067264577</c:v>
                </c:pt>
                <c:pt idx="4">
                  <c:v>0.46816143497757845</c:v>
                </c:pt>
                <c:pt idx="5">
                  <c:v>0</c:v>
                </c:pt>
                <c:pt idx="6">
                  <c:v>0</c:v>
                </c:pt>
                <c:pt idx="7">
                  <c:v>1.4130044843049328</c:v>
                </c:pt>
                <c:pt idx="8">
                  <c:v>0.25515695067264577</c:v>
                </c:pt>
                <c:pt idx="9">
                  <c:v>1.8816143497757847</c:v>
                </c:pt>
                <c:pt idx="10">
                  <c:v>0</c:v>
                </c:pt>
                <c:pt idx="11">
                  <c:v>0.34080717488789236</c:v>
                </c:pt>
                <c:pt idx="12">
                  <c:v>0.25515695067264577</c:v>
                </c:pt>
                <c:pt idx="13">
                  <c:v>0.66367713004484297</c:v>
                </c:pt>
                <c:pt idx="14">
                  <c:v>0.54493273542600895</c:v>
                </c:pt>
                <c:pt idx="15">
                  <c:v>0.21677130044843052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0.82304932735426006</c:v>
                </c:pt>
              </c:numCache>
            </c:numRef>
          </c:val>
        </c:ser>
        <c:ser>
          <c:idx val="3"/>
          <c:order val="4"/>
          <c:tx>
            <c:strRef>
              <c:f>'Month - Sept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'!$F$22:$Y$22</c:f>
              <c:numCache>
                <c:formatCode>0.0%</c:formatCode>
                <c:ptCount val="20"/>
                <c:pt idx="0">
                  <c:v>0.76755980861244022</c:v>
                </c:pt>
                <c:pt idx="1">
                  <c:v>0.8204306220095694</c:v>
                </c:pt>
                <c:pt idx="2">
                  <c:v>0.55827751196172248</c:v>
                </c:pt>
                <c:pt idx="3">
                  <c:v>0.47377990430622008</c:v>
                </c:pt>
                <c:pt idx="4">
                  <c:v>1.1614832535885167</c:v>
                </c:pt>
                <c:pt idx="5">
                  <c:v>0</c:v>
                </c:pt>
                <c:pt idx="6">
                  <c:v>0.7876555023923445</c:v>
                </c:pt>
                <c:pt idx="7">
                  <c:v>1.0134928229665072</c:v>
                </c:pt>
                <c:pt idx="8">
                  <c:v>0.93114832535885173</c:v>
                </c:pt>
                <c:pt idx="9">
                  <c:v>0.52846889952153109</c:v>
                </c:pt>
                <c:pt idx="10">
                  <c:v>0.74062200956937807</c:v>
                </c:pt>
                <c:pt idx="11">
                  <c:v>0.8049760765550239</c:v>
                </c:pt>
                <c:pt idx="12">
                  <c:v>0.36377990430622009</c:v>
                </c:pt>
                <c:pt idx="13">
                  <c:v>0.5481818181818181</c:v>
                </c:pt>
                <c:pt idx="14">
                  <c:v>1.3015311004784689</c:v>
                </c:pt>
                <c:pt idx="15">
                  <c:v>0.76612440191387554</c:v>
                </c:pt>
                <c:pt idx="16">
                  <c:v>0.75014354066985645</c:v>
                </c:pt>
                <c:pt idx="17">
                  <c:v>0.88033492822966508</c:v>
                </c:pt>
                <c:pt idx="18">
                  <c:v>0.7142583732057417</c:v>
                </c:pt>
                <c:pt idx="19">
                  <c:v>1.605311004784689</c:v>
                </c:pt>
              </c:numCache>
            </c:numRef>
          </c:val>
        </c:ser>
        <c:ser>
          <c:idx val="5"/>
          <c:order val="5"/>
          <c:tx>
            <c:strRef>
              <c:f>'Month - Sept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0.29408000000000001</c:v>
                </c:pt>
                <c:pt idx="3">
                  <c:v>0</c:v>
                </c:pt>
                <c:pt idx="4">
                  <c:v>0.19552000000000003</c:v>
                </c:pt>
                <c:pt idx="5">
                  <c:v>0.47919999999999996</c:v>
                </c:pt>
                <c:pt idx="6">
                  <c:v>0.47919999999999996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0.87919999999999998</c:v>
                </c:pt>
                <c:pt idx="11">
                  <c:v>0</c:v>
                </c:pt>
                <c:pt idx="12">
                  <c:v>0.17776000000000003</c:v>
                </c:pt>
                <c:pt idx="13">
                  <c:v>0</c:v>
                </c:pt>
                <c:pt idx="14">
                  <c:v>0.47919999999999996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0.44447999999999999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Sept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'!$F$23:$Y$23</c:f>
              <c:numCache>
                <c:formatCode>0.0%</c:formatCode>
                <c:ptCount val="20"/>
                <c:pt idx="0">
                  <c:v>0.90995515695067264</c:v>
                </c:pt>
                <c:pt idx="1">
                  <c:v>0.62244714926329281</c:v>
                </c:pt>
                <c:pt idx="2">
                  <c:v>0.59104420243433697</c:v>
                </c:pt>
                <c:pt idx="3">
                  <c:v>0.86238308776425365</c:v>
                </c:pt>
                <c:pt idx="4">
                  <c:v>0.72782831518257529</c:v>
                </c:pt>
                <c:pt idx="5">
                  <c:v>0.47628443305573354</c:v>
                </c:pt>
                <c:pt idx="6">
                  <c:v>0.66604740550928887</c:v>
                </c:pt>
                <c:pt idx="7">
                  <c:v>1.10791800128123</c:v>
                </c:pt>
                <c:pt idx="8">
                  <c:v>1.0383856502242153</c:v>
                </c:pt>
                <c:pt idx="9">
                  <c:v>1.1553875720691864</c:v>
                </c:pt>
                <c:pt idx="10">
                  <c:v>0.4493786034593209</c:v>
                </c:pt>
                <c:pt idx="11">
                  <c:v>0.5279180012812299</c:v>
                </c:pt>
                <c:pt idx="12">
                  <c:v>0.68147341447789878</c:v>
                </c:pt>
                <c:pt idx="13">
                  <c:v>0.85019859064702108</c:v>
                </c:pt>
                <c:pt idx="14">
                  <c:v>0.94090967328635489</c:v>
                </c:pt>
                <c:pt idx="15">
                  <c:v>0.71363228699551562</c:v>
                </c:pt>
                <c:pt idx="16">
                  <c:v>0.85513132607303011</c:v>
                </c:pt>
                <c:pt idx="17">
                  <c:v>0.91427290198590649</c:v>
                </c:pt>
                <c:pt idx="18">
                  <c:v>0.74648302370275466</c:v>
                </c:pt>
                <c:pt idx="19">
                  <c:v>1.1008712363869315</c:v>
                </c:pt>
              </c:numCache>
            </c:numRef>
          </c:val>
        </c:ser>
        <c:gapWidth val="75"/>
        <c:axId val="135826048"/>
        <c:axId val="135840128"/>
      </c:barChart>
      <c:catAx>
        <c:axId val="135826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840128"/>
        <c:crosses val="autoZero"/>
        <c:auto val="1"/>
        <c:lblAlgn val="ctr"/>
        <c:lblOffset val="100"/>
      </c:catAx>
      <c:valAx>
        <c:axId val="1358401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5826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Sept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'!$F$38:$Y$38</c:f>
              <c:numCache>
                <c:formatCode>0.0%</c:formatCode>
                <c:ptCount val="20"/>
                <c:pt idx="0">
                  <c:v>1.135746835443038</c:v>
                </c:pt>
                <c:pt idx="1">
                  <c:v>0.76103797468354428</c:v>
                </c:pt>
                <c:pt idx="2">
                  <c:v>0.6407763713080169</c:v>
                </c:pt>
                <c:pt idx="3">
                  <c:v>0.85169620253164557</c:v>
                </c:pt>
                <c:pt idx="4">
                  <c:v>0.8140658227848101</c:v>
                </c:pt>
                <c:pt idx="5">
                  <c:v>0.79825316455696205</c:v>
                </c:pt>
                <c:pt idx="6">
                  <c:v>0.7728462929475588</c:v>
                </c:pt>
                <c:pt idx="7">
                  <c:v>0.79434810126582278</c:v>
                </c:pt>
                <c:pt idx="8">
                  <c:v>0.89036286919831231</c:v>
                </c:pt>
                <c:pt idx="9">
                  <c:v>0.91665822784810125</c:v>
                </c:pt>
                <c:pt idx="10">
                  <c:v>0.89822784810126577</c:v>
                </c:pt>
                <c:pt idx="11">
                  <c:v>0.86175105485232062</c:v>
                </c:pt>
                <c:pt idx="12">
                  <c:v>0.85795520934761427</c:v>
                </c:pt>
                <c:pt idx="13">
                  <c:v>0.89401808318264009</c:v>
                </c:pt>
                <c:pt idx="14">
                  <c:v>0.8344168776371309</c:v>
                </c:pt>
                <c:pt idx="15">
                  <c:v>0.88243987341772157</c:v>
                </c:pt>
                <c:pt idx="16">
                  <c:v>0.88106031273268792</c:v>
                </c:pt>
                <c:pt idx="17">
                  <c:v>0.86908298171589315</c:v>
                </c:pt>
                <c:pt idx="18">
                  <c:v>0.81894470353097937</c:v>
                </c:pt>
                <c:pt idx="19">
                  <c:v>0.81633924050632911</c:v>
                </c:pt>
              </c:numCache>
            </c:numRef>
          </c:val>
        </c:ser>
        <c:ser>
          <c:idx val="6"/>
          <c:order val="1"/>
          <c:tx>
            <c:strRef>
              <c:f>'Month - Sept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'!$F$39:$Y$39</c:f>
              <c:numCache>
                <c:formatCode>0.0%</c:formatCode>
                <c:ptCount val="20"/>
                <c:pt idx="0">
                  <c:v>0.86240000000000006</c:v>
                </c:pt>
                <c:pt idx="1">
                  <c:v>0.81479999999999997</c:v>
                </c:pt>
                <c:pt idx="2">
                  <c:v>0.89546666666666674</c:v>
                </c:pt>
                <c:pt idx="3">
                  <c:v>0.86339999999999995</c:v>
                </c:pt>
                <c:pt idx="4">
                  <c:v>0.77695999999999998</c:v>
                </c:pt>
                <c:pt idx="5">
                  <c:v>1.0737333333333332</c:v>
                </c:pt>
                <c:pt idx="6">
                  <c:v>0.98194285714285701</c:v>
                </c:pt>
                <c:pt idx="7">
                  <c:v>1.337</c:v>
                </c:pt>
                <c:pt idx="8">
                  <c:v>1.6430222222222222</c:v>
                </c:pt>
                <c:pt idx="9">
                  <c:v>1.9151199999999999</c:v>
                </c:pt>
                <c:pt idx="10">
                  <c:v>1.7410181818181816</c:v>
                </c:pt>
                <c:pt idx="11">
                  <c:v>1.5959333333333334</c:v>
                </c:pt>
                <c:pt idx="12">
                  <c:v>1.599876923076923</c:v>
                </c:pt>
                <c:pt idx="13">
                  <c:v>1.5404</c:v>
                </c:pt>
                <c:pt idx="14">
                  <c:v>1.54</c:v>
                </c:pt>
                <c:pt idx="15">
                  <c:v>1.4437500000000001</c:v>
                </c:pt>
                <c:pt idx="16">
                  <c:v>1.4936</c:v>
                </c:pt>
                <c:pt idx="17">
                  <c:v>1.4309777777777777</c:v>
                </c:pt>
                <c:pt idx="18">
                  <c:v>1.4423578947368423</c:v>
                </c:pt>
                <c:pt idx="19">
                  <c:v>1.4133599999999999</c:v>
                </c:pt>
              </c:numCache>
            </c:numRef>
          </c:val>
        </c:ser>
        <c:ser>
          <c:idx val="1"/>
          <c:order val="2"/>
          <c:tx>
            <c:strRef>
              <c:f>'Month - Sept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'!$F$40:$Y$40</c:f>
              <c:numCache>
                <c:formatCode>0.0%</c:formatCode>
                <c:ptCount val="20"/>
                <c:pt idx="0">
                  <c:v>4.5901818181818186</c:v>
                </c:pt>
                <c:pt idx="1">
                  <c:v>2.713090909090909</c:v>
                </c:pt>
                <c:pt idx="2">
                  <c:v>2.3294545454545457</c:v>
                </c:pt>
                <c:pt idx="3">
                  <c:v>2.0099999999999998</c:v>
                </c:pt>
                <c:pt idx="4">
                  <c:v>1.7314909090909092</c:v>
                </c:pt>
                <c:pt idx="5">
                  <c:v>1.5094545454545454</c:v>
                </c:pt>
                <c:pt idx="6">
                  <c:v>1.3457142857142856</c:v>
                </c:pt>
                <c:pt idx="7">
                  <c:v>1.2002272727272727</c:v>
                </c:pt>
                <c:pt idx="8">
                  <c:v>1.1153131313131313</c:v>
                </c:pt>
                <c:pt idx="9">
                  <c:v>1.1513090909090908</c:v>
                </c:pt>
                <c:pt idx="10">
                  <c:v>1.0466446280991735</c:v>
                </c:pt>
                <c:pt idx="11">
                  <c:v>1.029030303030303</c:v>
                </c:pt>
                <c:pt idx="12">
                  <c:v>0.9785454545454545</c:v>
                </c:pt>
                <c:pt idx="13">
                  <c:v>0.96212987012987006</c:v>
                </c:pt>
                <c:pt idx="14">
                  <c:v>0.9935272727272727</c:v>
                </c:pt>
                <c:pt idx="15">
                  <c:v>0.97231818181818186</c:v>
                </c:pt>
                <c:pt idx="16">
                  <c:v>0.96877005347593581</c:v>
                </c:pt>
                <c:pt idx="17">
                  <c:v>1.0357373737373736</c:v>
                </c:pt>
                <c:pt idx="18">
                  <c:v>1.0538564593301434</c:v>
                </c:pt>
                <c:pt idx="19">
                  <c:v>1.0168909090909091</c:v>
                </c:pt>
              </c:numCache>
            </c:numRef>
          </c:val>
        </c:ser>
        <c:ser>
          <c:idx val="2"/>
          <c:order val="3"/>
          <c:tx>
            <c:strRef>
              <c:f>'Month - Sept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'!$F$41:$Y$41</c:f>
              <c:numCache>
                <c:formatCode>0.0%</c:formatCode>
                <c:ptCount val="20"/>
                <c:pt idx="0">
                  <c:v>0.57892376681614355</c:v>
                </c:pt>
                <c:pt idx="1">
                  <c:v>0.71502242152466366</c:v>
                </c:pt>
                <c:pt idx="2">
                  <c:v>0.4766816143497758</c:v>
                </c:pt>
                <c:pt idx="3">
                  <c:v>0.48511210762331841</c:v>
                </c:pt>
                <c:pt idx="4">
                  <c:v>0.38808968609865468</c:v>
                </c:pt>
                <c:pt idx="5">
                  <c:v>0.32340807174887892</c:v>
                </c:pt>
                <c:pt idx="6">
                  <c:v>0.27720691864189623</c:v>
                </c:pt>
                <c:pt idx="7">
                  <c:v>0.24255605381165921</c:v>
                </c:pt>
                <c:pt idx="8">
                  <c:v>0.24395615346287994</c:v>
                </c:pt>
                <c:pt idx="9">
                  <c:v>0.21956053811659193</c:v>
                </c:pt>
                <c:pt idx="10">
                  <c:v>0.45807582551977177</c:v>
                </c:pt>
                <c:pt idx="11">
                  <c:v>0.41990284005979078</c:v>
                </c:pt>
                <c:pt idx="12">
                  <c:v>0.41381855812349083</c:v>
                </c:pt>
                <c:pt idx="13">
                  <c:v>0.42071108263933377</c:v>
                </c:pt>
                <c:pt idx="14">
                  <c:v>0.45622720478325862</c:v>
                </c:pt>
                <c:pt idx="15">
                  <c:v>0.44126681614349778</c:v>
                </c:pt>
                <c:pt idx="16">
                  <c:v>0.41530994460564497</c:v>
                </c:pt>
                <c:pt idx="17">
                  <c:v>0.39223716990533136</c:v>
                </c:pt>
                <c:pt idx="18">
                  <c:v>0.3715931083313665</c:v>
                </c:pt>
                <c:pt idx="19">
                  <c:v>0.39126905829596414</c:v>
                </c:pt>
              </c:numCache>
            </c:numRef>
          </c:val>
        </c:ser>
        <c:ser>
          <c:idx val="5"/>
          <c:order val="4"/>
          <c:tx>
            <c:strRef>
              <c:f>'Month - Sept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'!$F$42:$Y$42</c:f>
              <c:numCache>
                <c:formatCode>0.0%</c:formatCode>
                <c:ptCount val="20"/>
                <c:pt idx="0">
                  <c:v>0.39659192825112105</c:v>
                </c:pt>
                <c:pt idx="1">
                  <c:v>0.19829596412556053</c:v>
                </c:pt>
                <c:pt idx="2">
                  <c:v>0.18714499252615843</c:v>
                </c:pt>
                <c:pt idx="3">
                  <c:v>0.14035874439461885</c:v>
                </c:pt>
                <c:pt idx="4">
                  <c:v>0.13420627802690582</c:v>
                </c:pt>
                <c:pt idx="5">
                  <c:v>0.1566068759342302</c:v>
                </c:pt>
                <c:pt idx="6">
                  <c:v>0.17260730301089047</c:v>
                </c:pt>
                <c:pt idx="7">
                  <c:v>0.15103139013452915</c:v>
                </c:pt>
                <c:pt idx="8">
                  <c:v>0.13425012456402591</c:v>
                </c:pt>
                <c:pt idx="9">
                  <c:v>0.12082511210762333</c:v>
                </c:pt>
                <c:pt idx="10">
                  <c:v>0.15464329392580514</c:v>
                </c:pt>
                <c:pt idx="11">
                  <c:v>0.14175635276532136</c:v>
                </c:pt>
                <c:pt idx="12">
                  <c:v>0.13851672990686445</c:v>
                </c:pt>
                <c:pt idx="13">
                  <c:v>0.12862267777065983</c:v>
                </c:pt>
                <c:pt idx="14">
                  <c:v>0.13795515695067265</c:v>
                </c:pt>
                <c:pt idx="15">
                  <c:v>0.1293329596412556</c:v>
                </c:pt>
                <c:pt idx="16">
                  <c:v>0.12172513848588763</c:v>
                </c:pt>
                <c:pt idx="17">
                  <c:v>0.1149626307922272</c:v>
                </c:pt>
                <c:pt idx="18">
                  <c:v>0.12202501770120368</c:v>
                </c:pt>
                <c:pt idx="19">
                  <c:v>0.1159237668161435</c:v>
                </c:pt>
              </c:numCache>
            </c:numRef>
          </c:val>
        </c:ser>
        <c:ser>
          <c:idx val="3"/>
          <c:order val="5"/>
          <c:tx>
            <c:strRef>
              <c:f>'Month - Sept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'!$F$43:$Y$43</c:f>
              <c:numCache>
                <c:formatCode>0.0%</c:formatCode>
                <c:ptCount val="20"/>
                <c:pt idx="0">
                  <c:v>0.57674641148325356</c:v>
                </c:pt>
                <c:pt idx="1">
                  <c:v>0.78574162679425841</c:v>
                </c:pt>
                <c:pt idx="2">
                  <c:v>0.70992025518341317</c:v>
                </c:pt>
                <c:pt idx="3">
                  <c:v>0.60020334928229668</c:v>
                </c:pt>
                <c:pt idx="4">
                  <c:v>0.66539712918660288</c:v>
                </c:pt>
                <c:pt idx="5">
                  <c:v>0.55449760765550238</c:v>
                </c:pt>
                <c:pt idx="6">
                  <c:v>0.62142857142857144</c:v>
                </c:pt>
                <c:pt idx="7">
                  <c:v>0.6570633971291866</c:v>
                </c:pt>
                <c:pt idx="8">
                  <c:v>0.68752259436469965</c:v>
                </c:pt>
                <c:pt idx="9">
                  <c:v>0.67162200956937801</c:v>
                </c:pt>
                <c:pt idx="10">
                  <c:v>0.67789908655937359</c:v>
                </c:pt>
                <c:pt idx="11">
                  <c:v>0.68848883572567776</c:v>
                </c:pt>
                <c:pt idx="12">
                  <c:v>0.64791682002208317</c:v>
                </c:pt>
                <c:pt idx="13">
                  <c:v>0.62630895420369104</c:v>
                </c:pt>
                <c:pt idx="14">
                  <c:v>0.67132695374800644</c:v>
                </c:pt>
                <c:pt idx="15">
                  <c:v>0.67725478468899525</c:v>
                </c:pt>
                <c:pt idx="16">
                  <c:v>0.6696144103574444</c:v>
                </c:pt>
                <c:pt idx="17">
                  <c:v>0.66918660287081344</c:v>
                </c:pt>
                <c:pt idx="18">
                  <c:v>0.65617728531855968</c:v>
                </c:pt>
                <c:pt idx="19">
                  <c:v>0.68865311004784691</c:v>
                </c:pt>
              </c:numCache>
            </c:numRef>
          </c:val>
        </c:ser>
        <c:ser>
          <c:idx val="4"/>
          <c:order val="6"/>
          <c:tx>
            <c:strRef>
              <c:f>'Month - Sept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Sept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Sept 2011 '!$F$44:$Y$44</c:f>
              <c:numCache>
                <c:formatCode>0.0%</c:formatCode>
                <c:ptCount val="20"/>
                <c:pt idx="0">
                  <c:v>1.4588981422165279</c:v>
                </c:pt>
                <c:pt idx="1">
                  <c:v>1.0766623959000641</c:v>
                </c:pt>
                <c:pt idx="2">
                  <c:v>0.92916079436258814</c:v>
                </c:pt>
                <c:pt idx="3">
                  <c:v>0.88882767456758494</c:v>
                </c:pt>
                <c:pt idx="4">
                  <c:v>0.82603715566944269</c:v>
                </c:pt>
                <c:pt idx="5">
                  <c:v>0.77094811018577836</c:v>
                </c:pt>
                <c:pt idx="6">
                  <c:v>0.74193099661389217</c:v>
                </c:pt>
                <c:pt idx="7">
                  <c:v>0.75168321588725173</c:v>
                </c:pt>
                <c:pt idx="8">
                  <c:v>0.79148409139440534</c:v>
                </c:pt>
                <c:pt idx="9">
                  <c:v>0.81660730301089046</c:v>
                </c:pt>
                <c:pt idx="10">
                  <c:v>0.82014908857958191</c:v>
                </c:pt>
                <c:pt idx="11">
                  <c:v>0.79173926969891084</c:v>
                </c:pt>
                <c:pt idx="12">
                  <c:v>0.77000443502685656</c:v>
                </c:pt>
                <c:pt idx="13">
                  <c:v>0.76526036423538024</c:v>
                </c:pt>
                <c:pt idx="14">
                  <c:v>0.77413965406790519</c:v>
                </c:pt>
                <c:pt idx="15">
                  <c:v>0.77306614349775782</c:v>
                </c:pt>
                <c:pt idx="16">
                  <c:v>0.76924294381429703</c:v>
                </c:pt>
                <c:pt idx="17">
                  <c:v>0.76861840700405715</c:v>
                </c:pt>
                <c:pt idx="18">
                  <c:v>0.7546107421018915</c:v>
                </c:pt>
                <c:pt idx="19">
                  <c:v>0.75575272261370918</c:v>
                </c:pt>
              </c:numCache>
            </c:numRef>
          </c:val>
        </c:ser>
        <c:marker val="1"/>
        <c:axId val="135778688"/>
        <c:axId val="135780224"/>
      </c:lineChart>
      <c:catAx>
        <c:axId val="1357786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780224"/>
        <c:crosses val="autoZero"/>
        <c:auto val="1"/>
        <c:lblAlgn val="ctr"/>
        <c:lblOffset val="100"/>
      </c:catAx>
      <c:valAx>
        <c:axId val="135780224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577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Oct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'!$F$48:$Y$48</c:f>
              <c:numCache>
                <c:formatCode>0</c:formatCode>
                <c:ptCount val="20"/>
                <c:pt idx="0">
                  <c:v>730400</c:v>
                </c:pt>
                <c:pt idx="1">
                  <c:v>540100</c:v>
                </c:pt>
                <c:pt idx="2">
                  <c:v>579600</c:v>
                </c:pt>
                <c:pt idx="3">
                  <c:v>501550</c:v>
                </c:pt>
                <c:pt idx="4">
                  <c:v>401240</c:v>
                </c:pt>
                <c:pt idx="5">
                  <c:v>385483.33333333337</c:v>
                </c:pt>
                <c:pt idx="6">
                  <c:v>369428.57142857148</c:v>
                </c:pt>
                <c:pt idx="7">
                  <c:v>386200</c:v>
                </c:pt>
                <c:pt idx="8">
                  <c:v>367744.44444444444</c:v>
                </c:pt>
                <c:pt idx="9">
                  <c:v>368940</c:v>
                </c:pt>
                <c:pt idx="10">
                  <c:v>354472.72727272729</c:v>
                </c:pt>
                <c:pt idx="11">
                  <c:v>339925</c:v>
                </c:pt>
                <c:pt idx="12">
                  <c:v>339138.46153846156</c:v>
                </c:pt>
                <c:pt idx="13">
                  <c:v>322657.14285714284</c:v>
                </c:pt>
                <c:pt idx="14">
                  <c:v>311320</c:v>
                </c:pt>
                <c:pt idx="15">
                  <c:v>302475</c:v>
                </c:pt>
                <c:pt idx="16">
                  <c:v>291147.0588235294</c:v>
                </c:pt>
                <c:pt idx="17">
                  <c:v>286700</c:v>
                </c:pt>
                <c:pt idx="18">
                  <c:v>284221.05263157893</c:v>
                </c:pt>
                <c:pt idx="19">
                  <c:v>287199</c:v>
                </c:pt>
              </c:numCache>
            </c:numRef>
          </c:val>
        </c:ser>
        <c:ser>
          <c:idx val="6"/>
          <c:order val="1"/>
          <c:tx>
            <c:strRef>
              <c:f>'Month - Oct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'!$F$49:$Y$49</c:f>
              <c:numCache>
                <c:formatCode>0</c:formatCode>
                <c:ptCount val="20"/>
                <c:pt idx="0">
                  <c:v>0</c:v>
                </c:pt>
                <c:pt idx="1">
                  <c:v>131900</c:v>
                </c:pt>
                <c:pt idx="2">
                  <c:v>158500</c:v>
                </c:pt>
                <c:pt idx="3">
                  <c:v>179800</c:v>
                </c:pt>
                <c:pt idx="4">
                  <c:v>199760</c:v>
                </c:pt>
                <c:pt idx="5">
                  <c:v>195116.66666666669</c:v>
                </c:pt>
                <c:pt idx="6">
                  <c:v>178157.14285714287</c:v>
                </c:pt>
                <c:pt idx="7">
                  <c:v>182075</c:v>
                </c:pt>
                <c:pt idx="8">
                  <c:v>172500</c:v>
                </c:pt>
                <c:pt idx="9">
                  <c:v>160640</c:v>
                </c:pt>
                <c:pt idx="10">
                  <c:v>177109.09090909091</c:v>
                </c:pt>
                <c:pt idx="11">
                  <c:v>166841.66666666669</c:v>
                </c:pt>
                <c:pt idx="12">
                  <c:v>167846.15384615381</c:v>
                </c:pt>
                <c:pt idx="13">
                  <c:v>159000</c:v>
                </c:pt>
                <c:pt idx="14">
                  <c:v>148400</c:v>
                </c:pt>
                <c:pt idx="15">
                  <c:v>139125</c:v>
                </c:pt>
                <c:pt idx="16">
                  <c:v>132705.88235294117</c:v>
                </c:pt>
                <c:pt idx="17">
                  <c:v>137988.88888888888</c:v>
                </c:pt>
                <c:pt idx="18">
                  <c:v>130726.31578947368</c:v>
                </c:pt>
                <c:pt idx="19">
                  <c:v>128975</c:v>
                </c:pt>
              </c:numCache>
            </c:numRef>
          </c:val>
        </c:ser>
        <c:ser>
          <c:idx val="1"/>
          <c:order val="2"/>
          <c:tx>
            <c:strRef>
              <c:f>'Month - Oct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'!$F$50:$Y$50</c:f>
              <c:numCache>
                <c:formatCode>0</c:formatCode>
                <c:ptCount val="20"/>
                <c:pt idx="0">
                  <c:v>232000</c:v>
                </c:pt>
                <c:pt idx="1">
                  <c:v>221450</c:v>
                </c:pt>
                <c:pt idx="2">
                  <c:v>154400</c:v>
                </c:pt>
                <c:pt idx="3">
                  <c:v>154925</c:v>
                </c:pt>
                <c:pt idx="4">
                  <c:v>218480</c:v>
                </c:pt>
                <c:pt idx="5">
                  <c:v>232016.66666666669</c:v>
                </c:pt>
                <c:pt idx="6">
                  <c:v>216000</c:v>
                </c:pt>
                <c:pt idx="7">
                  <c:v>223987.5</c:v>
                </c:pt>
                <c:pt idx="8">
                  <c:v>220211.11111111109</c:v>
                </c:pt>
                <c:pt idx="9">
                  <c:v>253140</c:v>
                </c:pt>
                <c:pt idx="10">
                  <c:v>276409.09090909094</c:v>
                </c:pt>
                <c:pt idx="11">
                  <c:v>304250</c:v>
                </c:pt>
                <c:pt idx="12">
                  <c:v>310061.5384615385</c:v>
                </c:pt>
                <c:pt idx="13">
                  <c:v>320592.85714285716</c:v>
                </c:pt>
                <c:pt idx="14">
                  <c:v>317866.66666666669</c:v>
                </c:pt>
                <c:pt idx="15">
                  <c:v>298000</c:v>
                </c:pt>
                <c:pt idx="16">
                  <c:v>299917.64705882355</c:v>
                </c:pt>
                <c:pt idx="17">
                  <c:v>300572.22222222225</c:v>
                </c:pt>
                <c:pt idx="18">
                  <c:v>291642.10526315792</c:v>
                </c:pt>
                <c:pt idx="19">
                  <c:v>302985</c:v>
                </c:pt>
              </c:numCache>
            </c:numRef>
          </c:val>
        </c:ser>
        <c:ser>
          <c:idx val="2"/>
          <c:order val="3"/>
          <c:tx>
            <c:strRef>
              <c:f>'Month - Oct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'!$F$51:$Y$51</c:f>
              <c:numCache>
                <c:formatCode>0</c:formatCode>
                <c:ptCount val="20"/>
                <c:pt idx="0">
                  <c:v>88720</c:v>
                </c:pt>
                <c:pt idx="1">
                  <c:v>76650</c:v>
                </c:pt>
                <c:pt idx="2">
                  <c:v>51100</c:v>
                </c:pt>
                <c:pt idx="3">
                  <c:v>68275</c:v>
                </c:pt>
                <c:pt idx="4">
                  <c:v>54620</c:v>
                </c:pt>
                <c:pt idx="5">
                  <c:v>55873.333333333328</c:v>
                </c:pt>
                <c:pt idx="6">
                  <c:v>76500</c:v>
                </c:pt>
                <c:pt idx="7">
                  <c:v>87102.5</c:v>
                </c:pt>
                <c:pt idx="8">
                  <c:v>89024.444444444453</c:v>
                </c:pt>
                <c:pt idx="9">
                  <c:v>80122</c:v>
                </c:pt>
                <c:pt idx="10">
                  <c:v>90189.090909090897</c:v>
                </c:pt>
                <c:pt idx="11">
                  <c:v>82673.333333333343</c:v>
                </c:pt>
                <c:pt idx="12">
                  <c:v>76313.846153846156</c:v>
                </c:pt>
                <c:pt idx="13">
                  <c:v>81102.857142857145</c:v>
                </c:pt>
                <c:pt idx="14">
                  <c:v>82126.666666666657</c:v>
                </c:pt>
                <c:pt idx="15">
                  <c:v>76993.75</c:v>
                </c:pt>
                <c:pt idx="16">
                  <c:v>79625.882352941175</c:v>
                </c:pt>
                <c:pt idx="17">
                  <c:v>83420</c:v>
                </c:pt>
                <c:pt idx="18">
                  <c:v>79780</c:v>
                </c:pt>
                <c:pt idx="19">
                  <c:v>77691</c:v>
                </c:pt>
              </c:numCache>
            </c:numRef>
          </c:val>
        </c:ser>
        <c:ser>
          <c:idx val="3"/>
          <c:order val="4"/>
          <c:tx>
            <c:strRef>
              <c:f>'Month - Oct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14975</c:v>
                </c:pt>
                <c:pt idx="4">
                  <c:v>11980</c:v>
                </c:pt>
                <c:pt idx="5">
                  <c:v>9983.3333333333339</c:v>
                </c:pt>
                <c:pt idx="6">
                  <c:v>8557.1428571428569</c:v>
                </c:pt>
                <c:pt idx="7">
                  <c:v>13042.5</c:v>
                </c:pt>
                <c:pt idx="8">
                  <c:v>20482.222222222223</c:v>
                </c:pt>
                <c:pt idx="9">
                  <c:v>18434</c:v>
                </c:pt>
                <c:pt idx="10">
                  <c:v>16758.181818181816</c:v>
                </c:pt>
                <c:pt idx="11">
                  <c:v>15361.666666666668</c:v>
                </c:pt>
                <c:pt idx="12">
                  <c:v>20026.153846153844</c:v>
                </c:pt>
                <c:pt idx="13">
                  <c:v>18595.714285714286</c:v>
                </c:pt>
                <c:pt idx="14">
                  <c:v>20156</c:v>
                </c:pt>
                <c:pt idx="15">
                  <c:v>18896.25</c:v>
                </c:pt>
                <c:pt idx="16">
                  <c:v>17784.705882352941</c:v>
                </c:pt>
                <c:pt idx="17">
                  <c:v>16796.666666666668</c:v>
                </c:pt>
                <c:pt idx="18">
                  <c:v>15912.631578947368</c:v>
                </c:pt>
                <c:pt idx="19">
                  <c:v>15117</c:v>
                </c:pt>
              </c:numCache>
            </c:numRef>
          </c:val>
        </c:ser>
        <c:ser>
          <c:idx val="4"/>
          <c:order val="5"/>
          <c:tx>
            <c:strRef>
              <c:f>'Month - Oct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'!$F$53:$Y$53</c:f>
              <c:numCache>
                <c:formatCode>0</c:formatCode>
                <c:ptCount val="20"/>
                <c:pt idx="0">
                  <c:v>687120</c:v>
                </c:pt>
                <c:pt idx="1">
                  <c:v>466430</c:v>
                </c:pt>
                <c:pt idx="2">
                  <c:v>373980</c:v>
                </c:pt>
                <c:pt idx="3">
                  <c:v>329250</c:v>
                </c:pt>
                <c:pt idx="4">
                  <c:v>324868</c:v>
                </c:pt>
                <c:pt idx="5">
                  <c:v>318980</c:v>
                </c:pt>
                <c:pt idx="6">
                  <c:v>311917.14285714284</c:v>
                </c:pt>
                <c:pt idx="7">
                  <c:v>279635</c:v>
                </c:pt>
                <c:pt idx="8">
                  <c:v>276488.88888888888</c:v>
                </c:pt>
                <c:pt idx="9">
                  <c:v>276566</c:v>
                </c:pt>
                <c:pt idx="10">
                  <c:v>290520</c:v>
                </c:pt>
                <c:pt idx="11">
                  <c:v>283311.66666666669</c:v>
                </c:pt>
                <c:pt idx="12">
                  <c:v>270790.76923076925</c:v>
                </c:pt>
                <c:pt idx="13">
                  <c:v>272928.57142857142</c:v>
                </c:pt>
                <c:pt idx="14">
                  <c:v>275658.66666666663</c:v>
                </c:pt>
                <c:pt idx="15">
                  <c:v>271927.5</c:v>
                </c:pt>
                <c:pt idx="16">
                  <c:v>262910.5882352941</c:v>
                </c:pt>
                <c:pt idx="17">
                  <c:v>267602.22222222225</c:v>
                </c:pt>
                <c:pt idx="18">
                  <c:v>264302.10526315792</c:v>
                </c:pt>
                <c:pt idx="19">
                  <c:v>249035</c:v>
                </c:pt>
              </c:numCache>
            </c:numRef>
          </c:val>
        </c:ser>
        <c:ser>
          <c:idx val="5"/>
          <c:order val="6"/>
          <c:tx>
            <c:strRef>
              <c:f>'Month - Oct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Oct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'!$F$54:$Y$54</c:f>
              <c:numCache>
                <c:formatCode>0</c:formatCode>
                <c:ptCount val="20"/>
                <c:pt idx="0">
                  <c:v>1738240</c:v>
                </c:pt>
                <c:pt idx="1">
                  <c:v>1436530</c:v>
                </c:pt>
                <c:pt idx="2">
                  <c:v>1317580</c:v>
                </c:pt>
                <c:pt idx="3">
                  <c:v>1248775</c:v>
                </c:pt>
                <c:pt idx="4">
                  <c:v>1210948</c:v>
                </c:pt>
                <c:pt idx="5">
                  <c:v>1197453.3333333335</c:v>
                </c:pt>
                <c:pt idx="6">
                  <c:v>1160560</c:v>
                </c:pt>
                <c:pt idx="7">
                  <c:v>1172042.5</c:v>
                </c:pt>
                <c:pt idx="8">
                  <c:v>1146451.1111111112</c:v>
                </c:pt>
                <c:pt idx="9">
                  <c:v>1157842</c:v>
                </c:pt>
                <c:pt idx="10">
                  <c:v>1205458.1818181819</c:v>
                </c:pt>
                <c:pt idx="11">
                  <c:v>1192363.3333333335</c:v>
                </c:pt>
                <c:pt idx="12">
                  <c:v>1184176.923076923</c:v>
                </c:pt>
                <c:pt idx="13">
                  <c:v>1174877.142857143</c:v>
                </c:pt>
                <c:pt idx="14">
                  <c:v>1155528</c:v>
                </c:pt>
                <c:pt idx="15">
                  <c:v>1107417.5</c:v>
                </c:pt>
                <c:pt idx="16">
                  <c:v>1084091.7647058824</c:v>
                </c:pt>
                <c:pt idx="17">
                  <c:v>1093080</c:v>
                </c:pt>
                <c:pt idx="18">
                  <c:v>1066584.210526316</c:v>
                </c:pt>
                <c:pt idx="19">
                  <c:v>1061002</c:v>
                </c:pt>
              </c:numCache>
            </c:numRef>
          </c:val>
        </c:ser>
        <c:marker val="1"/>
        <c:axId val="136227456"/>
        <c:axId val="136237440"/>
      </c:lineChart>
      <c:catAx>
        <c:axId val="136227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237440"/>
        <c:crosses val="autoZero"/>
        <c:auto val="1"/>
        <c:lblAlgn val="ctr"/>
        <c:lblOffset val="100"/>
      </c:catAx>
      <c:valAx>
        <c:axId val="13623744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227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Oct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'!$F$17:$Y$17</c:f>
              <c:numCache>
                <c:formatCode>0.0%</c:formatCode>
                <c:ptCount val="20"/>
                <c:pt idx="0">
                  <c:v>0.85974683544303798</c:v>
                </c:pt>
                <c:pt idx="1">
                  <c:v>0.88556962025316455</c:v>
                </c:pt>
                <c:pt idx="2">
                  <c:v>0.88556962025316455</c:v>
                </c:pt>
                <c:pt idx="3">
                  <c:v>0.78177215189873417</c:v>
                </c:pt>
                <c:pt idx="4">
                  <c:v>0.67696202531645566</c:v>
                </c:pt>
                <c:pt idx="5">
                  <c:v>0.77645569620253163</c:v>
                </c:pt>
                <c:pt idx="6">
                  <c:v>0.69139240506329114</c:v>
                </c:pt>
                <c:pt idx="7">
                  <c:v>1.2749367088607595</c:v>
                </c:pt>
                <c:pt idx="8">
                  <c:v>0.55721518987341767</c:v>
                </c:pt>
                <c:pt idx="9">
                  <c:v>0.9612658227848101</c:v>
                </c:pt>
                <c:pt idx="10">
                  <c:v>0.5311392405063291</c:v>
                </c:pt>
                <c:pt idx="11">
                  <c:v>0.45544303797468355</c:v>
                </c:pt>
                <c:pt idx="12">
                  <c:v>0.83468354430379743</c:v>
                </c:pt>
                <c:pt idx="13">
                  <c:v>0.40481012658227844</c:v>
                </c:pt>
                <c:pt idx="14">
                  <c:v>0.83468354430379743</c:v>
                </c:pt>
                <c:pt idx="15">
                  <c:v>0.70810126582278476</c:v>
                </c:pt>
                <c:pt idx="16">
                  <c:v>0.55645569620253166</c:v>
                </c:pt>
                <c:pt idx="17">
                  <c:v>0.40784810126582283</c:v>
                </c:pt>
                <c:pt idx="18">
                  <c:v>0.45493670886075954</c:v>
                </c:pt>
                <c:pt idx="19">
                  <c:v>1.564860759493671</c:v>
                </c:pt>
              </c:numCache>
            </c:numRef>
          </c:val>
        </c:ser>
        <c:ser>
          <c:idx val="6"/>
          <c:order val="1"/>
          <c:tx>
            <c:strRef>
              <c:f>'Month - Oct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Oct 2011 '!$F$18:$Y$18</c:f>
              <c:numCache>
                <c:formatCode>0.0%</c:formatCode>
                <c:ptCount val="20"/>
                <c:pt idx="0">
                  <c:v>0.76719999999999999</c:v>
                </c:pt>
                <c:pt idx="1">
                  <c:v>1.6712</c:v>
                </c:pt>
                <c:pt idx="2">
                  <c:v>2.0136000000000003</c:v>
                </c:pt>
                <c:pt idx="3">
                  <c:v>1.9496</c:v>
                </c:pt>
                <c:pt idx="4">
                  <c:v>1.9167999999999998</c:v>
                </c:pt>
                <c:pt idx="5">
                  <c:v>1.3752</c:v>
                </c:pt>
                <c:pt idx="6">
                  <c:v>0.60799999999999998</c:v>
                </c:pt>
                <c:pt idx="7">
                  <c:v>1.6792</c:v>
                </c:pt>
                <c:pt idx="8">
                  <c:v>0.76719999999999999</c:v>
                </c:pt>
                <c:pt idx="9">
                  <c:v>0.43120000000000003</c:v>
                </c:pt>
                <c:pt idx="10">
                  <c:v>2.7343999999999999</c:v>
                </c:pt>
                <c:pt idx="11">
                  <c:v>0.43120000000000003</c:v>
                </c:pt>
                <c:pt idx="12">
                  <c:v>1.4392</c:v>
                </c:pt>
                <c:pt idx="13">
                  <c:v>0.35199999999999998</c:v>
                </c:pt>
                <c:pt idx="14">
                  <c:v>0</c:v>
                </c:pt>
                <c:pt idx="15">
                  <c:v>0</c:v>
                </c:pt>
                <c:pt idx="16">
                  <c:v>1.1679999999999999</c:v>
                </c:pt>
                <c:pt idx="17">
                  <c:v>1.8224</c:v>
                </c:pt>
                <c:pt idx="18">
                  <c:v>0</c:v>
                </c:pt>
                <c:pt idx="19">
                  <c:v>0.36639999999999995</c:v>
                </c:pt>
              </c:numCache>
            </c:numRef>
          </c:val>
        </c:ser>
        <c:ser>
          <c:idx val="1"/>
          <c:order val="2"/>
          <c:tx>
            <c:strRef>
              <c:f>'Month - Oct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'!$F$19:$Y$19</c:f>
              <c:numCache>
                <c:formatCode>0.0%</c:formatCode>
                <c:ptCount val="20"/>
                <c:pt idx="0">
                  <c:v>1.2466666666666666</c:v>
                </c:pt>
                <c:pt idx="1">
                  <c:v>1.3013333333333335</c:v>
                </c:pt>
                <c:pt idx="2">
                  <c:v>0.96599999999999997</c:v>
                </c:pt>
                <c:pt idx="3">
                  <c:v>0.80299999999999994</c:v>
                </c:pt>
                <c:pt idx="4">
                  <c:v>1.1393333333333333</c:v>
                </c:pt>
                <c:pt idx="5">
                  <c:v>0.89933333333333332</c:v>
                </c:pt>
                <c:pt idx="6">
                  <c:v>1.0523333333333333</c:v>
                </c:pt>
                <c:pt idx="7">
                  <c:v>1.4323333333333332</c:v>
                </c:pt>
                <c:pt idx="8">
                  <c:v>0.73299999999999998</c:v>
                </c:pt>
                <c:pt idx="9">
                  <c:v>1.8316666666666666</c:v>
                </c:pt>
                <c:pt idx="10">
                  <c:v>1.6970000000000001</c:v>
                </c:pt>
                <c:pt idx="11">
                  <c:v>2.0350000000000001</c:v>
                </c:pt>
                <c:pt idx="12">
                  <c:v>1.6353333333333333</c:v>
                </c:pt>
                <c:pt idx="13">
                  <c:v>1.3653333333333333</c:v>
                </c:pt>
                <c:pt idx="14">
                  <c:v>1.3320000000000001</c:v>
                </c:pt>
                <c:pt idx="15">
                  <c:v>0.16966666666666663</c:v>
                </c:pt>
                <c:pt idx="16">
                  <c:v>1.0323333333333333</c:v>
                </c:pt>
                <c:pt idx="17">
                  <c:v>1.3053333333333335</c:v>
                </c:pt>
                <c:pt idx="18">
                  <c:v>0.90266666666666673</c:v>
                </c:pt>
                <c:pt idx="19">
                  <c:v>0.79266666666666663</c:v>
                </c:pt>
              </c:numCache>
            </c:numRef>
          </c:val>
        </c:ser>
        <c:ser>
          <c:idx val="2"/>
          <c:order val="3"/>
          <c:tx>
            <c:strRef>
              <c:f>'Month - Oct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'!$F$20:$Y$20</c:f>
              <c:numCache>
                <c:formatCode>0.0%</c:formatCode>
                <c:ptCount val="20"/>
                <c:pt idx="0">
                  <c:v>0.31289989680082564</c:v>
                </c:pt>
                <c:pt idx="1">
                  <c:v>0.24726522187822497</c:v>
                </c:pt>
                <c:pt idx="2">
                  <c:v>0.24726522187822497</c:v>
                </c:pt>
                <c:pt idx="3">
                  <c:v>0.41197110423116612</c:v>
                </c:pt>
                <c:pt idx="4">
                  <c:v>0</c:v>
                </c:pt>
                <c:pt idx="5">
                  <c:v>0</c:v>
                </c:pt>
                <c:pt idx="6">
                  <c:v>0.98311661506707948</c:v>
                </c:pt>
                <c:pt idx="7">
                  <c:v>0.66584107327141384</c:v>
                </c:pt>
                <c:pt idx="8">
                  <c:v>0.43095975232198147</c:v>
                </c:pt>
                <c:pt idx="9">
                  <c:v>0</c:v>
                </c:pt>
                <c:pt idx="10">
                  <c:v>0.787781217750258</c:v>
                </c:pt>
                <c:pt idx="11">
                  <c:v>0</c:v>
                </c:pt>
                <c:pt idx="12">
                  <c:v>0</c:v>
                </c:pt>
                <c:pt idx="13">
                  <c:v>0.59178534571723418</c:v>
                </c:pt>
                <c:pt idx="14">
                  <c:v>0.66584107327141384</c:v>
                </c:pt>
                <c:pt idx="15">
                  <c:v>0</c:v>
                </c:pt>
                <c:pt idx="16">
                  <c:v>0.23488132094943237</c:v>
                </c:pt>
                <c:pt idx="17">
                  <c:v>0.84549019607843134</c:v>
                </c:pt>
                <c:pt idx="18">
                  <c:v>0.19954592363261092</c:v>
                </c:pt>
                <c:pt idx="19">
                  <c:v>0.15686274509803921</c:v>
                </c:pt>
              </c:numCache>
            </c:numRef>
          </c:val>
        </c:ser>
        <c:ser>
          <c:idx val="3"/>
          <c:order val="4"/>
          <c:tx>
            <c:strRef>
              <c:f>'Month - Oct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'!$F$22:$Y$22</c:f>
              <c:numCache>
                <c:formatCode>0.0%</c:formatCode>
                <c:ptCount val="20"/>
                <c:pt idx="0">
                  <c:v>0.91865136298421812</c:v>
                </c:pt>
                <c:pt idx="1">
                  <c:v>0.79024390243902443</c:v>
                </c:pt>
                <c:pt idx="2">
                  <c:v>0.59473935915829745</c:v>
                </c:pt>
                <c:pt idx="3">
                  <c:v>0.60899091343854617</c:v>
                </c:pt>
                <c:pt idx="4">
                  <c:v>0.73481587757054045</c:v>
                </c:pt>
                <c:pt idx="5">
                  <c:v>0.79033955045432802</c:v>
                </c:pt>
                <c:pt idx="6">
                  <c:v>0.64452415112386419</c:v>
                </c:pt>
                <c:pt idx="7">
                  <c:v>0.47355332376853176</c:v>
                </c:pt>
                <c:pt idx="8">
                  <c:v>0.69354375896700149</c:v>
                </c:pt>
                <c:pt idx="9">
                  <c:v>0.81979913916786229</c:v>
                </c:pt>
                <c:pt idx="10">
                  <c:v>1.0283596365375418</c:v>
                </c:pt>
                <c:pt idx="11">
                  <c:v>0.63395504543280734</c:v>
                </c:pt>
                <c:pt idx="12">
                  <c:v>0.49086561453849831</c:v>
                </c:pt>
                <c:pt idx="13">
                  <c:v>0.71903395504543277</c:v>
                </c:pt>
                <c:pt idx="14">
                  <c:v>0.75054997608799612</c:v>
                </c:pt>
                <c:pt idx="15">
                  <c:v>0.5163558106169297</c:v>
                </c:pt>
                <c:pt idx="16">
                  <c:v>0.72132950741272117</c:v>
                </c:pt>
                <c:pt idx="17">
                  <c:v>0.63041606886657098</c:v>
                </c:pt>
                <c:pt idx="18">
                  <c:v>1.0071257771401243</c:v>
                </c:pt>
                <c:pt idx="19">
                  <c:v>0.72678144428503111</c:v>
                </c:pt>
              </c:numCache>
            </c:numRef>
          </c:val>
        </c:ser>
        <c:ser>
          <c:idx val="5"/>
          <c:order val="5"/>
          <c:tx>
            <c:strRef>
              <c:f>'Month - Oct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0.47919999999999996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0.35551999999999995</c:v>
                </c:pt>
                <c:pt idx="8">
                  <c:v>0.64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1.0871999999999999</c:v>
                </c:pt>
                <c:pt idx="13">
                  <c:v>0</c:v>
                </c:pt>
                <c:pt idx="14">
                  <c:v>0.33599999999999997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Oct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'!$F$23:$Y$23</c:f>
              <c:numCache>
                <c:formatCode>0.0%</c:formatCode>
                <c:ptCount val="20"/>
                <c:pt idx="0">
                  <c:v>0.79073157058768573</c:v>
                </c:pt>
                <c:pt idx="1">
                  <c:v>0.83433305303808902</c:v>
                </c:pt>
                <c:pt idx="2">
                  <c:v>0.74740415459839915</c:v>
                </c:pt>
                <c:pt idx="3">
                  <c:v>0.75229997819925876</c:v>
                </c:pt>
                <c:pt idx="4">
                  <c:v>0.72010962658444666</c:v>
                </c:pt>
                <c:pt idx="5">
                  <c:v>0.67203587779127349</c:v>
                </c:pt>
                <c:pt idx="6">
                  <c:v>0.7303248310442555</c:v>
                </c:pt>
                <c:pt idx="7">
                  <c:v>0.96358030458749888</c:v>
                </c:pt>
                <c:pt idx="8">
                  <c:v>0.62931888255629265</c:v>
                </c:pt>
                <c:pt idx="9">
                  <c:v>0.82589928057553963</c:v>
                </c:pt>
                <c:pt idx="10">
                  <c:v>1.0474321841228316</c:v>
                </c:pt>
                <c:pt idx="11">
                  <c:v>0.69103366657323484</c:v>
                </c:pt>
                <c:pt idx="12">
                  <c:v>0.83551652184745706</c:v>
                </c:pt>
                <c:pt idx="13">
                  <c:v>0.65873119686069326</c:v>
                </c:pt>
                <c:pt idx="14">
                  <c:v>0.77640536921112457</c:v>
                </c:pt>
                <c:pt idx="15">
                  <c:v>0.34042791740633471</c:v>
                </c:pt>
                <c:pt idx="16">
                  <c:v>0.64409355632377219</c:v>
                </c:pt>
                <c:pt idx="17">
                  <c:v>0.77795010744651028</c:v>
                </c:pt>
                <c:pt idx="18">
                  <c:v>0.57306051262885793</c:v>
                </c:pt>
                <c:pt idx="19">
                  <c:v>0.77464885234669412</c:v>
                </c:pt>
              </c:numCache>
            </c:numRef>
          </c:val>
        </c:ser>
        <c:gapWidth val="75"/>
        <c:axId val="136301952"/>
        <c:axId val="136127616"/>
      </c:barChart>
      <c:catAx>
        <c:axId val="1363019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127616"/>
        <c:crosses val="autoZero"/>
        <c:auto val="1"/>
        <c:lblAlgn val="ctr"/>
        <c:lblOffset val="100"/>
      </c:catAx>
      <c:valAx>
        <c:axId val="1361276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301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Oct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'!$F$38:$Y$38</c:f>
              <c:numCache>
                <c:formatCode>0.0%</c:formatCode>
                <c:ptCount val="20"/>
                <c:pt idx="0">
                  <c:v>1.8491139240506329</c:v>
                </c:pt>
                <c:pt idx="1">
                  <c:v>1.3673417721518988</c:v>
                </c:pt>
                <c:pt idx="2">
                  <c:v>1.4673417721518986</c:v>
                </c:pt>
                <c:pt idx="3">
                  <c:v>1.2697468354430379</c:v>
                </c:pt>
                <c:pt idx="4">
                  <c:v>1.0157974683544304</c:v>
                </c:pt>
                <c:pt idx="5">
                  <c:v>0.97590717299578067</c:v>
                </c:pt>
                <c:pt idx="6">
                  <c:v>0.93526220614828226</c:v>
                </c:pt>
                <c:pt idx="7">
                  <c:v>0.97772151898734172</c:v>
                </c:pt>
                <c:pt idx="8">
                  <c:v>0.93099859353023906</c:v>
                </c:pt>
                <c:pt idx="9">
                  <c:v>0.9340253164556962</c:v>
                </c:pt>
                <c:pt idx="10">
                  <c:v>0.89739930955120839</c:v>
                </c:pt>
                <c:pt idx="11">
                  <c:v>0.86056962025316452</c:v>
                </c:pt>
                <c:pt idx="12">
                  <c:v>0.85857838364167482</c:v>
                </c:pt>
                <c:pt idx="13">
                  <c:v>0.8168535262206148</c:v>
                </c:pt>
                <c:pt idx="14">
                  <c:v>0.78815189873417724</c:v>
                </c:pt>
                <c:pt idx="15">
                  <c:v>0.76575949367088603</c:v>
                </c:pt>
                <c:pt idx="16">
                  <c:v>0.73708116157855541</c:v>
                </c:pt>
                <c:pt idx="17">
                  <c:v>0.72582278481012663</c:v>
                </c:pt>
                <c:pt idx="18">
                  <c:v>0.71954696868754164</c:v>
                </c:pt>
                <c:pt idx="19">
                  <c:v>0.72708607594936714</c:v>
                </c:pt>
              </c:numCache>
            </c:numRef>
          </c:val>
        </c:ser>
        <c:ser>
          <c:idx val="6"/>
          <c:order val="1"/>
          <c:tx>
            <c:strRef>
              <c:f>'Month - Oct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1.0551999999999999</c:v>
                </c:pt>
                <c:pt idx="2">
                  <c:v>1.268</c:v>
                </c:pt>
                <c:pt idx="3">
                  <c:v>1.4383999999999999</c:v>
                </c:pt>
                <c:pt idx="4">
                  <c:v>1.5980799999999999</c:v>
                </c:pt>
                <c:pt idx="5">
                  <c:v>1.5609333333333335</c:v>
                </c:pt>
                <c:pt idx="6">
                  <c:v>1.425257142857143</c:v>
                </c:pt>
                <c:pt idx="7">
                  <c:v>1.4565999999999999</c:v>
                </c:pt>
                <c:pt idx="8">
                  <c:v>1.38</c:v>
                </c:pt>
                <c:pt idx="9">
                  <c:v>1.28512</c:v>
                </c:pt>
                <c:pt idx="10">
                  <c:v>1.4168727272727273</c:v>
                </c:pt>
                <c:pt idx="11">
                  <c:v>1.3347333333333335</c:v>
                </c:pt>
                <c:pt idx="12">
                  <c:v>1.3427692307692305</c:v>
                </c:pt>
                <c:pt idx="13">
                  <c:v>1.272</c:v>
                </c:pt>
                <c:pt idx="14">
                  <c:v>1.1872</c:v>
                </c:pt>
                <c:pt idx="15">
                  <c:v>1.113</c:v>
                </c:pt>
                <c:pt idx="16">
                  <c:v>1.0616470588235294</c:v>
                </c:pt>
                <c:pt idx="17">
                  <c:v>1.1039111111111111</c:v>
                </c:pt>
                <c:pt idx="18">
                  <c:v>1.0458105263157895</c:v>
                </c:pt>
                <c:pt idx="19">
                  <c:v>1.0318000000000001</c:v>
                </c:pt>
              </c:numCache>
            </c:numRef>
          </c:val>
        </c:ser>
        <c:ser>
          <c:idx val="1"/>
          <c:order val="2"/>
          <c:tx>
            <c:strRef>
              <c:f>'Month - Oct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'!$F$40:$Y$40</c:f>
              <c:numCache>
                <c:formatCode>0.0%</c:formatCode>
                <c:ptCount val="20"/>
                <c:pt idx="0">
                  <c:v>0.77333333333333332</c:v>
                </c:pt>
                <c:pt idx="1">
                  <c:v>0.73816666666666664</c:v>
                </c:pt>
                <c:pt idx="2">
                  <c:v>0.51466666666666672</c:v>
                </c:pt>
                <c:pt idx="3">
                  <c:v>0.51641666666666663</c:v>
                </c:pt>
                <c:pt idx="4">
                  <c:v>0.72826666666666662</c:v>
                </c:pt>
                <c:pt idx="5">
                  <c:v>0.7733888888888889</c:v>
                </c:pt>
                <c:pt idx="6">
                  <c:v>0.72</c:v>
                </c:pt>
                <c:pt idx="7">
                  <c:v>0.74662499999999998</c:v>
                </c:pt>
                <c:pt idx="8">
                  <c:v>0.73403703703703693</c:v>
                </c:pt>
                <c:pt idx="9">
                  <c:v>0.84379999999999999</c:v>
                </c:pt>
                <c:pt idx="10">
                  <c:v>0.9213636363636365</c:v>
                </c:pt>
                <c:pt idx="11">
                  <c:v>1.0141666666666667</c:v>
                </c:pt>
                <c:pt idx="12">
                  <c:v>1.0335384615384617</c:v>
                </c:pt>
                <c:pt idx="13">
                  <c:v>1.0686428571428572</c:v>
                </c:pt>
                <c:pt idx="14">
                  <c:v>1.0595555555555556</c:v>
                </c:pt>
                <c:pt idx="15">
                  <c:v>0.99333333333333329</c:v>
                </c:pt>
                <c:pt idx="16">
                  <c:v>0.99972549019607848</c:v>
                </c:pt>
                <c:pt idx="17">
                  <c:v>1.0019074074074075</c:v>
                </c:pt>
                <c:pt idx="18">
                  <c:v>0.97214035087719308</c:v>
                </c:pt>
                <c:pt idx="19">
                  <c:v>1.0099499999999999</c:v>
                </c:pt>
              </c:numCache>
            </c:numRef>
          </c:val>
        </c:ser>
        <c:ser>
          <c:idx val="2"/>
          <c:order val="3"/>
          <c:tx>
            <c:strRef>
              <c:f>'Month - Oct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'!$F$41:$Y$41</c:f>
              <c:numCache>
                <c:formatCode>0.0%</c:formatCode>
                <c:ptCount val="20"/>
                <c:pt idx="0">
                  <c:v>0.36623323013415893</c:v>
                </c:pt>
                <c:pt idx="1">
                  <c:v>0.31640866873065016</c:v>
                </c:pt>
                <c:pt idx="2">
                  <c:v>0.21093911248710009</c:v>
                </c:pt>
                <c:pt idx="3">
                  <c:v>0.28183694530443759</c:v>
                </c:pt>
                <c:pt idx="4">
                  <c:v>0.22546955624355006</c:v>
                </c:pt>
                <c:pt idx="5">
                  <c:v>0.23064327485380115</c:v>
                </c:pt>
                <c:pt idx="6">
                  <c:v>0.31578947368421051</c:v>
                </c:pt>
                <c:pt idx="7">
                  <c:v>0.35955624355005161</c:v>
                </c:pt>
                <c:pt idx="8">
                  <c:v>0.36748996674693274</c:v>
                </c:pt>
                <c:pt idx="9">
                  <c:v>0.3307409700722394</c:v>
                </c:pt>
                <c:pt idx="10">
                  <c:v>0.37229758889201608</c:v>
                </c:pt>
                <c:pt idx="11">
                  <c:v>0.3412727898176815</c:v>
                </c:pt>
                <c:pt idx="12">
                  <c:v>0.31502103675478288</c:v>
                </c:pt>
                <c:pt idx="13">
                  <c:v>0.33478991596638658</c:v>
                </c:pt>
                <c:pt idx="14">
                  <c:v>0.33901616787065697</c:v>
                </c:pt>
                <c:pt idx="15">
                  <c:v>0.31782765737874097</c:v>
                </c:pt>
                <c:pt idx="16">
                  <c:v>0.32869301280883872</c:v>
                </c:pt>
                <c:pt idx="17">
                  <c:v>0.3443550051599587</c:v>
                </c:pt>
                <c:pt idx="18">
                  <c:v>0.32932920536635707</c:v>
                </c:pt>
                <c:pt idx="19">
                  <c:v>0.32070588235294117</c:v>
                </c:pt>
              </c:numCache>
            </c:numRef>
          </c:val>
        </c:ser>
        <c:ser>
          <c:idx val="5"/>
          <c:order val="4"/>
          <c:tx>
            <c:strRef>
              <c:f>'Month - Oct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6.1816305469556243E-2</c:v>
                </c:pt>
                <c:pt idx="4">
                  <c:v>4.9453044375644996E-2</c:v>
                </c:pt>
                <c:pt idx="5">
                  <c:v>4.1210870313037495E-2</c:v>
                </c:pt>
                <c:pt idx="6">
                  <c:v>3.5323603125460706E-2</c:v>
                </c:pt>
                <c:pt idx="7">
                  <c:v>5.3839009287925697E-2</c:v>
                </c:pt>
                <c:pt idx="8">
                  <c:v>8.454993693383786E-2</c:v>
                </c:pt>
                <c:pt idx="9">
                  <c:v>7.6094943240454072E-2</c:v>
                </c:pt>
                <c:pt idx="10">
                  <c:v>6.9177221127685512E-2</c:v>
                </c:pt>
                <c:pt idx="11">
                  <c:v>6.3412452700378402E-2</c:v>
                </c:pt>
                <c:pt idx="12">
                  <c:v>8.2667301738509155E-2</c:v>
                </c:pt>
                <c:pt idx="13">
                  <c:v>7.6762494471472806E-2</c:v>
                </c:pt>
                <c:pt idx="14">
                  <c:v>8.3203302373581006E-2</c:v>
                </c:pt>
                <c:pt idx="15">
                  <c:v>7.8003095975232195E-2</c:v>
                </c:pt>
                <c:pt idx="16">
                  <c:v>7.3414678564924424E-2</c:v>
                </c:pt>
                <c:pt idx="17">
                  <c:v>6.9336085311317519E-2</c:v>
                </c:pt>
                <c:pt idx="18">
                  <c:v>6.5686817663353436E-2</c:v>
                </c:pt>
                <c:pt idx="19">
                  <c:v>6.2402476780185762E-2</c:v>
                </c:pt>
              </c:numCache>
            </c:numRef>
          </c:val>
        </c:ser>
        <c:ser>
          <c:idx val="3"/>
          <c:order val="5"/>
          <c:tx>
            <c:strRef>
              <c:f>'Month - Oct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'!$F$43:$Y$43</c:f>
              <c:numCache>
                <c:formatCode>0.0%</c:formatCode>
                <c:ptCount val="20"/>
                <c:pt idx="0">
                  <c:v>1.6430416068866571</c:v>
                </c:pt>
                <c:pt idx="1">
                  <c:v>1.115327594452415</c:v>
                </c:pt>
                <c:pt idx="2">
                  <c:v>0.89426111908177908</c:v>
                </c:pt>
                <c:pt idx="3">
                  <c:v>0.7873027259684362</c:v>
                </c:pt>
                <c:pt idx="4">
                  <c:v>0.77682448589191777</c:v>
                </c:pt>
                <c:pt idx="5">
                  <c:v>0.76274509803921564</c:v>
                </c:pt>
                <c:pt idx="6">
                  <c:v>0.74585639133702253</c:v>
                </c:pt>
                <c:pt idx="7">
                  <c:v>0.66866331898613107</c:v>
                </c:pt>
                <c:pt idx="8">
                  <c:v>0.66114033689356499</c:v>
                </c:pt>
                <c:pt idx="9">
                  <c:v>0.66132472501195605</c:v>
                </c:pt>
                <c:pt idx="10">
                  <c:v>0.69469153515064563</c:v>
                </c:pt>
                <c:pt idx="11">
                  <c:v>0.67745496572612784</c:v>
                </c:pt>
                <c:pt idx="12">
                  <c:v>0.64751499098701404</c:v>
                </c:pt>
                <c:pt idx="13">
                  <c:v>0.65262690442030469</c:v>
                </c:pt>
                <c:pt idx="14">
                  <c:v>0.65915510919815068</c:v>
                </c:pt>
                <c:pt idx="15">
                  <c:v>0.65023314203730276</c:v>
                </c:pt>
                <c:pt idx="16">
                  <c:v>0.62867189917573907</c:v>
                </c:pt>
                <c:pt idx="17">
                  <c:v>0.63989053616026359</c:v>
                </c:pt>
                <c:pt idx="18">
                  <c:v>0.63199929522515041</c:v>
                </c:pt>
                <c:pt idx="19">
                  <c:v>0.59549258727881393</c:v>
                </c:pt>
              </c:numCache>
            </c:numRef>
          </c:val>
        </c:ser>
        <c:ser>
          <c:idx val="4"/>
          <c:order val="6"/>
          <c:tx>
            <c:strRef>
              <c:f>'Month - Oct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Oct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Oct 2011 '!$F$44:$Y$44</c:f>
              <c:numCache>
                <c:formatCode>0.0%</c:formatCode>
                <c:ptCount val="20"/>
                <c:pt idx="0">
                  <c:v>1.0827120122084151</c:v>
                </c:pt>
                <c:pt idx="1">
                  <c:v>0.89478339406396956</c:v>
                </c:pt>
                <c:pt idx="2">
                  <c:v>0.82069201781432</c:v>
                </c:pt>
                <c:pt idx="3">
                  <c:v>0.77783487495717707</c:v>
                </c:pt>
                <c:pt idx="4">
                  <c:v>0.7542732567192999</c:v>
                </c:pt>
                <c:pt idx="5">
                  <c:v>0.74586772140728985</c:v>
                </c:pt>
                <c:pt idx="6">
                  <c:v>0.72288766389485815</c:v>
                </c:pt>
                <c:pt idx="7">
                  <c:v>0.73003986421252609</c:v>
                </c:pt>
                <c:pt idx="8">
                  <c:v>0.71409954287652133</c:v>
                </c:pt>
                <c:pt idx="9">
                  <c:v>0.72119468061914105</c:v>
                </c:pt>
                <c:pt idx="10">
                  <c:v>0.7508537679891506</c:v>
                </c:pt>
                <c:pt idx="11">
                  <c:v>0.74269727075482483</c:v>
                </c:pt>
                <c:pt idx="12">
                  <c:v>0.73759813328158652</c:v>
                </c:pt>
                <c:pt idx="13">
                  <c:v>0.73180550179522441</c:v>
                </c:pt>
                <c:pt idx="14">
                  <c:v>0.71975334018499482</c:v>
                </c:pt>
                <c:pt idx="15">
                  <c:v>0.68978635273599298</c:v>
                </c:pt>
                <c:pt idx="16">
                  <c:v>0.67525725790643276</c:v>
                </c:pt>
                <c:pt idx="17">
                  <c:v>0.68085583481266931</c:v>
                </c:pt>
                <c:pt idx="18">
                  <c:v>0.66435218195914914</c:v>
                </c:pt>
                <c:pt idx="19">
                  <c:v>0.66087514404061165</c:v>
                </c:pt>
              </c:numCache>
            </c:numRef>
          </c:val>
        </c:ser>
        <c:marker val="1"/>
        <c:axId val="136385664"/>
        <c:axId val="136387200"/>
      </c:lineChart>
      <c:catAx>
        <c:axId val="136385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387200"/>
        <c:crosses val="autoZero"/>
        <c:auto val="1"/>
        <c:lblAlgn val="ctr"/>
        <c:lblOffset val="100"/>
      </c:catAx>
      <c:valAx>
        <c:axId val="136387200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385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Nov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'!$F$48:$Y$48</c:f>
              <c:numCache>
                <c:formatCode>0</c:formatCode>
                <c:ptCount val="20"/>
                <c:pt idx="0">
                  <c:v>660260</c:v>
                </c:pt>
                <c:pt idx="1">
                  <c:v>387360</c:v>
                </c:pt>
                <c:pt idx="2">
                  <c:v>392633.33333333337</c:v>
                </c:pt>
                <c:pt idx="3">
                  <c:v>366525</c:v>
                </c:pt>
                <c:pt idx="4">
                  <c:v>417784</c:v>
                </c:pt>
                <c:pt idx="5">
                  <c:v>377446.66666666663</c:v>
                </c:pt>
                <c:pt idx="6">
                  <c:v>379691.42857142852</c:v>
                </c:pt>
                <c:pt idx="7">
                  <c:v>396305</c:v>
                </c:pt>
                <c:pt idx="8">
                  <c:v>391791.11111111112</c:v>
                </c:pt>
                <c:pt idx="9">
                  <c:v>369112</c:v>
                </c:pt>
                <c:pt idx="10">
                  <c:v>357840</c:v>
                </c:pt>
                <c:pt idx="11">
                  <c:v>359298.33333333337</c:v>
                </c:pt>
                <c:pt idx="12">
                  <c:v>336329.23076923075</c:v>
                </c:pt>
                <c:pt idx="13">
                  <c:v>333852.85714285716</c:v>
                </c:pt>
                <c:pt idx="14">
                  <c:v>337430.66666666663</c:v>
                </c:pt>
                <c:pt idx="15">
                  <c:v>337095</c:v>
                </c:pt>
                <c:pt idx="16">
                  <c:v>328260</c:v>
                </c:pt>
                <c:pt idx="17">
                  <c:v>335181.11111111112</c:v>
                </c:pt>
                <c:pt idx="18">
                  <c:v>335472.63157894742</c:v>
                </c:pt>
                <c:pt idx="19">
                  <c:v>318574</c:v>
                </c:pt>
              </c:numCache>
            </c:numRef>
          </c:val>
        </c:ser>
        <c:ser>
          <c:idx val="6"/>
          <c:order val="1"/>
          <c:tx>
            <c:strRef>
              <c:f>'Month - Nov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'!$F$49:$Y$49</c:f>
              <c:numCache>
                <c:formatCode>0</c:formatCode>
                <c:ptCount val="20"/>
                <c:pt idx="0">
                  <c:v>0</c:v>
                </c:pt>
                <c:pt idx="1">
                  <c:v>49850</c:v>
                </c:pt>
                <c:pt idx="2">
                  <c:v>51200</c:v>
                </c:pt>
                <c:pt idx="3">
                  <c:v>38400</c:v>
                </c:pt>
                <c:pt idx="4">
                  <c:v>30720</c:v>
                </c:pt>
                <c:pt idx="5">
                  <c:v>25600</c:v>
                </c:pt>
                <c:pt idx="6">
                  <c:v>65328.571428571435</c:v>
                </c:pt>
                <c:pt idx="7">
                  <c:v>57162.5</c:v>
                </c:pt>
                <c:pt idx="8">
                  <c:v>72800</c:v>
                </c:pt>
                <c:pt idx="9">
                  <c:v>81690</c:v>
                </c:pt>
                <c:pt idx="10">
                  <c:v>123600</c:v>
                </c:pt>
                <c:pt idx="11">
                  <c:v>117791.66666666666</c:v>
                </c:pt>
                <c:pt idx="12">
                  <c:v>112876.92307692309</c:v>
                </c:pt>
                <c:pt idx="13">
                  <c:v>109814.28571428571</c:v>
                </c:pt>
                <c:pt idx="14">
                  <c:v>99693.333333333343</c:v>
                </c:pt>
                <c:pt idx="15">
                  <c:v>93462.5</c:v>
                </c:pt>
                <c:pt idx="16">
                  <c:v>96194.117647058825</c:v>
                </c:pt>
                <c:pt idx="17">
                  <c:v>95733.333333333343</c:v>
                </c:pt>
                <c:pt idx="18">
                  <c:v>90694.736842105267</c:v>
                </c:pt>
                <c:pt idx="19">
                  <c:v>93591</c:v>
                </c:pt>
              </c:numCache>
            </c:numRef>
          </c:val>
        </c:ser>
        <c:ser>
          <c:idx val="1"/>
          <c:order val="2"/>
          <c:tx>
            <c:strRef>
              <c:f>'Month - Nov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'!$F$50:$Y$50</c:f>
              <c:numCache>
                <c:formatCode>0</c:formatCode>
                <c:ptCount val="20"/>
                <c:pt idx="0">
                  <c:v>89900</c:v>
                </c:pt>
                <c:pt idx="1">
                  <c:v>15450</c:v>
                </c:pt>
                <c:pt idx="2">
                  <c:v>40300</c:v>
                </c:pt>
                <c:pt idx="3">
                  <c:v>30225</c:v>
                </c:pt>
                <c:pt idx="4">
                  <c:v>24180</c:v>
                </c:pt>
                <c:pt idx="5">
                  <c:v>35133.333333333336</c:v>
                </c:pt>
                <c:pt idx="6">
                  <c:v>37257.142857142855</c:v>
                </c:pt>
                <c:pt idx="7">
                  <c:v>64450</c:v>
                </c:pt>
                <c:pt idx="8">
                  <c:v>84611.111111111109</c:v>
                </c:pt>
                <c:pt idx="9">
                  <c:v>88140</c:v>
                </c:pt>
                <c:pt idx="10">
                  <c:v>115627.27272727272</c:v>
                </c:pt>
                <c:pt idx="11">
                  <c:v>131800</c:v>
                </c:pt>
                <c:pt idx="12">
                  <c:v>139030.76923076925</c:v>
                </c:pt>
                <c:pt idx="13">
                  <c:v>170771.42857142858</c:v>
                </c:pt>
                <c:pt idx="14">
                  <c:v>179373.33333333331</c:v>
                </c:pt>
                <c:pt idx="15">
                  <c:v>184400</c:v>
                </c:pt>
                <c:pt idx="16">
                  <c:v>189452.9411764706</c:v>
                </c:pt>
                <c:pt idx="17">
                  <c:v>184477.77777777778</c:v>
                </c:pt>
                <c:pt idx="18">
                  <c:v>183194.73684210528</c:v>
                </c:pt>
                <c:pt idx="19">
                  <c:v>176995</c:v>
                </c:pt>
              </c:numCache>
            </c:numRef>
          </c:val>
        </c:ser>
        <c:ser>
          <c:idx val="2"/>
          <c:order val="3"/>
          <c:tx>
            <c:strRef>
              <c:f>'Month - Nov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'!$F$51:$Y$51</c:f>
              <c:numCache>
                <c:formatCode>0</c:formatCode>
                <c:ptCount val="20"/>
                <c:pt idx="0">
                  <c:v>91000</c:v>
                </c:pt>
                <c:pt idx="1">
                  <c:v>98130</c:v>
                </c:pt>
                <c:pt idx="2">
                  <c:v>103360</c:v>
                </c:pt>
                <c:pt idx="3">
                  <c:v>91745</c:v>
                </c:pt>
                <c:pt idx="4">
                  <c:v>94276</c:v>
                </c:pt>
                <c:pt idx="5">
                  <c:v>132476.66666666666</c:v>
                </c:pt>
                <c:pt idx="6">
                  <c:v>121680</c:v>
                </c:pt>
                <c:pt idx="7">
                  <c:v>106470</c:v>
                </c:pt>
                <c:pt idx="8">
                  <c:v>100962.22222222222</c:v>
                </c:pt>
                <c:pt idx="9">
                  <c:v>90866</c:v>
                </c:pt>
                <c:pt idx="10">
                  <c:v>82605.454545454544</c:v>
                </c:pt>
                <c:pt idx="11">
                  <c:v>78881.666666666672</c:v>
                </c:pt>
                <c:pt idx="12">
                  <c:v>62686.153846153844</c:v>
                </c:pt>
                <c:pt idx="13">
                  <c:v>75131.428571428565</c:v>
                </c:pt>
                <c:pt idx="14">
                  <c:v>73916</c:v>
                </c:pt>
                <c:pt idx="15">
                  <c:v>79966.25</c:v>
                </c:pt>
                <c:pt idx="16">
                  <c:v>77491.76470588235</c:v>
                </c:pt>
                <c:pt idx="17">
                  <c:v>76347.777777777781</c:v>
                </c:pt>
                <c:pt idx="18">
                  <c:v>84940</c:v>
                </c:pt>
                <c:pt idx="19">
                  <c:v>87520</c:v>
                </c:pt>
              </c:numCache>
            </c:numRef>
          </c:val>
        </c:ser>
        <c:ser>
          <c:idx val="3"/>
          <c:order val="4"/>
          <c:tx>
            <c:strRef>
              <c:f>'Month - Nov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'!$F$52:$Y$52</c:f>
              <c:numCache>
                <c:formatCode>0</c:formatCode>
                <c:ptCount val="20"/>
                <c:pt idx="0">
                  <c:v>0</c:v>
                </c:pt>
                <c:pt idx="1">
                  <c:v>29950</c:v>
                </c:pt>
                <c:pt idx="2">
                  <c:v>19966.666666666668</c:v>
                </c:pt>
                <c:pt idx="3">
                  <c:v>14975</c:v>
                </c:pt>
                <c:pt idx="4">
                  <c:v>29756</c:v>
                </c:pt>
                <c:pt idx="5">
                  <c:v>34780</c:v>
                </c:pt>
                <c:pt idx="6">
                  <c:v>29811.428571428572</c:v>
                </c:pt>
                <c:pt idx="7">
                  <c:v>26085</c:v>
                </c:pt>
                <c:pt idx="8">
                  <c:v>23186.666666666664</c:v>
                </c:pt>
                <c:pt idx="9">
                  <c:v>20868</c:v>
                </c:pt>
                <c:pt idx="10">
                  <c:v>18970.909090909088</c:v>
                </c:pt>
                <c:pt idx="11">
                  <c:v>17390</c:v>
                </c:pt>
                <c:pt idx="12">
                  <c:v>18360</c:v>
                </c:pt>
                <c:pt idx="13">
                  <c:v>17048.571428571428</c:v>
                </c:pt>
                <c:pt idx="14">
                  <c:v>17393.333333333332</c:v>
                </c:pt>
                <c:pt idx="15">
                  <c:v>16306.25</c:v>
                </c:pt>
                <c:pt idx="16">
                  <c:v>15347.058823529413</c:v>
                </c:pt>
                <c:pt idx="17">
                  <c:v>14494.444444444443</c:v>
                </c:pt>
                <c:pt idx="18">
                  <c:v>19578.947368421053</c:v>
                </c:pt>
                <c:pt idx="19">
                  <c:v>21100</c:v>
                </c:pt>
              </c:numCache>
            </c:numRef>
          </c:val>
        </c:ser>
        <c:ser>
          <c:idx val="4"/>
          <c:order val="5"/>
          <c:tx>
            <c:strRef>
              <c:f>'Month - Nov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'!$F$53:$Y$53</c:f>
              <c:numCache>
                <c:formatCode>0</c:formatCode>
                <c:ptCount val="20"/>
                <c:pt idx="0">
                  <c:v>942260</c:v>
                </c:pt>
                <c:pt idx="1">
                  <c:v>625020</c:v>
                </c:pt>
                <c:pt idx="2">
                  <c:v>482693.33333333337</c:v>
                </c:pt>
                <c:pt idx="3">
                  <c:v>422715</c:v>
                </c:pt>
                <c:pt idx="4">
                  <c:v>403012</c:v>
                </c:pt>
                <c:pt idx="5">
                  <c:v>355216.66666666663</c:v>
                </c:pt>
                <c:pt idx="6">
                  <c:v>345114.28571428574</c:v>
                </c:pt>
                <c:pt idx="7">
                  <c:v>336900</c:v>
                </c:pt>
                <c:pt idx="8">
                  <c:v>338022.22222222219</c:v>
                </c:pt>
                <c:pt idx="9">
                  <c:v>330010</c:v>
                </c:pt>
                <c:pt idx="10">
                  <c:v>345618.18181818182</c:v>
                </c:pt>
                <c:pt idx="11">
                  <c:v>329240</c:v>
                </c:pt>
                <c:pt idx="12">
                  <c:v>319561.5384615385</c:v>
                </c:pt>
                <c:pt idx="13">
                  <c:v>325862.85714285716</c:v>
                </c:pt>
                <c:pt idx="14">
                  <c:v>336164</c:v>
                </c:pt>
                <c:pt idx="15">
                  <c:v>323523.75</c:v>
                </c:pt>
                <c:pt idx="16">
                  <c:v>314034.1176470588</c:v>
                </c:pt>
                <c:pt idx="17">
                  <c:v>292546.66666666669</c:v>
                </c:pt>
                <c:pt idx="18">
                  <c:v>280829.47368421056</c:v>
                </c:pt>
                <c:pt idx="19">
                  <c:v>284825</c:v>
                </c:pt>
              </c:numCache>
            </c:numRef>
          </c:val>
        </c:ser>
        <c:ser>
          <c:idx val="5"/>
          <c:order val="6"/>
          <c:tx>
            <c:strRef>
              <c:f>'Month - Nov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'!$F$54:$Y$54</c:f>
              <c:numCache>
                <c:formatCode>0</c:formatCode>
                <c:ptCount val="20"/>
                <c:pt idx="0">
                  <c:v>1783420</c:v>
                </c:pt>
                <c:pt idx="1">
                  <c:v>1205760</c:v>
                </c:pt>
                <c:pt idx="2">
                  <c:v>1090153.3333333335</c:v>
                </c:pt>
                <c:pt idx="3">
                  <c:v>964585</c:v>
                </c:pt>
                <c:pt idx="4">
                  <c:v>999728</c:v>
                </c:pt>
                <c:pt idx="5">
                  <c:v>960653.33333333326</c:v>
                </c:pt>
                <c:pt idx="6">
                  <c:v>978882.85714285704</c:v>
                </c:pt>
                <c:pt idx="7">
                  <c:v>987372.5</c:v>
                </c:pt>
                <c:pt idx="8">
                  <c:v>1011373.3333333333</c:v>
                </c:pt>
                <c:pt idx="9">
                  <c:v>980686</c:v>
                </c:pt>
                <c:pt idx="10">
                  <c:v>1044261.8181818181</c:v>
                </c:pt>
                <c:pt idx="11">
                  <c:v>1034401.6666666666</c:v>
                </c:pt>
                <c:pt idx="12">
                  <c:v>988844.61538461549</c:v>
                </c:pt>
                <c:pt idx="13">
                  <c:v>1032481.4285714285</c:v>
                </c:pt>
                <c:pt idx="14">
                  <c:v>1043970.6666666666</c:v>
                </c:pt>
                <c:pt idx="15">
                  <c:v>1034753.75</c:v>
                </c:pt>
                <c:pt idx="16">
                  <c:v>1020780</c:v>
                </c:pt>
                <c:pt idx="17">
                  <c:v>998781.11111111124</c:v>
                </c:pt>
                <c:pt idx="18">
                  <c:v>994710.52631578955</c:v>
                </c:pt>
                <c:pt idx="19">
                  <c:v>982605</c:v>
                </c:pt>
              </c:numCache>
            </c:numRef>
          </c:val>
        </c:ser>
        <c:marker val="1"/>
        <c:axId val="136572288"/>
        <c:axId val="136455296"/>
      </c:lineChart>
      <c:catAx>
        <c:axId val="1365722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455296"/>
        <c:crosses val="autoZero"/>
        <c:auto val="1"/>
        <c:lblAlgn val="ctr"/>
        <c:lblOffset val="100"/>
      </c:catAx>
      <c:valAx>
        <c:axId val="13645529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57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31009501006247"/>
          <c:y val="0.92174004336416093"/>
          <c:w val="8.4064404230173764E-2"/>
          <c:h val="6.956521739130440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Nov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'!$F$17:$Y$17</c:f>
              <c:numCache>
                <c:formatCode>0.0%</c:formatCode>
                <c:ptCount val="20"/>
                <c:pt idx="0">
                  <c:v>0.97701265822784811</c:v>
                </c:pt>
                <c:pt idx="1">
                  <c:v>0.28977215189873418</c:v>
                </c:pt>
                <c:pt idx="2">
                  <c:v>1.018886075949367</c:v>
                </c:pt>
                <c:pt idx="3">
                  <c:v>0.73144303797468346</c:v>
                </c:pt>
                <c:pt idx="4">
                  <c:v>1.576759493670886</c:v>
                </c:pt>
                <c:pt idx="5">
                  <c:v>0.44496202531645568</c:v>
                </c:pt>
                <c:pt idx="6">
                  <c:v>0.99534177215189878</c:v>
                </c:pt>
                <c:pt idx="7">
                  <c:v>1.2977215189873417</c:v>
                </c:pt>
                <c:pt idx="8">
                  <c:v>0.90045569620253163</c:v>
                </c:pt>
                <c:pt idx="9">
                  <c:v>0.42658227848101271</c:v>
                </c:pt>
                <c:pt idx="10">
                  <c:v>0.62055696202531641</c:v>
                </c:pt>
                <c:pt idx="11">
                  <c:v>0.94136708860759488</c:v>
                </c:pt>
                <c:pt idx="12">
                  <c:v>0.43189873417721514</c:v>
                </c:pt>
                <c:pt idx="13">
                  <c:v>0.91756962025316458</c:v>
                </c:pt>
                <c:pt idx="14">
                  <c:v>0.98106329113924051</c:v>
                </c:pt>
                <c:pt idx="15">
                  <c:v>0.84065822784810129</c:v>
                </c:pt>
                <c:pt idx="16">
                  <c:v>0.47316455696202531</c:v>
                </c:pt>
                <c:pt idx="17">
                  <c:v>1.1464303797468354</c:v>
                </c:pt>
                <c:pt idx="18">
                  <c:v>0.86258227848101265</c:v>
                </c:pt>
                <c:pt idx="19">
                  <c:v>0.4494683544303798</c:v>
                </c:pt>
              </c:numCache>
            </c:numRef>
          </c:val>
        </c:ser>
        <c:ser>
          <c:idx val="6"/>
          <c:order val="1"/>
          <c:tx>
            <c:strRef>
              <c:f>'Month - Nov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Nov 2011 '!$F$18:$Y$18</c:f>
              <c:numCache>
                <c:formatCode>0.0%</c:formatCode>
                <c:ptCount val="20"/>
                <c:pt idx="0">
                  <c:v>0.3992</c:v>
                </c:pt>
                <c:pt idx="1">
                  <c:v>0.79759999999999998</c:v>
                </c:pt>
                <c:pt idx="2">
                  <c:v>0.43120000000000003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2.4295999999999998</c:v>
                </c:pt>
                <c:pt idx="7">
                  <c:v>0</c:v>
                </c:pt>
                <c:pt idx="8">
                  <c:v>0.43120000000000003</c:v>
                </c:pt>
                <c:pt idx="9">
                  <c:v>1.2936000000000001</c:v>
                </c:pt>
                <c:pt idx="10">
                  <c:v>4.3415999999999997</c:v>
                </c:pt>
                <c:pt idx="11">
                  <c:v>0.43120000000000003</c:v>
                </c:pt>
                <c:pt idx="12">
                  <c:v>0.43120000000000003</c:v>
                </c:pt>
                <c:pt idx="13">
                  <c:v>1.3271999999999999</c:v>
                </c:pt>
                <c:pt idx="14">
                  <c:v>0.43120000000000003</c:v>
                </c:pt>
                <c:pt idx="15">
                  <c:v>0</c:v>
                </c:pt>
                <c:pt idx="16">
                  <c:v>1.1192</c:v>
                </c:pt>
                <c:pt idx="17">
                  <c:v>0.70320000000000005</c:v>
                </c:pt>
                <c:pt idx="18">
                  <c:v>0</c:v>
                </c:pt>
                <c:pt idx="19">
                  <c:v>0.43120000000000003</c:v>
                </c:pt>
              </c:numCache>
            </c:numRef>
          </c:val>
        </c:ser>
        <c:ser>
          <c:idx val="1"/>
          <c:order val="2"/>
          <c:tx>
            <c:strRef>
              <c:f>'Month - Nov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'!$F$19:$Y$19</c:f>
              <c:numCache>
                <c:formatCode>0.0%</c:formatCode>
                <c:ptCount val="20"/>
                <c:pt idx="0">
                  <c:v>0.76566666666666672</c:v>
                </c:pt>
                <c:pt idx="1">
                  <c:v>1.0323333333333333</c:v>
                </c:pt>
                <c:pt idx="2">
                  <c:v>0.89933333333333332</c:v>
                </c:pt>
                <c:pt idx="3">
                  <c:v>0.66633333333333333</c:v>
                </c:pt>
                <c:pt idx="4">
                  <c:v>0.73299999999999998</c:v>
                </c:pt>
                <c:pt idx="5">
                  <c:v>0.69900000000000007</c:v>
                </c:pt>
                <c:pt idx="6">
                  <c:v>0.1670666666666667</c:v>
                </c:pt>
                <c:pt idx="7">
                  <c:v>1.1493333333333333</c:v>
                </c:pt>
                <c:pt idx="8">
                  <c:v>1.1523333333333334</c:v>
                </c:pt>
                <c:pt idx="9">
                  <c:v>1.1353333333333333</c:v>
                </c:pt>
                <c:pt idx="10">
                  <c:v>1.3986666666666667</c:v>
                </c:pt>
                <c:pt idx="11">
                  <c:v>0.8686666666666667</c:v>
                </c:pt>
                <c:pt idx="12">
                  <c:v>0.93233333333333335</c:v>
                </c:pt>
                <c:pt idx="13">
                  <c:v>2.1313333333333331</c:v>
                </c:pt>
                <c:pt idx="14">
                  <c:v>1.4323333333333332</c:v>
                </c:pt>
                <c:pt idx="15">
                  <c:v>1.0656666666666668</c:v>
                </c:pt>
                <c:pt idx="16">
                  <c:v>0.83433333333333337</c:v>
                </c:pt>
                <c:pt idx="17">
                  <c:v>1.1656666666666666</c:v>
                </c:pt>
                <c:pt idx="18">
                  <c:v>0.79933333333333334</c:v>
                </c:pt>
                <c:pt idx="19">
                  <c:v>0.73266666666666669</c:v>
                </c:pt>
              </c:numCache>
            </c:numRef>
          </c:val>
        </c:ser>
        <c:ser>
          <c:idx val="2"/>
          <c:order val="3"/>
          <c:tx>
            <c:strRef>
              <c:f>'Month - Nov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'!$F$20:$Y$20</c:f>
              <c:numCache>
                <c:formatCode>0.0%</c:formatCode>
                <c:ptCount val="20"/>
                <c:pt idx="0">
                  <c:v>0</c:v>
                </c:pt>
                <c:pt idx="1">
                  <c:v>0.43495867768595042</c:v>
                </c:pt>
                <c:pt idx="2">
                  <c:v>0.47024793388429753</c:v>
                </c:pt>
                <c:pt idx="3">
                  <c:v>0.23512396694214877</c:v>
                </c:pt>
                <c:pt idx="4">
                  <c:v>0.86280991735537194</c:v>
                </c:pt>
                <c:pt idx="5">
                  <c:v>0.90520661157024795</c:v>
                </c:pt>
                <c:pt idx="6">
                  <c:v>0.23512396694214877</c:v>
                </c:pt>
                <c:pt idx="7">
                  <c:v>0</c:v>
                </c:pt>
                <c:pt idx="8">
                  <c:v>0.24752066115702476</c:v>
                </c:pt>
                <c:pt idx="9">
                  <c:v>0.23512396694214877</c:v>
                </c:pt>
                <c:pt idx="10">
                  <c:v>0</c:v>
                </c:pt>
                <c:pt idx="11">
                  <c:v>0</c:v>
                </c:pt>
                <c:pt idx="12">
                  <c:v>0.35644628099173559</c:v>
                </c:pt>
                <c:pt idx="13">
                  <c:v>0.23512396694214877</c:v>
                </c:pt>
                <c:pt idx="14">
                  <c:v>0.23512396694214877</c:v>
                </c:pt>
                <c:pt idx="15">
                  <c:v>0.7053719008264463</c:v>
                </c:pt>
                <c:pt idx="16">
                  <c:v>0.15661157024793393</c:v>
                </c:pt>
                <c:pt idx="17">
                  <c:v>0.66652892561983479</c:v>
                </c:pt>
                <c:pt idx="18">
                  <c:v>0.71528925619834705</c:v>
                </c:pt>
                <c:pt idx="19">
                  <c:v>0.66652892561983479</c:v>
                </c:pt>
              </c:numCache>
            </c:numRef>
          </c:val>
        </c:ser>
        <c:ser>
          <c:idx val="3"/>
          <c:order val="4"/>
          <c:tx>
            <c:strRef>
              <c:f>'Month - Nov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'!$F$22:$Y$22</c:f>
              <c:numCache>
                <c:formatCode>0.0%</c:formatCode>
                <c:ptCount val="20"/>
                <c:pt idx="0">
                  <c:v>0.892488038277512</c:v>
                </c:pt>
                <c:pt idx="1">
                  <c:v>0.87631578947368416</c:v>
                </c:pt>
                <c:pt idx="2">
                  <c:v>0.47377990430622008</c:v>
                </c:pt>
                <c:pt idx="3">
                  <c:v>0.75344497607655503</c:v>
                </c:pt>
                <c:pt idx="4">
                  <c:v>0.94669856459330148</c:v>
                </c:pt>
                <c:pt idx="5">
                  <c:v>0.62755980861244021</c:v>
                </c:pt>
                <c:pt idx="6">
                  <c:v>0.75808612440191392</c:v>
                </c:pt>
                <c:pt idx="7">
                  <c:v>0.60827751196172253</c:v>
                </c:pt>
                <c:pt idx="8">
                  <c:v>0.82995215311004789</c:v>
                </c:pt>
                <c:pt idx="9">
                  <c:v>0.78813397129186602</c:v>
                </c:pt>
                <c:pt idx="10">
                  <c:v>1.2002392344497608</c:v>
                </c:pt>
                <c:pt idx="11">
                  <c:v>0.57775119617224879</c:v>
                </c:pt>
                <c:pt idx="12">
                  <c:v>0.4081818181818182</c:v>
                </c:pt>
                <c:pt idx="13">
                  <c:v>0.97550239234449765</c:v>
                </c:pt>
                <c:pt idx="14">
                  <c:v>1.1492344497607656</c:v>
                </c:pt>
                <c:pt idx="15">
                  <c:v>0.59502392344497612</c:v>
                </c:pt>
                <c:pt idx="16">
                  <c:v>0.53066985645933018</c:v>
                </c:pt>
                <c:pt idx="17">
                  <c:v>0.22110047846889958</c:v>
                </c:pt>
                <c:pt idx="18">
                  <c:v>0.55947368421052635</c:v>
                </c:pt>
                <c:pt idx="19">
                  <c:v>0.54641148325358846</c:v>
                </c:pt>
              </c:numCache>
            </c:numRef>
          </c:val>
        </c:ser>
        <c:ser>
          <c:idx val="5"/>
          <c:order val="5"/>
          <c:tx>
            <c:strRef>
              <c:f>'Month - Nov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0.59899999999999998</c:v>
                </c:pt>
                <c:pt idx="2">
                  <c:v>0</c:v>
                </c:pt>
                <c:pt idx="3">
                  <c:v>0</c:v>
                </c:pt>
                <c:pt idx="4">
                  <c:v>0.88880000000000003</c:v>
                </c:pt>
                <c:pt idx="5">
                  <c:v>0.59899999999999998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0.30000000000000004</c:v>
                </c:pt>
                <c:pt idx="13">
                  <c:v>0</c:v>
                </c:pt>
                <c:pt idx="14">
                  <c:v>0.22219999999999995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1.111</c:v>
                </c:pt>
                <c:pt idx="19">
                  <c:v>0.5</c:v>
                </c:pt>
              </c:numCache>
            </c:numRef>
          </c:val>
        </c:ser>
        <c:ser>
          <c:idx val="4"/>
          <c:order val="6"/>
          <c:tx>
            <c:strRef>
              <c:f>'Month - Nov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'!$F$23:$Y$23</c:f>
              <c:numCache>
                <c:formatCode>0.0%</c:formatCode>
                <c:ptCount val="20"/>
                <c:pt idx="0">
                  <c:v>0.65732911392405069</c:v>
                </c:pt>
                <c:pt idx="1">
                  <c:v>0.66792405063291138</c:v>
                </c:pt>
                <c:pt idx="2">
                  <c:v>0.65696202531645564</c:v>
                </c:pt>
                <c:pt idx="3">
                  <c:v>0.54472151898734178</c:v>
                </c:pt>
                <c:pt idx="4">
                  <c:v>0.97222784810126583</c:v>
                </c:pt>
                <c:pt idx="5">
                  <c:v>0.58654430379746836</c:v>
                </c:pt>
                <c:pt idx="6">
                  <c:v>0.70934177215189875</c:v>
                </c:pt>
                <c:pt idx="7">
                  <c:v>0.70358227848101262</c:v>
                </c:pt>
                <c:pt idx="8">
                  <c:v>0.73550632911392411</c:v>
                </c:pt>
                <c:pt idx="9">
                  <c:v>0.66907594936708858</c:v>
                </c:pt>
                <c:pt idx="10">
                  <c:v>1.0817215189873417</c:v>
                </c:pt>
                <c:pt idx="11">
                  <c:v>0.58724050632911395</c:v>
                </c:pt>
                <c:pt idx="12">
                  <c:v>0.50068354430379747</c:v>
                </c:pt>
                <c:pt idx="13">
                  <c:v>1.0331645569620254</c:v>
                </c:pt>
                <c:pt idx="14">
                  <c:v>0.90545569620253163</c:v>
                </c:pt>
                <c:pt idx="15">
                  <c:v>0.67796202531645577</c:v>
                </c:pt>
                <c:pt idx="16">
                  <c:v>0.52963291139240498</c:v>
                </c:pt>
                <c:pt idx="17">
                  <c:v>0.72415189873417729</c:v>
                </c:pt>
                <c:pt idx="18">
                  <c:v>0.69530379746835447</c:v>
                </c:pt>
                <c:pt idx="19">
                  <c:v>0.56388607594936713</c:v>
                </c:pt>
              </c:numCache>
            </c:numRef>
          </c:val>
        </c:ser>
        <c:gapWidth val="75"/>
        <c:axId val="136688000"/>
        <c:axId val="136689536"/>
      </c:barChart>
      <c:catAx>
        <c:axId val="1366880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689536"/>
        <c:crosses val="autoZero"/>
        <c:auto val="1"/>
        <c:lblAlgn val="ctr"/>
        <c:lblOffset val="100"/>
      </c:catAx>
      <c:valAx>
        <c:axId val="1366895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688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Nov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'!$F$38:$Y$38</c:f>
              <c:numCache>
                <c:formatCode>0.0%</c:formatCode>
                <c:ptCount val="20"/>
                <c:pt idx="0">
                  <c:v>1.6715443037974684</c:v>
                </c:pt>
                <c:pt idx="1">
                  <c:v>0.9806582278481013</c:v>
                </c:pt>
                <c:pt idx="2">
                  <c:v>0.99400843881856549</c:v>
                </c:pt>
                <c:pt idx="3">
                  <c:v>0.92791139240506326</c:v>
                </c:pt>
                <c:pt idx="4">
                  <c:v>1.0576810126582279</c:v>
                </c:pt>
                <c:pt idx="5">
                  <c:v>0.95556118143459901</c:v>
                </c:pt>
                <c:pt idx="6">
                  <c:v>0.96124412296564188</c:v>
                </c:pt>
                <c:pt idx="7">
                  <c:v>1.0033037974683545</c:v>
                </c:pt>
                <c:pt idx="8">
                  <c:v>0.9918762306610408</c:v>
                </c:pt>
                <c:pt idx="9">
                  <c:v>0.93446075949367091</c:v>
                </c:pt>
                <c:pt idx="10">
                  <c:v>0.90592405063291137</c:v>
                </c:pt>
                <c:pt idx="11">
                  <c:v>0.90961603375527433</c:v>
                </c:pt>
                <c:pt idx="12">
                  <c:v>0.85146640701071075</c:v>
                </c:pt>
                <c:pt idx="13">
                  <c:v>0.84519710669077763</c:v>
                </c:pt>
                <c:pt idx="14">
                  <c:v>0.854254852320675</c:v>
                </c:pt>
                <c:pt idx="15">
                  <c:v>0.85340506329113919</c:v>
                </c:pt>
                <c:pt idx="16">
                  <c:v>0.83103797468354434</c:v>
                </c:pt>
                <c:pt idx="17">
                  <c:v>0.84855977496483825</c:v>
                </c:pt>
                <c:pt idx="18">
                  <c:v>0.84929780146568967</c:v>
                </c:pt>
                <c:pt idx="19">
                  <c:v>0.80651645569620256</c:v>
                </c:pt>
              </c:numCache>
            </c:numRef>
          </c:val>
        </c:ser>
        <c:ser>
          <c:idx val="6"/>
          <c:order val="1"/>
          <c:tx>
            <c:strRef>
              <c:f>'Month - Nov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0.39879999999999999</c:v>
                </c:pt>
                <c:pt idx="2">
                  <c:v>0.40960000000000002</c:v>
                </c:pt>
                <c:pt idx="3">
                  <c:v>0.30719999999999997</c:v>
                </c:pt>
                <c:pt idx="4">
                  <c:v>0.24576000000000001</c:v>
                </c:pt>
                <c:pt idx="5">
                  <c:v>0.20480000000000001</c:v>
                </c:pt>
                <c:pt idx="6">
                  <c:v>0.52262857142857144</c:v>
                </c:pt>
                <c:pt idx="7">
                  <c:v>0.45729999999999998</c:v>
                </c:pt>
                <c:pt idx="8">
                  <c:v>0.58240000000000003</c:v>
                </c:pt>
                <c:pt idx="9">
                  <c:v>0.65351999999999999</c:v>
                </c:pt>
                <c:pt idx="10">
                  <c:v>0.98880000000000001</c:v>
                </c:pt>
                <c:pt idx="11">
                  <c:v>0.94233333333333325</c:v>
                </c:pt>
                <c:pt idx="12">
                  <c:v>0.90301538461538478</c:v>
                </c:pt>
                <c:pt idx="13">
                  <c:v>0.87851428571428569</c:v>
                </c:pt>
                <c:pt idx="14">
                  <c:v>0.79754666666666674</c:v>
                </c:pt>
                <c:pt idx="15">
                  <c:v>0.74770000000000003</c:v>
                </c:pt>
                <c:pt idx="16">
                  <c:v>0.76955294117647055</c:v>
                </c:pt>
                <c:pt idx="17">
                  <c:v>0.7658666666666667</c:v>
                </c:pt>
                <c:pt idx="18">
                  <c:v>0.72555789473684218</c:v>
                </c:pt>
                <c:pt idx="19">
                  <c:v>0.74872799999999995</c:v>
                </c:pt>
              </c:numCache>
            </c:numRef>
          </c:val>
        </c:ser>
        <c:ser>
          <c:idx val="1"/>
          <c:order val="2"/>
          <c:tx>
            <c:strRef>
              <c:f>'Month - Nov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'!$F$40:$Y$40</c:f>
              <c:numCache>
                <c:formatCode>0.0%</c:formatCode>
                <c:ptCount val="20"/>
                <c:pt idx="0">
                  <c:v>0.29966666666666669</c:v>
                </c:pt>
                <c:pt idx="1">
                  <c:v>5.1499999999999997E-2</c:v>
                </c:pt>
                <c:pt idx="2">
                  <c:v>0.13433333333333333</c:v>
                </c:pt>
                <c:pt idx="3">
                  <c:v>0.10075000000000001</c:v>
                </c:pt>
                <c:pt idx="4">
                  <c:v>8.0600000000000005E-2</c:v>
                </c:pt>
                <c:pt idx="5">
                  <c:v>0.11711111111111112</c:v>
                </c:pt>
                <c:pt idx="6">
                  <c:v>0.12419047619047618</c:v>
                </c:pt>
                <c:pt idx="7">
                  <c:v>0.21483333333333332</c:v>
                </c:pt>
                <c:pt idx="8">
                  <c:v>0.28203703703703703</c:v>
                </c:pt>
                <c:pt idx="9">
                  <c:v>0.29380000000000001</c:v>
                </c:pt>
                <c:pt idx="10">
                  <c:v>0.38542424242424239</c:v>
                </c:pt>
                <c:pt idx="11">
                  <c:v>0.43933333333333335</c:v>
                </c:pt>
                <c:pt idx="12">
                  <c:v>0.46343589743589747</c:v>
                </c:pt>
                <c:pt idx="13">
                  <c:v>0.56923809523809532</c:v>
                </c:pt>
                <c:pt idx="14">
                  <c:v>0.59791111111111106</c:v>
                </c:pt>
                <c:pt idx="15">
                  <c:v>0.61466666666666669</c:v>
                </c:pt>
                <c:pt idx="16">
                  <c:v>0.63150980392156864</c:v>
                </c:pt>
                <c:pt idx="17">
                  <c:v>0.61492592592592599</c:v>
                </c:pt>
                <c:pt idx="18">
                  <c:v>0.61064912280701755</c:v>
                </c:pt>
                <c:pt idx="19">
                  <c:v>0.5899833333333333</c:v>
                </c:pt>
              </c:numCache>
            </c:numRef>
          </c:val>
        </c:ser>
        <c:ser>
          <c:idx val="2"/>
          <c:order val="3"/>
          <c:tx>
            <c:strRef>
              <c:f>'Month - Nov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'!$F$41:$Y$41</c:f>
              <c:numCache>
                <c:formatCode>0.0%</c:formatCode>
                <c:ptCount val="20"/>
                <c:pt idx="0">
                  <c:v>0.37603305785123969</c:v>
                </c:pt>
                <c:pt idx="1">
                  <c:v>0.40549586776859503</c:v>
                </c:pt>
                <c:pt idx="2">
                  <c:v>0.42710743801652895</c:v>
                </c:pt>
                <c:pt idx="3">
                  <c:v>0.3791115702479339</c:v>
                </c:pt>
                <c:pt idx="4">
                  <c:v>0.38957024793388428</c:v>
                </c:pt>
                <c:pt idx="5">
                  <c:v>0.54742424242424237</c:v>
                </c:pt>
                <c:pt idx="6">
                  <c:v>0.50280991735537195</c:v>
                </c:pt>
                <c:pt idx="7">
                  <c:v>0.43995867768595043</c:v>
                </c:pt>
                <c:pt idx="8">
                  <c:v>0.41719926538108354</c:v>
                </c:pt>
                <c:pt idx="9">
                  <c:v>0.37547933884297519</c:v>
                </c:pt>
                <c:pt idx="10">
                  <c:v>0.34134485349361382</c:v>
                </c:pt>
                <c:pt idx="11">
                  <c:v>0.32595730027548209</c:v>
                </c:pt>
                <c:pt idx="12">
                  <c:v>0.25903369357914813</c:v>
                </c:pt>
                <c:pt idx="13">
                  <c:v>0.3104604486422668</c:v>
                </c:pt>
                <c:pt idx="14">
                  <c:v>0.3054380165289256</c:v>
                </c:pt>
                <c:pt idx="15">
                  <c:v>0.33043904958677683</c:v>
                </c:pt>
                <c:pt idx="16">
                  <c:v>0.32021390374331549</c:v>
                </c:pt>
                <c:pt idx="17">
                  <c:v>0.31548668503213961</c:v>
                </c:pt>
                <c:pt idx="18">
                  <c:v>0.3509917355371901</c:v>
                </c:pt>
                <c:pt idx="19">
                  <c:v>0.36165289256198346</c:v>
                </c:pt>
              </c:numCache>
            </c:numRef>
          </c:val>
        </c:ser>
        <c:ser>
          <c:idx val="5"/>
          <c:order val="4"/>
          <c:tx>
            <c:strRef>
              <c:f>'Month - Nov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0.12376033057851239</c:v>
                </c:pt>
                <c:pt idx="2">
                  <c:v>8.2506887052341604E-2</c:v>
                </c:pt>
                <c:pt idx="3">
                  <c:v>6.1880165289256196E-2</c:v>
                </c:pt>
                <c:pt idx="4">
                  <c:v>0.12295867768595041</c:v>
                </c:pt>
                <c:pt idx="5">
                  <c:v>0.14371900826446282</c:v>
                </c:pt>
                <c:pt idx="6">
                  <c:v>0.12318772136953955</c:v>
                </c:pt>
                <c:pt idx="7">
                  <c:v>0.1077892561983471</c:v>
                </c:pt>
                <c:pt idx="8">
                  <c:v>9.5812672176308525E-2</c:v>
                </c:pt>
                <c:pt idx="9">
                  <c:v>8.623140495867769E-2</c:v>
                </c:pt>
                <c:pt idx="10">
                  <c:v>7.8392186326070618E-2</c:v>
                </c:pt>
                <c:pt idx="11">
                  <c:v>7.1859504132231411E-2</c:v>
                </c:pt>
                <c:pt idx="12">
                  <c:v>7.5867768595041324E-2</c:v>
                </c:pt>
                <c:pt idx="13">
                  <c:v>7.0448642266824082E-2</c:v>
                </c:pt>
                <c:pt idx="14">
                  <c:v>7.1873278236914598E-2</c:v>
                </c:pt>
                <c:pt idx="15">
                  <c:v>6.7381198347107443E-2</c:v>
                </c:pt>
                <c:pt idx="16">
                  <c:v>6.341759844433642E-2</c:v>
                </c:pt>
                <c:pt idx="17">
                  <c:v>5.9894398530762165E-2</c:v>
                </c:pt>
                <c:pt idx="18">
                  <c:v>8.0904741191822532E-2</c:v>
                </c:pt>
                <c:pt idx="19">
                  <c:v>8.7190082644628103E-2</c:v>
                </c:pt>
              </c:numCache>
            </c:numRef>
          </c:val>
        </c:ser>
        <c:ser>
          <c:idx val="3"/>
          <c:order val="5"/>
          <c:tx>
            <c:strRef>
              <c:f>'Month - Nov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'!$F$43:$Y$43</c:f>
              <c:numCache>
                <c:formatCode>0.0%</c:formatCode>
                <c:ptCount val="20"/>
                <c:pt idx="0">
                  <c:v>2.2542105263157897</c:v>
                </c:pt>
                <c:pt idx="1">
                  <c:v>1.4952631578947368</c:v>
                </c:pt>
                <c:pt idx="2">
                  <c:v>1.154768740031898</c:v>
                </c:pt>
                <c:pt idx="3">
                  <c:v>1.0112799043062202</c:v>
                </c:pt>
                <c:pt idx="4">
                  <c:v>0.96414354066985641</c:v>
                </c:pt>
                <c:pt idx="5">
                  <c:v>0.84980063795853256</c:v>
                </c:pt>
                <c:pt idx="6">
                  <c:v>0.82563226247436783</c:v>
                </c:pt>
                <c:pt idx="7">
                  <c:v>0.80598086124401913</c:v>
                </c:pt>
                <c:pt idx="8">
                  <c:v>0.80866560340244542</c:v>
                </c:pt>
                <c:pt idx="9">
                  <c:v>0.78949760765550236</c:v>
                </c:pt>
                <c:pt idx="10">
                  <c:v>0.82683775554588956</c:v>
                </c:pt>
                <c:pt idx="11">
                  <c:v>0.7876555023923445</c:v>
                </c:pt>
                <c:pt idx="12">
                  <c:v>0.76450128818549878</c:v>
                </c:pt>
                <c:pt idx="13">
                  <c:v>0.77957621326042381</c:v>
                </c:pt>
                <c:pt idx="14">
                  <c:v>0.80422009569377995</c:v>
                </c:pt>
                <c:pt idx="15">
                  <c:v>0.7739802631578947</c:v>
                </c:pt>
                <c:pt idx="16">
                  <c:v>0.75127779341401624</c:v>
                </c:pt>
                <c:pt idx="17">
                  <c:v>0.69987240829346098</c:v>
                </c:pt>
                <c:pt idx="18">
                  <c:v>0.67184084613447503</c:v>
                </c:pt>
                <c:pt idx="19">
                  <c:v>0.6813995215311005</c:v>
                </c:pt>
              </c:numCache>
            </c:numRef>
          </c:val>
        </c:ser>
        <c:ser>
          <c:idx val="4"/>
          <c:order val="6"/>
          <c:tx>
            <c:strRef>
              <c:f>'Month - Nov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Nov 2011 '!$F$44:$Y$44</c:f>
              <c:numCache>
                <c:formatCode>0.0%</c:formatCode>
                <c:ptCount val="20"/>
                <c:pt idx="0">
                  <c:v>1.1287468354430379</c:v>
                </c:pt>
                <c:pt idx="1">
                  <c:v>0.76313924050632909</c:v>
                </c:pt>
                <c:pt idx="2">
                  <c:v>0.68997046413502117</c:v>
                </c:pt>
                <c:pt idx="3">
                  <c:v>0.61049683544303801</c:v>
                </c:pt>
                <c:pt idx="4">
                  <c:v>0.63273924050632913</c:v>
                </c:pt>
                <c:pt idx="5">
                  <c:v>0.60800843881856537</c:v>
                </c:pt>
                <c:pt idx="6">
                  <c:v>0.61954611211573229</c:v>
                </c:pt>
                <c:pt idx="7">
                  <c:v>0.62491930379746841</c:v>
                </c:pt>
                <c:pt idx="8">
                  <c:v>0.6401097046413502</c:v>
                </c:pt>
                <c:pt idx="9">
                  <c:v>0.6206873417721519</c:v>
                </c:pt>
                <c:pt idx="10">
                  <c:v>0.6609252013808975</c:v>
                </c:pt>
                <c:pt idx="11">
                  <c:v>0.6546845991561181</c:v>
                </c:pt>
                <c:pt idx="12">
                  <c:v>0.62585102239532631</c:v>
                </c:pt>
                <c:pt idx="13">
                  <c:v>0.65346925858951177</c:v>
                </c:pt>
                <c:pt idx="14">
                  <c:v>0.66074092827004216</c:v>
                </c:pt>
                <c:pt idx="15">
                  <c:v>0.65490743670886076</c:v>
                </c:pt>
                <c:pt idx="16">
                  <c:v>0.64606329113924055</c:v>
                </c:pt>
                <c:pt idx="17">
                  <c:v>0.63213994374120963</c:v>
                </c:pt>
                <c:pt idx="18">
                  <c:v>0.62956362425049972</c:v>
                </c:pt>
                <c:pt idx="19">
                  <c:v>0.62190189873417723</c:v>
                </c:pt>
              </c:numCache>
            </c:numRef>
          </c:val>
        </c:ser>
        <c:marker val="1"/>
        <c:axId val="136632192"/>
        <c:axId val="136633728"/>
      </c:lineChart>
      <c:catAx>
        <c:axId val="136632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633728"/>
        <c:crosses val="autoZero"/>
        <c:auto val="1"/>
        <c:lblAlgn val="ctr"/>
        <c:lblOffset val="100"/>
      </c:catAx>
      <c:valAx>
        <c:axId val="13663372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632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127458120903817"/>
          <c:y val="0.92043213953092751"/>
          <c:w val="0.48579752367079393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March 2010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479573910057696E-2"/>
          <c:y val="0.14130449781812823"/>
          <c:w val="0.85891874180397199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'Mar 10'!$B$40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'Mar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10'!$F$40:$Y$40</c:f>
              <c:numCache>
                <c:formatCode>0</c:formatCode>
                <c:ptCount val="20"/>
                <c:pt idx="0">
                  <c:v>592740</c:v>
                </c:pt>
                <c:pt idx="1">
                  <c:v>421740</c:v>
                </c:pt>
                <c:pt idx="2">
                  <c:v>299726.66666666669</c:v>
                </c:pt>
                <c:pt idx="3">
                  <c:v>357105</c:v>
                </c:pt>
                <c:pt idx="4">
                  <c:v>345752</c:v>
                </c:pt>
                <c:pt idx="5">
                  <c:v>349093.33333333337</c:v>
                </c:pt>
                <c:pt idx="6">
                  <c:v>319574.28571428574</c:v>
                </c:pt>
                <c:pt idx="7">
                  <c:v>312135</c:v>
                </c:pt>
                <c:pt idx="8">
                  <c:v>330548.88888888888</c:v>
                </c:pt>
                <c:pt idx="9">
                  <c:v>310348</c:v>
                </c:pt>
                <c:pt idx="10">
                  <c:v>313394.54545454541</c:v>
                </c:pt>
                <c:pt idx="11">
                  <c:v>321410</c:v>
                </c:pt>
                <c:pt idx="12">
                  <c:v>304063.07692307694</c:v>
                </c:pt>
                <c:pt idx="13">
                  <c:v>303500</c:v>
                </c:pt>
                <c:pt idx="14">
                  <c:v>305552</c:v>
                </c:pt>
                <c:pt idx="15">
                  <c:v>315748.75</c:v>
                </c:pt>
                <c:pt idx="16">
                  <c:v>305774.1176470588</c:v>
                </c:pt>
                <c:pt idx="17">
                  <c:v>294870</c:v>
                </c:pt>
                <c:pt idx="18">
                  <c:v>310169.47368421056</c:v>
                </c:pt>
                <c:pt idx="19">
                  <c:v>300385</c:v>
                </c:pt>
              </c:numCache>
            </c:numRef>
          </c:val>
        </c:ser>
        <c:ser>
          <c:idx val="1"/>
          <c:order val="1"/>
          <c:tx>
            <c:strRef>
              <c:f>'Mar 10'!$B$41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'Mar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10'!$F$41:$Y$41</c:f>
              <c:numCache>
                <c:formatCode>0</c:formatCode>
                <c:ptCount val="20"/>
                <c:pt idx="0">
                  <c:v>132800</c:v>
                </c:pt>
                <c:pt idx="1">
                  <c:v>93350</c:v>
                </c:pt>
                <c:pt idx="2">
                  <c:v>126240</c:v>
                </c:pt>
                <c:pt idx="3">
                  <c:v>130105</c:v>
                </c:pt>
                <c:pt idx="4">
                  <c:v>171524</c:v>
                </c:pt>
                <c:pt idx="5">
                  <c:v>165920</c:v>
                </c:pt>
                <c:pt idx="6">
                  <c:v>165074.28571428574</c:v>
                </c:pt>
                <c:pt idx="7">
                  <c:v>176390</c:v>
                </c:pt>
                <c:pt idx="8">
                  <c:v>161235.55555555556</c:v>
                </c:pt>
                <c:pt idx="9">
                  <c:v>150502</c:v>
                </c:pt>
                <c:pt idx="10">
                  <c:v>157429.09090909091</c:v>
                </c:pt>
                <c:pt idx="11">
                  <c:v>151301.66666666666</c:v>
                </c:pt>
                <c:pt idx="12">
                  <c:v>139663.07692307691</c:v>
                </c:pt>
                <c:pt idx="13">
                  <c:v>147317.14285714287</c:v>
                </c:pt>
                <c:pt idx="14">
                  <c:v>143496</c:v>
                </c:pt>
                <c:pt idx="15">
                  <c:v>140521.25</c:v>
                </c:pt>
                <c:pt idx="16">
                  <c:v>145820</c:v>
                </c:pt>
                <c:pt idx="17">
                  <c:v>148741.11111111112</c:v>
                </c:pt>
                <c:pt idx="18">
                  <c:v>152260</c:v>
                </c:pt>
                <c:pt idx="19">
                  <c:v>156453</c:v>
                </c:pt>
              </c:numCache>
            </c:numRef>
          </c:val>
        </c:ser>
        <c:ser>
          <c:idx val="2"/>
          <c:order val="2"/>
          <c:tx>
            <c:strRef>
              <c:f>'Mar 10'!$B$42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'Mar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10'!$F$42:$Y$42</c:f>
              <c:numCache>
                <c:formatCode>0</c:formatCode>
                <c:ptCount val="20"/>
                <c:pt idx="0">
                  <c:v>231840</c:v>
                </c:pt>
                <c:pt idx="1">
                  <c:v>115920</c:v>
                </c:pt>
                <c:pt idx="2">
                  <c:v>158190</c:v>
                </c:pt>
                <c:pt idx="3">
                  <c:v>130770</c:v>
                </c:pt>
                <c:pt idx="4">
                  <c:v>154602</c:v>
                </c:pt>
                <c:pt idx="5">
                  <c:v>175890</c:v>
                </c:pt>
                <c:pt idx="6">
                  <c:v>175911.42857142858</c:v>
                </c:pt>
                <c:pt idx="7">
                  <c:v>176636.25</c:v>
                </c:pt>
                <c:pt idx="8">
                  <c:v>167790</c:v>
                </c:pt>
                <c:pt idx="9">
                  <c:v>173646</c:v>
                </c:pt>
                <c:pt idx="10">
                  <c:v>187069.09090909091</c:v>
                </c:pt>
                <c:pt idx="11">
                  <c:v>176565</c:v>
                </c:pt>
                <c:pt idx="12">
                  <c:v>174468.46153846153</c:v>
                </c:pt>
                <c:pt idx="13">
                  <c:v>177428.57142857142</c:v>
                </c:pt>
                <c:pt idx="14">
                  <c:v>167400</c:v>
                </c:pt>
                <c:pt idx="15">
                  <c:v>174129.75000000003</c:v>
                </c:pt>
                <c:pt idx="16">
                  <c:v>178689.17647058825</c:v>
                </c:pt>
                <c:pt idx="17">
                  <c:v>177162</c:v>
                </c:pt>
                <c:pt idx="18">
                  <c:v>176449.26315789475</c:v>
                </c:pt>
                <c:pt idx="19">
                  <c:v>179000</c:v>
                </c:pt>
              </c:numCache>
            </c:numRef>
          </c:val>
        </c:ser>
        <c:ser>
          <c:idx val="3"/>
          <c:order val="3"/>
          <c:tx>
            <c:strRef>
              <c:f>'Mar 10'!$B$43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'Mar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10'!$F$43:$Y$43</c:f>
              <c:numCache>
                <c:formatCode>0</c:formatCode>
                <c:ptCount val="20"/>
                <c:pt idx="0">
                  <c:v>1135929.5999999999</c:v>
                </c:pt>
                <c:pt idx="1">
                  <c:v>678763.2</c:v>
                </c:pt>
                <c:pt idx="2">
                  <c:v>786795.46666666656</c:v>
                </c:pt>
                <c:pt idx="3">
                  <c:v>648931.6</c:v>
                </c:pt>
                <c:pt idx="4">
                  <c:v>599852.96</c:v>
                </c:pt>
                <c:pt idx="5">
                  <c:v>564362.2666666666</c:v>
                </c:pt>
                <c:pt idx="6">
                  <c:v>506305.48571428569</c:v>
                </c:pt>
                <c:pt idx="7">
                  <c:v>465169.6</c:v>
                </c:pt>
                <c:pt idx="8">
                  <c:v>440912.17777777778</c:v>
                </c:pt>
                <c:pt idx="9">
                  <c:v>494735.51999999996</c:v>
                </c:pt>
                <c:pt idx="10">
                  <c:v>494442.10909090907</c:v>
                </c:pt>
                <c:pt idx="11">
                  <c:v>476821.79999999993</c:v>
                </c:pt>
                <c:pt idx="12">
                  <c:v>466365.53846153844</c:v>
                </c:pt>
                <c:pt idx="13">
                  <c:v>496685.71428571426</c:v>
                </c:pt>
                <c:pt idx="14">
                  <c:v>507822.72</c:v>
                </c:pt>
                <c:pt idx="15">
                  <c:v>483490.44999999995</c:v>
                </c:pt>
                <c:pt idx="16">
                  <c:v>470346.21176470589</c:v>
                </c:pt>
                <c:pt idx="17">
                  <c:v>456493.99999999994</c:v>
                </c:pt>
                <c:pt idx="18">
                  <c:v>439259.32631578943</c:v>
                </c:pt>
                <c:pt idx="19">
                  <c:v>423549.68</c:v>
                </c:pt>
              </c:numCache>
            </c:numRef>
          </c:val>
        </c:ser>
        <c:ser>
          <c:idx val="4"/>
          <c:order val="4"/>
          <c:tx>
            <c:strRef>
              <c:f>'Mar 10'!$B$44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'Mar 10'!$F$39:$Y$39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10'!$F$44:$Y$44</c:f>
              <c:numCache>
                <c:formatCode>0</c:formatCode>
                <c:ptCount val="20"/>
                <c:pt idx="0">
                  <c:v>2093309.5999999999</c:v>
                </c:pt>
                <c:pt idx="1">
                  <c:v>1309773.2</c:v>
                </c:pt>
                <c:pt idx="2">
                  <c:v>1370952.1333333333</c:v>
                </c:pt>
                <c:pt idx="3">
                  <c:v>1266911.6000000001</c:v>
                </c:pt>
                <c:pt idx="4">
                  <c:v>1271730.96</c:v>
                </c:pt>
                <c:pt idx="5">
                  <c:v>1255265.6000000001</c:v>
                </c:pt>
                <c:pt idx="6">
                  <c:v>1166865.4857142856</c:v>
                </c:pt>
                <c:pt idx="7">
                  <c:v>1130330.8500000001</c:v>
                </c:pt>
                <c:pt idx="8">
                  <c:v>1100486.6222222224</c:v>
                </c:pt>
                <c:pt idx="9">
                  <c:v>1129231.52</c:v>
                </c:pt>
                <c:pt idx="10">
                  <c:v>1152334.8363636364</c:v>
                </c:pt>
                <c:pt idx="11">
                  <c:v>1126098.4666666666</c:v>
                </c:pt>
                <c:pt idx="12">
                  <c:v>1084560.1538461538</c:v>
                </c:pt>
                <c:pt idx="13">
                  <c:v>1124931.4285714286</c:v>
                </c:pt>
                <c:pt idx="14">
                  <c:v>1124270.72</c:v>
                </c:pt>
                <c:pt idx="15">
                  <c:v>1113890.2</c:v>
                </c:pt>
                <c:pt idx="16">
                  <c:v>1100629.5058823528</c:v>
                </c:pt>
                <c:pt idx="17">
                  <c:v>1077267.111111111</c:v>
                </c:pt>
                <c:pt idx="18">
                  <c:v>1078138.0631578946</c:v>
                </c:pt>
                <c:pt idx="19">
                  <c:v>1059387.68</c:v>
                </c:pt>
              </c:numCache>
            </c:numRef>
          </c:val>
        </c:ser>
        <c:marker val="1"/>
        <c:axId val="109511424"/>
        <c:axId val="109512960"/>
      </c:lineChart>
      <c:catAx>
        <c:axId val="1095114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512960"/>
        <c:crosses val="autoZero"/>
        <c:auto val="1"/>
        <c:lblAlgn val="ctr"/>
        <c:lblOffset val="100"/>
      </c:catAx>
      <c:valAx>
        <c:axId val="1095129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51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698853432796383"/>
          <c:y val="0.90434873901631796"/>
          <c:w val="0.32456163374315661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099467387572101E-2"/>
          <c:y val="0.1152175136055455"/>
          <c:w val="0.91520533169240303"/>
          <c:h val="0.73043555795214599"/>
        </c:manualLayout>
      </c:layout>
      <c:lineChart>
        <c:grouping val="standard"/>
        <c:ser>
          <c:idx val="0"/>
          <c:order val="0"/>
          <c:tx>
            <c:strRef>
              <c:f>'Month - Dec 2011 '!$B$48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'!$F$48:$Y$48</c:f>
              <c:numCache>
                <c:formatCode>0</c:formatCode>
                <c:ptCount val="20"/>
                <c:pt idx="0">
                  <c:v>124600</c:v>
                </c:pt>
                <c:pt idx="1">
                  <c:v>105160</c:v>
                </c:pt>
                <c:pt idx="2">
                  <c:v>180020</c:v>
                </c:pt>
                <c:pt idx="3">
                  <c:v>166165</c:v>
                </c:pt>
                <c:pt idx="4">
                  <c:v>168440</c:v>
                </c:pt>
                <c:pt idx="5">
                  <c:v>195073.33333333331</c:v>
                </c:pt>
                <c:pt idx="6">
                  <c:v>205480</c:v>
                </c:pt>
                <c:pt idx="7">
                  <c:v>207570</c:v>
                </c:pt>
                <c:pt idx="8">
                  <c:v>260717.77777777778</c:v>
                </c:pt>
                <c:pt idx="9">
                  <c:v>234446</c:v>
                </c:pt>
                <c:pt idx="10">
                  <c:v>244487.27272727271</c:v>
                </c:pt>
                <c:pt idx="11">
                  <c:v>241343.33333333331</c:v>
                </c:pt>
                <c:pt idx="12">
                  <c:v>241213.84615384619</c:v>
                </c:pt>
                <c:pt idx="13">
                  <c:v>240697.14285714287</c:v>
                </c:pt>
                <c:pt idx="14">
                  <c:v>250270.66666666666</c:v>
                </c:pt>
                <c:pt idx="15">
                  <c:v>234628.75</c:v>
                </c:pt>
                <c:pt idx="16">
                  <c:v>239762.35294117648</c:v>
                </c:pt>
                <c:pt idx="17">
                  <c:v>259020</c:v>
                </c:pt>
                <c:pt idx="18">
                  <c:v>259384.21052631579</c:v>
                </c:pt>
                <c:pt idx="19">
                  <c:v>264590</c:v>
                </c:pt>
              </c:numCache>
            </c:numRef>
          </c:val>
        </c:ser>
        <c:ser>
          <c:idx val="6"/>
          <c:order val="1"/>
          <c:tx>
            <c:strRef>
              <c:f>'Month - Dec 2011 '!$B$49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'!$F$49:$Y$49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15266.666666666668</c:v>
                </c:pt>
                <c:pt idx="3">
                  <c:v>45525</c:v>
                </c:pt>
                <c:pt idx="4">
                  <c:v>57600</c:v>
                </c:pt>
                <c:pt idx="5">
                  <c:v>48000</c:v>
                </c:pt>
                <c:pt idx="6">
                  <c:v>41142.857142857145</c:v>
                </c:pt>
                <c:pt idx="7">
                  <c:v>42737.5</c:v>
                </c:pt>
                <c:pt idx="8">
                  <c:v>37988.888888888891</c:v>
                </c:pt>
                <c:pt idx="9">
                  <c:v>34190</c:v>
                </c:pt>
                <c:pt idx="10">
                  <c:v>41800</c:v>
                </c:pt>
                <c:pt idx="11">
                  <c:v>42375</c:v>
                </c:pt>
                <c:pt idx="12">
                  <c:v>46076.923076923078</c:v>
                </c:pt>
                <c:pt idx="13">
                  <c:v>50485.714285714283</c:v>
                </c:pt>
                <c:pt idx="14">
                  <c:v>47120</c:v>
                </c:pt>
                <c:pt idx="15">
                  <c:v>46675</c:v>
                </c:pt>
                <c:pt idx="16">
                  <c:v>53923.529411764699</c:v>
                </c:pt>
                <c:pt idx="17">
                  <c:v>50927.777777777774</c:v>
                </c:pt>
                <c:pt idx="18">
                  <c:v>51084.210526315794</c:v>
                </c:pt>
                <c:pt idx="19">
                  <c:v>59425</c:v>
                </c:pt>
              </c:numCache>
            </c:numRef>
          </c:val>
        </c:ser>
        <c:ser>
          <c:idx val="1"/>
          <c:order val="2"/>
          <c:tx>
            <c:strRef>
              <c:f>'Month - Dec 2011 '!$B$50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'!$F$50:$Y$50</c:f>
              <c:numCache>
                <c:formatCode>0</c:formatCode>
                <c:ptCount val="20"/>
                <c:pt idx="0">
                  <c:v>30000</c:v>
                </c:pt>
                <c:pt idx="1">
                  <c:v>104950</c:v>
                </c:pt>
                <c:pt idx="2">
                  <c:v>135900</c:v>
                </c:pt>
                <c:pt idx="3">
                  <c:v>126925</c:v>
                </c:pt>
                <c:pt idx="4">
                  <c:v>221460</c:v>
                </c:pt>
                <c:pt idx="5">
                  <c:v>260166.66666666669</c:v>
                </c:pt>
                <c:pt idx="6">
                  <c:v>281514.28571428574</c:v>
                </c:pt>
                <c:pt idx="7">
                  <c:v>286712.5</c:v>
                </c:pt>
                <c:pt idx="8">
                  <c:v>254855.55555555556</c:v>
                </c:pt>
                <c:pt idx="9">
                  <c:v>229370</c:v>
                </c:pt>
                <c:pt idx="10">
                  <c:v>239500</c:v>
                </c:pt>
                <c:pt idx="11">
                  <c:v>252016.66666666669</c:v>
                </c:pt>
                <c:pt idx="12">
                  <c:v>241246.15384615381</c:v>
                </c:pt>
                <c:pt idx="13">
                  <c:v>233428.57142857142</c:v>
                </c:pt>
                <c:pt idx="14">
                  <c:v>232513.33333333331</c:v>
                </c:pt>
                <c:pt idx="15">
                  <c:v>229218.75</c:v>
                </c:pt>
                <c:pt idx="16">
                  <c:v>229258.82352941175</c:v>
                </c:pt>
                <c:pt idx="17">
                  <c:v>222116.66666666669</c:v>
                </c:pt>
                <c:pt idx="18">
                  <c:v>220152.63157894736</c:v>
                </c:pt>
                <c:pt idx="19">
                  <c:v>221675</c:v>
                </c:pt>
              </c:numCache>
            </c:numRef>
          </c:val>
        </c:ser>
        <c:ser>
          <c:idx val="2"/>
          <c:order val="3"/>
          <c:tx>
            <c:strRef>
              <c:f>'Month - Dec 2011 '!$B$51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'!$F$51:$Y$51</c:f>
              <c:numCache>
                <c:formatCode>0</c:formatCode>
                <c:ptCount val="20"/>
                <c:pt idx="0">
                  <c:v>94800</c:v>
                </c:pt>
                <c:pt idx="1">
                  <c:v>100550</c:v>
                </c:pt>
                <c:pt idx="2">
                  <c:v>129326.66666666666</c:v>
                </c:pt>
                <c:pt idx="3">
                  <c:v>96995</c:v>
                </c:pt>
                <c:pt idx="4">
                  <c:v>81680</c:v>
                </c:pt>
                <c:pt idx="5">
                  <c:v>91546.666666666657</c:v>
                </c:pt>
                <c:pt idx="6">
                  <c:v>100168.57142857143</c:v>
                </c:pt>
                <c:pt idx="7">
                  <c:v>93692.5</c:v>
                </c:pt>
                <c:pt idx="8">
                  <c:v>108384.44444444445</c:v>
                </c:pt>
                <c:pt idx="9">
                  <c:v>97546</c:v>
                </c:pt>
                <c:pt idx="10">
                  <c:v>88678.181818181823</c:v>
                </c:pt>
                <c:pt idx="11">
                  <c:v>85566.666666666657</c:v>
                </c:pt>
                <c:pt idx="12">
                  <c:v>77950.769230769234</c:v>
                </c:pt>
                <c:pt idx="13">
                  <c:v>98005.71428571429</c:v>
                </c:pt>
                <c:pt idx="14">
                  <c:v>99756</c:v>
                </c:pt>
                <c:pt idx="15">
                  <c:v>102415</c:v>
                </c:pt>
                <c:pt idx="16">
                  <c:v>99235.294117647063</c:v>
                </c:pt>
                <c:pt idx="17">
                  <c:v>97147.777777777781</c:v>
                </c:pt>
                <c:pt idx="18">
                  <c:v>98024.210526315786</c:v>
                </c:pt>
                <c:pt idx="19">
                  <c:v>100476</c:v>
                </c:pt>
              </c:numCache>
            </c:numRef>
          </c:val>
        </c:ser>
        <c:ser>
          <c:idx val="3"/>
          <c:order val="4"/>
          <c:tx>
            <c:strRef>
              <c:f>'Month - Dec 2011 '!$B$52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'!$F$52:$Y$52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14813.333333333332</c:v>
                </c:pt>
                <c:pt idx="3">
                  <c:v>22220</c:v>
                </c:pt>
                <c:pt idx="4">
                  <c:v>17776</c:v>
                </c:pt>
                <c:pt idx="5">
                  <c:v>14813.333333333332</c:v>
                </c:pt>
                <c:pt idx="6">
                  <c:v>12697.142857142859</c:v>
                </c:pt>
                <c:pt idx="7">
                  <c:v>11110</c:v>
                </c:pt>
                <c:pt idx="8">
                  <c:v>12837.777777777777</c:v>
                </c:pt>
                <c:pt idx="9">
                  <c:v>11554</c:v>
                </c:pt>
                <c:pt idx="10">
                  <c:v>14341.818181818182</c:v>
                </c:pt>
                <c:pt idx="11">
                  <c:v>13146.666666666668</c:v>
                </c:pt>
                <c:pt idx="12">
                  <c:v>12135.384615384613</c:v>
                </c:pt>
                <c:pt idx="13">
                  <c:v>11268.571428571429</c:v>
                </c:pt>
                <c:pt idx="14">
                  <c:v>12740</c:v>
                </c:pt>
                <c:pt idx="15">
                  <c:v>11943.75</c:v>
                </c:pt>
                <c:pt idx="16">
                  <c:v>11241.176470588234</c:v>
                </c:pt>
                <c:pt idx="17">
                  <c:v>10616.666666666668</c:v>
                </c:pt>
                <c:pt idx="18">
                  <c:v>11461.052631578948</c:v>
                </c:pt>
                <c:pt idx="19">
                  <c:v>10888</c:v>
                </c:pt>
              </c:numCache>
            </c:numRef>
          </c:val>
        </c:ser>
        <c:ser>
          <c:idx val="4"/>
          <c:order val="5"/>
          <c:tx>
            <c:strRef>
              <c:f>'Month - Dec 2011 '!$B$53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'!$F$53:$Y$53</c:f>
              <c:numCache>
                <c:formatCode>0</c:formatCode>
                <c:ptCount val="20"/>
                <c:pt idx="0">
                  <c:v>109280</c:v>
                </c:pt>
                <c:pt idx="1">
                  <c:v>271530</c:v>
                </c:pt>
                <c:pt idx="2">
                  <c:v>181020</c:v>
                </c:pt>
                <c:pt idx="3">
                  <c:v>214090</c:v>
                </c:pt>
                <c:pt idx="4">
                  <c:v>229780</c:v>
                </c:pt>
                <c:pt idx="5">
                  <c:v>210390</c:v>
                </c:pt>
                <c:pt idx="6">
                  <c:v>198517.14285714287</c:v>
                </c:pt>
                <c:pt idx="7">
                  <c:v>202575</c:v>
                </c:pt>
                <c:pt idx="8">
                  <c:v>225302.22222222222</c:v>
                </c:pt>
                <c:pt idx="9">
                  <c:v>251424</c:v>
                </c:pt>
                <c:pt idx="10">
                  <c:v>246678.18181818179</c:v>
                </c:pt>
                <c:pt idx="11">
                  <c:v>242346.66666666669</c:v>
                </c:pt>
                <c:pt idx="12">
                  <c:v>271672.30769230769</c:v>
                </c:pt>
                <c:pt idx="13">
                  <c:v>255781.42857142858</c:v>
                </c:pt>
                <c:pt idx="14">
                  <c:v>275746.66666666669</c:v>
                </c:pt>
                <c:pt idx="15">
                  <c:v>282940</c:v>
                </c:pt>
                <c:pt idx="16">
                  <c:v>266049.4117647059</c:v>
                </c:pt>
                <c:pt idx="17">
                  <c:v>262880</c:v>
                </c:pt>
                <c:pt idx="18">
                  <c:v>245445.26315789472</c:v>
                </c:pt>
                <c:pt idx="19">
                  <c:v>255890</c:v>
                </c:pt>
              </c:numCache>
            </c:numRef>
          </c:val>
        </c:ser>
        <c:ser>
          <c:idx val="5"/>
          <c:order val="6"/>
          <c:tx>
            <c:strRef>
              <c:f>'Month - Dec 2011 '!$B$54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Dec 2011 '!$F$47:$Y$47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'!$F$54:$Y$54</c:f>
              <c:numCache>
                <c:formatCode>0</c:formatCode>
                <c:ptCount val="20"/>
                <c:pt idx="0">
                  <c:v>358680</c:v>
                </c:pt>
                <c:pt idx="1">
                  <c:v>582190</c:v>
                </c:pt>
                <c:pt idx="2">
                  <c:v>656346.66666666651</c:v>
                </c:pt>
                <c:pt idx="3">
                  <c:v>671920</c:v>
                </c:pt>
                <c:pt idx="4">
                  <c:v>776736</c:v>
                </c:pt>
                <c:pt idx="5">
                  <c:v>819990</c:v>
                </c:pt>
                <c:pt idx="6">
                  <c:v>839520.00000000012</c:v>
                </c:pt>
                <c:pt idx="7">
                  <c:v>844397.5</c:v>
                </c:pt>
                <c:pt idx="8">
                  <c:v>900086.66666666674</c:v>
                </c:pt>
                <c:pt idx="9">
                  <c:v>858530</c:v>
                </c:pt>
                <c:pt idx="10">
                  <c:v>875485.45454545459</c:v>
                </c:pt>
                <c:pt idx="11">
                  <c:v>876795</c:v>
                </c:pt>
                <c:pt idx="12">
                  <c:v>890295.38461538451</c:v>
                </c:pt>
                <c:pt idx="13">
                  <c:v>889667.14285714296</c:v>
                </c:pt>
                <c:pt idx="14">
                  <c:v>918146.66666666674</c:v>
                </c:pt>
                <c:pt idx="15">
                  <c:v>907821.25</c:v>
                </c:pt>
                <c:pt idx="16">
                  <c:v>899470.5882352941</c:v>
                </c:pt>
                <c:pt idx="17">
                  <c:v>902708.88888888888</c:v>
                </c:pt>
                <c:pt idx="18">
                  <c:v>885551.57894736831</c:v>
                </c:pt>
                <c:pt idx="19">
                  <c:v>912944</c:v>
                </c:pt>
              </c:numCache>
            </c:numRef>
          </c:val>
        </c:ser>
        <c:marker val="1"/>
        <c:axId val="136876416"/>
        <c:axId val="136877952"/>
      </c:lineChart>
      <c:catAx>
        <c:axId val="1368764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877952"/>
        <c:crosses val="autoZero"/>
        <c:auto val="1"/>
        <c:lblAlgn val="ctr"/>
        <c:lblOffset val="100"/>
      </c:catAx>
      <c:valAx>
        <c:axId val="136877952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876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79100858007"/>
          <c:y val="0.92826178249459435"/>
          <c:w val="0.48757348313917903"/>
          <c:h val="4.34782608695652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Daily Performance % vs Budget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883720930232599E-2"/>
          <c:y val="0.14130449781812823"/>
          <c:w val="0.95203488372092959"/>
          <c:h val="0.79130518778148851"/>
        </c:manualLayout>
      </c:layout>
      <c:barChart>
        <c:barDir val="col"/>
        <c:grouping val="clustered"/>
        <c:ser>
          <c:idx val="0"/>
          <c:order val="0"/>
          <c:tx>
            <c:strRef>
              <c:f>'Month - Dec 2011 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'!$F$17:$Y$17</c:f>
              <c:numCache>
                <c:formatCode>0.0%</c:formatCode>
                <c:ptCount val="20"/>
                <c:pt idx="0">
                  <c:v>0.36115942028985504</c:v>
                </c:pt>
                <c:pt idx="1">
                  <c:v>0.24846376811594206</c:v>
                </c:pt>
                <c:pt idx="2">
                  <c:v>1.1064927536231883</c:v>
                </c:pt>
                <c:pt idx="3">
                  <c:v>0.36115942028985504</c:v>
                </c:pt>
                <c:pt idx="4">
                  <c:v>0.51460869565217393</c:v>
                </c:pt>
                <c:pt idx="5">
                  <c:v>0.95142028985507243</c:v>
                </c:pt>
                <c:pt idx="6">
                  <c:v>0.87304347826086959</c:v>
                </c:pt>
                <c:pt idx="7">
                  <c:v>0.64405797101449269</c:v>
                </c:pt>
                <c:pt idx="8">
                  <c:v>1.9881159420289856</c:v>
                </c:pt>
                <c:pt idx="9">
                  <c:v>0</c:v>
                </c:pt>
                <c:pt idx="10">
                  <c:v>0.99391304347826082</c:v>
                </c:pt>
                <c:pt idx="11">
                  <c:v>0.75275362318840577</c:v>
                </c:pt>
                <c:pt idx="12">
                  <c:v>0.69518840579710139</c:v>
                </c:pt>
                <c:pt idx="13">
                  <c:v>0.67768115942028984</c:v>
                </c:pt>
                <c:pt idx="14">
                  <c:v>1.1139130434782609</c:v>
                </c:pt>
                <c:pt idx="15">
                  <c:v>0.31855072463768119</c:v>
                </c:pt>
                <c:pt idx="16">
                  <c:v>0.61449275362318834</c:v>
                </c:pt>
                <c:pt idx="17">
                  <c:v>1.7009275362318841</c:v>
                </c:pt>
                <c:pt idx="18">
                  <c:v>0.76481159420289857</c:v>
                </c:pt>
                <c:pt idx="19">
                  <c:v>0.51188405797101444</c:v>
                </c:pt>
              </c:numCache>
            </c:numRef>
          </c:val>
        </c:ser>
        <c:ser>
          <c:idx val="6"/>
          <c:order val="1"/>
          <c:tx>
            <c:strRef>
              <c:f>'Month - Dec 2011 '!$B$18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0">
              <a:gsLst>
                <a:gs pos="0">
                  <a:srgbClr val="84A2D3"/>
                </a:gs>
                <a:gs pos="20000">
                  <a:srgbClr val="85A2D1"/>
                </a:gs>
                <a:gs pos="100000">
                  <a:srgbClr val="657B9F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val>
            <c:numRef>
              <c:f>'Month - Dec 2011 '!$F$18:$Y$18</c:f>
              <c:numCache>
                <c:formatCode>0.0%</c:formatCode>
                <c:ptCount val="20"/>
                <c:pt idx="0">
                  <c:v>1.2</c:v>
                </c:pt>
                <c:pt idx="1">
                  <c:v>0</c:v>
                </c:pt>
                <c:pt idx="2">
                  <c:v>0.45799999999999996</c:v>
                </c:pt>
                <c:pt idx="3">
                  <c:v>1.363</c:v>
                </c:pt>
                <c:pt idx="4">
                  <c:v>1.0589999999999999</c:v>
                </c:pt>
                <c:pt idx="5">
                  <c:v>0</c:v>
                </c:pt>
                <c:pt idx="6">
                  <c:v>0</c:v>
                </c:pt>
                <c:pt idx="7">
                  <c:v>0.53899999999999992</c:v>
                </c:pt>
                <c:pt idx="8">
                  <c:v>0</c:v>
                </c:pt>
                <c:pt idx="9">
                  <c:v>0</c:v>
                </c:pt>
                <c:pt idx="10">
                  <c:v>1.179</c:v>
                </c:pt>
                <c:pt idx="11">
                  <c:v>0.53899999999999992</c:v>
                </c:pt>
                <c:pt idx="12">
                  <c:v>0.90500000000000003</c:v>
                </c:pt>
                <c:pt idx="13">
                  <c:v>1.0780000000000001</c:v>
                </c:pt>
                <c:pt idx="14">
                  <c:v>0</c:v>
                </c:pt>
                <c:pt idx="15">
                  <c:v>2.0990000000000002</c:v>
                </c:pt>
                <c:pt idx="16">
                  <c:v>0.53899999999999992</c:v>
                </c:pt>
                <c:pt idx="17">
                  <c:v>0</c:v>
                </c:pt>
                <c:pt idx="18">
                  <c:v>0.53899999999999992</c:v>
                </c:pt>
                <c:pt idx="19">
                  <c:v>0.95899999999999996</c:v>
                </c:pt>
              </c:numCache>
            </c:numRef>
          </c:val>
        </c:ser>
        <c:ser>
          <c:idx val="1"/>
          <c:order val="2"/>
          <c:tx>
            <c:strRef>
              <c:f>'Month - Dec 2011 '!$B$8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'!$F$19:$Y$19</c:f>
              <c:numCache>
                <c:formatCode>0.0%</c:formatCode>
                <c:ptCount val="20"/>
                <c:pt idx="0">
                  <c:v>1.0217777777777777</c:v>
                </c:pt>
                <c:pt idx="1">
                  <c:v>1.056</c:v>
                </c:pt>
                <c:pt idx="2">
                  <c:v>1.0253333333333334</c:v>
                </c:pt>
                <c:pt idx="3">
                  <c:v>0.93244444444444441</c:v>
                </c:pt>
                <c:pt idx="4">
                  <c:v>2.2653333333333334</c:v>
                </c:pt>
                <c:pt idx="5">
                  <c:v>2.0164444444444447</c:v>
                </c:pt>
                <c:pt idx="6">
                  <c:v>0</c:v>
                </c:pt>
                <c:pt idx="7">
                  <c:v>1.7915555555555556</c:v>
                </c:pt>
                <c:pt idx="8">
                  <c:v>0</c:v>
                </c:pt>
                <c:pt idx="9">
                  <c:v>0</c:v>
                </c:pt>
                <c:pt idx="10">
                  <c:v>1.6915555555555555</c:v>
                </c:pt>
                <c:pt idx="11">
                  <c:v>1.4657777777777778</c:v>
                </c:pt>
                <c:pt idx="12">
                  <c:v>1.2524444444444445</c:v>
                </c:pt>
                <c:pt idx="13">
                  <c:v>1.0302222222222222</c:v>
                </c:pt>
                <c:pt idx="14">
                  <c:v>0.88800000000000001</c:v>
                </c:pt>
                <c:pt idx="15">
                  <c:v>0.97688888888888892</c:v>
                </c:pt>
                <c:pt idx="16">
                  <c:v>1.1551111111111112</c:v>
                </c:pt>
                <c:pt idx="17">
                  <c:v>0.7586666666666666</c:v>
                </c:pt>
                <c:pt idx="18">
                  <c:v>1.4871111111111111</c:v>
                </c:pt>
                <c:pt idx="19">
                  <c:v>1.9577777777777778</c:v>
                </c:pt>
              </c:numCache>
            </c:numRef>
          </c:val>
        </c:ser>
        <c:ser>
          <c:idx val="2"/>
          <c:order val="3"/>
          <c:tx>
            <c:strRef>
              <c:f>'Month - Dec 2011 '!$B$20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'!$F$20:$Y$20</c:f>
              <c:numCache>
                <c:formatCode>0.0%</c:formatCode>
                <c:ptCount val="20"/>
                <c:pt idx="0">
                  <c:v>0.65400000000000003</c:v>
                </c:pt>
                <c:pt idx="1">
                  <c:v>0.78894736842105262</c:v>
                </c:pt>
                <c:pt idx="2">
                  <c:v>0.754</c:v>
                </c:pt>
                <c:pt idx="3">
                  <c:v>0</c:v>
                </c:pt>
                <c:pt idx="4">
                  <c:v>0</c:v>
                </c:pt>
                <c:pt idx="5">
                  <c:v>0.84894736842105267</c:v>
                </c:pt>
                <c:pt idx="6">
                  <c:v>0.79947368421052634</c:v>
                </c:pt>
                <c:pt idx="7">
                  <c:v>0.25442105263157899</c:v>
                </c:pt>
                <c:pt idx="8">
                  <c:v>1.1889473684210525</c:v>
                </c:pt>
                <c:pt idx="9">
                  <c:v>0.29947368421052634</c:v>
                </c:pt>
                <c:pt idx="10">
                  <c:v>0</c:v>
                </c:pt>
                <c:pt idx="11">
                  <c:v>0</c:v>
                </c:pt>
                <c:pt idx="12">
                  <c:v>0.49894736842105258</c:v>
                </c:pt>
                <c:pt idx="13">
                  <c:v>1.588421052631579</c:v>
                </c:pt>
                <c:pt idx="14">
                  <c:v>0.65400000000000003</c:v>
                </c:pt>
                <c:pt idx="15">
                  <c:v>0.74894736842105258</c:v>
                </c:pt>
                <c:pt idx="16">
                  <c:v>0.55400000000000005</c:v>
                </c:pt>
                <c:pt idx="17">
                  <c:v>0.77400000000000002</c:v>
                </c:pt>
                <c:pt idx="18">
                  <c:v>0.89842105263157901</c:v>
                </c:pt>
                <c:pt idx="19">
                  <c:v>0.77400000000000002</c:v>
                </c:pt>
              </c:numCache>
            </c:numRef>
          </c:val>
        </c:ser>
        <c:ser>
          <c:idx val="3"/>
          <c:order val="4"/>
          <c:tx>
            <c:strRef>
              <c:f>'Month - Dec 2011 '!$B$22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'!$F$22:$Y$22</c:f>
              <c:numCache>
                <c:formatCode>0.0%</c:formatCode>
                <c:ptCount val="20"/>
                <c:pt idx="0">
                  <c:v>0.7135555555555555</c:v>
                </c:pt>
                <c:pt idx="1">
                  <c:v>0.64688888888888885</c:v>
                </c:pt>
                <c:pt idx="2">
                  <c:v>1.0363888888888888</c:v>
                </c:pt>
                <c:pt idx="3">
                  <c:v>0.86850000000000005</c:v>
                </c:pt>
                <c:pt idx="4">
                  <c:v>0.58455555555555549</c:v>
                </c:pt>
                <c:pt idx="5">
                  <c:v>0.7412777777777777</c:v>
                </c:pt>
                <c:pt idx="6">
                  <c:v>0.37955555555555553</c:v>
                </c:pt>
                <c:pt idx="7">
                  <c:v>0.64155555555555555</c:v>
                </c:pt>
                <c:pt idx="8">
                  <c:v>1.131</c:v>
                </c:pt>
                <c:pt idx="9">
                  <c:v>1.3514444444444444</c:v>
                </c:pt>
                <c:pt idx="10">
                  <c:v>0.85705555555555557</c:v>
                </c:pt>
                <c:pt idx="11">
                  <c:v>0.84311111111111114</c:v>
                </c:pt>
                <c:pt idx="12">
                  <c:v>1.8474444444444444</c:v>
                </c:pt>
                <c:pt idx="13">
                  <c:v>0.73644444444444446</c:v>
                </c:pt>
                <c:pt idx="14">
                  <c:v>1.3767777777777779</c:v>
                </c:pt>
                <c:pt idx="15">
                  <c:v>1.0856666666666666</c:v>
                </c:pt>
                <c:pt idx="16">
                  <c:v>0.62611111111111106</c:v>
                </c:pt>
                <c:pt idx="17">
                  <c:v>0.67555555555555558</c:v>
                </c:pt>
                <c:pt idx="18">
                  <c:v>0.64149999999999996</c:v>
                </c:pt>
                <c:pt idx="19">
                  <c:v>0.97794444444444439</c:v>
                </c:pt>
              </c:numCache>
            </c:numRef>
          </c:val>
        </c:ser>
        <c:ser>
          <c:idx val="5"/>
          <c:order val="5"/>
          <c:tx>
            <c:strRef>
              <c:f>'Month - Dec 2011 '!$B$10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0">
              <a:gsLst>
                <a:gs pos="0">
                  <a:srgbClr val="F07E20"/>
                </a:gs>
                <a:gs pos="20000">
                  <a:srgbClr val="EB7E24"/>
                </a:gs>
                <a:gs pos="100000">
                  <a:srgbClr val="B45F19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'!$F$21:$Y$21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0.44440000000000002</c:v>
                </c:pt>
                <c:pt idx="3">
                  <c:v>0.44440000000000002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0.26659999999999995</c:v>
                </c:pt>
                <c:pt idx="9">
                  <c:v>0</c:v>
                </c:pt>
                <c:pt idx="10">
                  <c:v>0.42220000000000002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0.33340000000000003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0.26659999999999995</c:v>
                </c:pt>
                <c:pt idx="19">
                  <c:v>0</c:v>
                </c:pt>
              </c:numCache>
            </c:numRef>
          </c:val>
        </c:ser>
        <c:ser>
          <c:idx val="4"/>
          <c:order val="6"/>
          <c:tx>
            <c:strRef>
              <c:f>'Month - Dec 2011 '!$B$23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SerName val="1"/>
          </c:dLbls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'!$F$23:$Y$23</c:f>
              <c:numCache>
                <c:formatCode>0.0%</c:formatCode>
                <c:ptCount val="20"/>
                <c:pt idx="0">
                  <c:v>0.64821212121212124</c:v>
                </c:pt>
                <c:pt idx="1">
                  <c:v>0.53492424242424241</c:v>
                </c:pt>
                <c:pt idx="2">
                  <c:v>0.92351515151515151</c:v>
                </c:pt>
                <c:pt idx="3">
                  <c:v>0.62712121212121219</c:v>
                </c:pt>
                <c:pt idx="4">
                  <c:v>0.76028787878787885</c:v>
                </c:pt>
                <c:pt idx="5">
                  <c:v>0.91674242424242425</c:v>
                </c:pt>
                <c:pt idx="6">
                  <c:v>0.44677272727272732</c:v>
                </c:pt>
                <c:pt idx="7">
                  <c:v>0.72613636363636358</c:v>
                </c:pt>
                <c:pt idx="8">
                  <c:v>1.0194090909090909</c:v>
                </c:pt>
                <c:pt idx="9">
                  <c:v>0.41168181818181815</c:v>
                </c:pt>
                <c:pt idx="10">
                  <c:v>0.90315151515151515</c:v>
                </c:pt>
                <c:pt idx="11">
                  <c:v>0.71736363636363643</c:v>
                </c:pt>
                <c:pt idx="12">
                  <c:v>1.0394090909090909</c:v>
                </c:pt>
                <c:pt idx="13">
                  <c:v>0.86387878787878791</c:v>
                </c:pt>
                <c:pt idx="14">
                  <c:v>0.93737878787878792</c:v>
                </c:pt>
                <c:pt idx="15">
                  <c:v>0.81268181818181817</c:v>
                </c:pt>
                <c:pt idx="16">
                  <c:v>0.64883333333333337</c:v>
                </c:pt>
                <c:pt idx="17">
                  <c:v>0.86953030303030299</c:v>
                </c:pt>
                <c:pt idx="18">
                  <c:v>0.81868181818181818</c:v>
                </c:pt>
                <c:pt idx="19">
                  <c:v>0.91827272727272724</c:v>
                </c:pt>
              </c:numCache>
            </c:numRef>
          </c:val>
        </c:ser>
        <c:gapWidth val="75"/>
        <c:axId val="136774784"/>
        <c:axId val="136776320"/>
      </c:barChart>
      <c:catAx>
        <c:axId val="136774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776320"/>
        <c:crosses val="autoZero"/>
        <c:auto val="1"/>
        <c:lblAlgn val="ctr"/>
        <c:lblOffset val="100"/>
      </c:catAx>
      <c:valAx>
        <c:axId val="13677632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6774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2011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0.16344120346354901"/>
          <c:w val="0.93299344501092496"/>
          <c:h val="0.72688324698262496"/>
        </c:manualLayout>
      </c:layout>
      <c:lineChart>
        <c:grouping val="standard"/>
        <c:ser>
          <c:idx val="0"/>
          <c:order val="0"/>
          <c:tx>
            <c:strRef>
              <c:f>'Month - Dec 2011 '!$B$38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'!$F$38:$Y$38</c:f>
              <c:numCache>
                <c:formatCode>0.0%</c:formatCode>
                <c:ptCount val="20"/>
                <c:pt idx="0">
                  <c:v>0.36115942028985509</c:v>
                </c:pt>
                <c:pt idx="1">
                  <c:v>0.30481159420289855</c:v>
                </c:pt>
                <c:pt idx="2">
                  <c:v>0.52179710144927538</c:v>
                </c:pt>
                <c:pt idx="3">
                  <c:v>0.48163768115942029</c:v>
                </c:pt>
                <c:pt idx="4">
                  <c:v>0.48823188405797102</c:v>
                </c:pt>
                <c:pt idx="5">
                  <c:v>0.56542995169082122</c:v>
                </c:pt>
                <c:pt idx="6">
                  <c:v>0.5955942028985507</c:v>
                </c:pt>
                <c:pt idx="7">
                  <c:v>0.60165217391304349</c:v>
                </c:pt>
                <c:pt idx="8">
                  <c:v>0.75570370370370377</c:v>
                </c:pt>
                <c:pt idx="9">
                  <c:v>0.67955362318840584</c:v>
                </c:pt>
                <c:pt idx="10">
                  <c:v>0.70865876152832663</c:v>
                </c:pt>
                <c:pt idx="11">
                  <c:v>0.69954589371980669</c:v>
                </c:pt>
                <c:pt idx="12">
                  <c:v>0.69917056856187298</c:v>
                </c:pt>
                <c:pt idx="13">
                  <c:v>0.69767287784679088</c:v>
                </c:pt>
                <c:pt idx="14">
                  <c:v>0.72542222222222219</c:v>
                </c:pt>
                <c:pt idx="15">
                  <c:v>0.68008333333333337</c:v>
                </c:pt>
                <c:pt idx="16">
                  <c:v>0.69496334185848252</c:v>
                </c:pt>
                <c:pt idx="17">
                  <c:v>0.75078260869565216</c:v>
                </c:pt>
                <c:pt idx="18">
                  <c:v>0.75183829138062552</c:v>
                </c:pt>
                <c:pt idx="19">
                  <c:v>0.76692753623188403</c:v>
                </c:pt>
              </c:numCache>
            </c:numRef>
          </c:val>
        </c:ser>
        <c:ser>
          <c:idx val="6"/>
          <c:order val="1"/>
          <c:tx>
            <c:strRef>
              <c:f>'Month - Dec 2011 '!$B$39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'!$F$39:$Y$39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0.15266666666666667</c:v>
                </c:pt>
                <c:pt idx="3">
                  <c:v>0.45524999999999999</c:v>
                </c:pt>
                <c:pt idx="4">
                  <c:v>0.57599999999999996</c:v>
                </c:pt>
                <c:pt idx="5">
                  <c:v>0.48</c:v>
                </c:pt>
                <c:pt idx="6">
                  <c:v>0.41142857142857148</c:v>
                </c:pt>
                <c:pt idx="7">
                  <c:v>0.427375</c:v>
                </c:pt>
                <c:pt idx="8">
                  <c:v>0.37988888888888889</c:v>
                </c:pt>
                <c:pt idx="9">
                  <c:v>0.34189999999999998</c:v>
                </c:pt>
                <c:pt idx="10">
                  <c:v>0.41799999999999998</c:v>
                </c:pt>
                <c:pt idx="11">
                  <c:v>0.42375000000000002</c:v>
                </c:pt>
                <c:pt idx="12">
                  <c:v>0.46076923076923076</c:v>
                </c:pt>
                <c:pt idx="13">
                  <c:v>0.50485714285714278</c:v>
                </c:pt>
                <c:pt idx="14">
                  <c:v>0.47120000000000001</c:v>
                </c:pt>
                <c:pt idx="15">
                  <c:v>0.46675</c:v>
                </c:pt>
                <c:pt idx="16">
                  <c:v>0.53923529411764703</c:v>
                </c:pt>
                <c:pt idx="17">
                  <c:v>0.50927777777777772</c:v>
                </c:pt>
                <c:pt idx="18">
                  <c:v>0.51084210526315799</c:v>
                </c:pt>
                <c:pt idx="19">
                  <c:v>0.59424999999999994</c:v>
                </c:pt>
              </c:numCache>
            </c:numRef>
          </c:val>
        </c:ser>
        <c:ser>
          <c:idx val="1"/>
          <c:order val="2"/>
          <c:tx>
            <c:strRef>
              <c:f>'Month - Dec 2011 '!$B$40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'!$F$40:$Y$40</c:f>
              <c:numCache>
                <c:formatCode>0.0%</c:formatCode>
                <c:ptCount val="20"/>
                <c:pt idx="0">
                  <c:v>0.13333333333333333</c:v>
                </c:pt>
                <c:pt idx="1">
                  <c:v>0.46644444444444444</c:v>
                </c:pt>
                <c:pt idx="2">
                  <c:v>0.60399999999999998</c:v>
                </c:pt>
                <c:pt idx="3">
                  <c:v>0.56411111111111112</c:v>
                </c:pt>
                <c:pt idx="4">
                  <c:v>0.98426666666666662</c:v>
                </c:pt>
                <c:pt idx="5">
                  <c:v>1.1562962962962964</c:v>
                </c:pt>
                <c:pt idx="6">
                  <c:v>1.2511746031746034</c:v>
                </c:pt>
                <c:pt idx="7">
                  <c:v>1.2742777777777778</c:v>
                </c:pt>
                <c:pt idx="8">
                  <c:v>1.1326913580246913</c:v>
                </c:pt>
                <c:pt idx="9">
                  <c:v>1.0194222222222222</c:v>
                </c:pt>
                <c:pt idx="10">
                  <c:v>1.0644444444444445</c:v>
                </c:pt>
                <c:pt idx="11">
                  <c:v>1.1200740740740742</c:v>
                </c:pt>
                <c:pt idx="12">
                  <c:v>1.0722051282051281</c:v>
                </c:pt>
                <c:pt idx="13">
                  <c:v>1.0374603174603174</c:v>
                </c:pt>
                <c:pt idx="14">
                  <c:v>1.0333925925925924</c:v>
                </c:pt>
                <c:pt idx="15">
                  <c:v>1.01875</c:v>
                </c:pt>
                <c:pt idx="16">
                  <c:v>1.0189281045751633</c:v>
                </c:pt>
                <c:pt idx="17">
                  <c:v>0.98718518518518528</c:v>
                </c:pt>
                <c:pt idx="18">
                  <c:v>0.97845614035087713</c:v>
                </c:pt>
                <c:pt idx="19">
                  <c:v>0.98522222222222222</c:v>
                </c:pt>
              </c:numCache>
            </c:numRef>
          </c:val>
        </c:ser>
        <c:ser>
          <c:idx val="2"/>
          <c:order val="3"/>
          <c:tx>
            <c:strRef>
              <c:f>'Month - Dec 2011 '!$B$41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'!$F$41:$Y$41</c:f>
              <c:numCache>
                <c:formatCode>0.0%</c:formatCode>
                <c:ptCount val="20"/>
                <c:pt idx="0">
                  <c:v>0.49894736842105264</c:v>
                </c:pt>
                <c:pt idx="1">
                  <c:v>0.52921052631578946</c:v>
                </c:pt>
                <c:pt idx="2">
                  <c:v>0.68066666666666664</c:v>
                </c:pt>
                <c:pt idx="3">
                  <c:v>0.51049999999999995</c:v>
                </c:pt>
                <c:pt idx="4">
                  <c:v>0.42989473684210527</c:v>
                </c:pt>
                <c:pt idx="5">
                  <c:v>0.48182456140350871</c:v>
                </c:pt>
                <c:pt idx="6">
                  <c:v>0.52720300751879701</c:v>
                </c:pt>
                <c:pt idx="7">
                  <c:v>0.49311842105263159</c:v>
                </c:pt>
                <c:pt idx="8">
                  <c:v>0.57044444444444453</c:v>
                </c:pt>
                <c:pt idx="9">
                  <c:v>0.51339999999999997</c:v>
                </c:pt>
                <c:pt idx="10">
                  <c:v>0.46672727272727277</c:v>
                </c:pt>
                <c:pt idx="11">
                  <c:v>0.45035087719298239</c:v>
                </c:pt>
                <c:pt idx="12">
                  <c:v>0.41026720647773279</c:v>
                </c:pt>
                <c:pt idx="13">
                  <c:v>0.51581954887218051</c:v>
                </c:pt>
                <c:pt idx="14">
                  <c:v>0.5250315789473684</c:v>
                </c:pt>
                <c:pt idx="15">
                  <c:v>0.53902631578947369</c:v>
                </c:pt>
                <c:pt idx="16">
                  <c:v>0.52229102167182662</c:v>
                </c:pt>
                <c:pt idx="17">
                  <c:v>0.51130409356725148</c:v>
                </c:pt>
                <c:pt idx="18">
                  <c:v>0.51591689750692515</c:v>
                </c:pt>
                <c:pt idx="19">
                  <c:v>0.52882105263157897</c:v>
                </c:pt>
              </c:numCache>
            </c:numRef>
          </c:val>
        </c:ser>
        <c:ser>
          <c:idx val="5"/>
          <c:order val="4"/>
          <c:tx>
            <c:strRef>
              <c:f>'Month - Dec 2011 '!$B$42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7.7964912280701751E-2</c:v>
                </c:pt>
                <c:pt idx="3">
                  <c:v>0.11694736842105263</c:v>
                </c:pt>
                <c:pt idx="4">
                  <c:v>9.3557894736842104E-2</c:v>
                </c:pt>
                <c:pt idx="5">
                  <c:v>7.7964912280701751E-2</c:v>
                </c:pt>
                <c:pt idx="6">
                  <c:v>6.6827067669172943E-2</c:v>
                </c:pt>
                <c:pt idx="7">
                  <c:v>5.8473684210526317E-2</c:v>
                </c:pt>
                <c:pt idx="8">
                  <c:v>6.7567251461988304E-2</c:v>
                </c:pt>
                <c:pt idx="9">
                  <c:v>6.0810526315789475E-2</c:v>
                </c:pt>
                <c:pt idx="10">
                  <c:v>7.5483253588516749E-2</c:v>
                </c:pt>
                <c:pt idx="11">
                  <c:v>6.9192982456140362E-2</c:v>
                </c:pt>
                <c:pt idx="12">
                  <c:v>6.3870445344129542E-2</c:v>
                </c:pt>
                <c:pt idx="13">
                  <c:v>5.9308270676691734E-2</c:v>
                </c:pt>
                <c:pt idx="14">
                  <c:v>6.7052631578947364E-2</c:v>
                </c:pt>
                <c:pt idx="15">
                  <c:v>6.286184210526316E-2</c:v>
                </c:pt>
                <c:pt idx="16">
                  <c:v>5.9164086687306494E-2</c:v>
                </c:pt>
                <c:pt idx="17">
                  <c:v>5.5877192982456143E-2</c:v>
                </c:pt>
                <c:pt idx="18">
                  <c:v>6.0321329639889204E-2</c:v>
                </c:pt>
                <c:pt idx="19">
                  <c:v>5.7305263157894734E-2</c:v>
                </c:pt>
              </c:numCache>
            </c:numRef>
          </c:val>
        </c:ser>
        <c:ser>
          <c:idx val="3"/>
          <c:order val="5"/>
          <c:tx>
            <c:strRef>
              <c:f>'Month - Dec 2011 '!$B$43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'!$F$43:$Y$43</c:f>
              <c:numCache>
                <c:formatCode>0.0%</c:formatCode>
                <c:ptCount val="20"/>
                <c:pt idx="0">
                  <c:v>0.30355555555555558</c:v>
                </c:pt>
                <c:pt idx="1">
                  <c:v>0.75424999999999998</c:v>
                </c:pt>
                <c:pt idx="2">
                  <c:v>0.50283333333333335</c:v>
                </c:pt>
                <c:pt idx="3">
                  <c:v>0.59469444444444441</c:v>
                </c:pt>
                <c:pt idx="4">
                  <c:v>0.63827777777777783</c:v>
                </c:pt>
                <c:pt idx="5">
                  <c:v>0.5844166666666667</c:v>
                </c:pt>
                <c:pt idx="6">
                  <c:v>0.551436507936508</c:v>
                </c:pt>
                <c:pt idx="7">
                  <c:v>0.56270833333333337</c:v>
                </c:pt>
                <c:pt idx="8">
                  <c:v>0.62583950617283945</c:v>
                </c:pt>
                <c:pt idx="9">
                  <c:v>0.69840000000000002</c:v>
                </c:pt>
                <c:pt idx="10">
                  <c:v>0.68521717171717167</c:v>
                </c:pt>
                <c:pt idx="11">
                  <c:v>0.67318518518518522</c:v>
                </c:pt>
                <c:pt idx="12">
                  <c:v>0.7546452991452991</c:v>
                </c:pt>
                <c:pt idx="13">
                  <c:v>0.71050396825396833</c:v>
                </c:pt>
                <c:pt idx="14">
                  <c:v>0.76596296296296307</c:v>
                </c:pt>
                <c:pt idx="15">
                  <c:v>0.78594444444444445</c:v>
                </c:pt>
                <c:pt idx="16">
                  <c:v>0.73902614379084974</c:v>
                </c:pt>
                <c:pt idx="17">
                  <c:v>0.73022222222222222</c:v>
                </c:pt>
                <c:pt idx="18">
                  <c:v>0.68179239766081867</c:v>
                </c:pt>
                <c:pt idx="19">
                  <c:v>0.71080555555555558</c:v>
                </c:pt>
              </c:numCache>
            </c:numRef>
          </c:val>
        </c:ser>
        <c:ser>
          <c:idx val="4"/>
          <c:order val="6"/>
          <c:tx>
            <c:strRef>
              <c:f>'Month - Dec 2011 '!$B$44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Dec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Dec 2011 '!$F$44:$Y$44</c:f>
              <c:numCache>
                <c:formatCode>0.0%</c:formatCode>
                <c:ptCount val="20"/>
                <c:pt idx="0">
                  <c:v>0.27172727272727271</c:v>
                </c:pt>
                <c:pt idx="1">
                  <c:v>0.44105303030303028</c:v>
                </c:pt>
                <c:pt idx="2">
                  <c:v>0.49723232323232314</c:v>
                </c:pt>
                <c:pt idx="3">
                  <c:v>0.50903030303030306</c:v>
                </c:pt>
                <c:pt idx="4">
                  <c:v>0.58843636363636365</c:v>
                </c:pt>
                <c:pt idx="5">
                  <c:v>0.62120454545454551</c:v>
                </c:pt>
                <c:pt idx="6">
                  <c:v>0.63600000000000012</c:v>
                </c:pt>
                <c:pt idx="7">
                  <c:v>0.63969507575757578</c:v>
                </c:pt>
                <c:pt idx="8">
                  <c:v>0.68188383838383848</c:v>
                </c:pt>
                <c:pt idx="9">
                  <c:v>0.65040151515151512</c:v>
                </c:pt>
                <c:pt idx="10">
                  <c:v>0.66324655647382924</c:v>
                </c:pt>
                <c:pt idx="11">
                  <c:v>0.66423863636363634</c:v>
                </c:pt>
                <c:pt idx="12">
                  <c:v>0.67446620046620043</c:v>
                </c:pt>
                <c:pt idx="13">
                  <c:v>0.67399025974025983</c:v>
                </c:pt>
                <c:pt idx="14">
                  <c:v>0.69556565656565661</c:v>
                </c:pt>
                <c:pt idx="15">
                  <c:v>0.68774337121212126</c:v>
                </c:pt>
                <c:pt idx="16">
                  <c:v>0.68141711229946522</c:v>
                </c:pt>
                <c:pt idx="17">
                  <c:v>0.68387037037037035</c:v>
                </c:pt>
                <c:pt idx="18">
                  <c:v>0.67087240829346084</c:v>
                </c:pt>
                <c:pt idx="19">
                  <c:v>0.69162424242424247</c:v>
                </c:pt>
              </c:numCache>
            </c:numRef>
          </c:val>
        </c:ser>
        <c:marker val="1"/>
        <c:axId val="136833664"/>
        <c:axId val="136991104"/>
      </c:lineChart>
      <c:catAx>
        <c:axId val="136833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991104"/>
        <c:crosses val="autoZero"/>
        <c:auto val="1"/>
        <c:lblAlgn val="ctr"/>
        <c:lblOffset val="100"/>
      </c:catAx>
      <c:valAx>
        <c:axId val="136991104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83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676620538967239"/>
          <c:y val="0.90967922558068992"/>
          <c:w val="8.4486525855790223E-2"/>
          <c:h val="8.17206558857562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Jan 2012 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'!$F$52,'Month - Jan 2012 '!$G$52:$Y$52)</c:f>
              <c:numCache>
                <c:formatCode>0</c:formatCode>
                <c:ptCount val="20"/>
                <c:pt idx="0">
                  <c:v>2119480</c:v>
                </c:pt>
                <c:pt idx="1">
                  <c:v>1225140</c:v>
                </c:pt>
                <c:pt idx="2">
                  <c:v>879060</c:v>
                </c:pt>
                <c:pt idx="3">
                  <c:v>745020</c:v>
                </c:pt>
                <c:pt idx="4">
                  <c:v>630484</c:v>
                </c:pt>
                <c:pt idx="5">
                  <c:v>566936.66666666663</c:v>
                </c:pt>
                <c:pt idx="6">
                  <c:v>521545.71428571426</c:v>
                </c:pt>
                <c:pt idx="7">
                  <c:v>477140</c:v>
                </c:pt>
                <c:pt idx="8">
                  <c:v>450668.88888888888</c:v>
                </c:pt>
                <c:pt idx="9">
                  <c:v>467006</c:v>
                </c:pt>
                <c:pt idx="10">
                  <c:v>452450.90909090912</c:v>
                </c:pt>
                <c:pt idx="11">
                  <c:v>434180</c:v>
                </c:pt>
                <c:pt idx="12">
                  <c:v>417238.46153846156</c:v>
                </c:pt>
                <c:pt idx="13">
                  <c:v>387435.71428571426</c:v>
                </c:pt>
                <c:pt idx="14">
                  <c:v>379629.33333333337</c:v>
                </c:pt>
                <c:pt idx="15">
                  <c:v>391952.5</c:v>
                </c:pt>
                <c:pt idx="16">
                  <c:v>381537.6470588235</c:v>
                </c:pt>
                <c:pt idx="17">
                  <c:v>382073.33333333337</c:v>
                </c:pt>
                <c:pt idx="18">
                  <c:v>361964.21052631579</c:v>
                </c:pt>
                <c:pt idx="19">
                  <c:v>340054</c:v>
                </c:pt>
              </c:numCache>
            </c:numRef>
          </c:val>
        </c:ser>
        <c:ser>
          <c:idx val="1"/>
          <c:order val="1"/>
          <c:tx>
            <c:strRef>
              <c:f>'Month - Jan 2012 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'!$F$53,'Month - Jan 2012 '!$G$53:$Y$53)</c:f>
              <c:numCache>
                <c:formatCode>0</c:formatCode>
                <c:ptCount val="20"/>
                <c:pt idx="0">
                  <c:v>517600</c:v>
                </c:pt>
                <c:pt idx="1">
                  <c:v>258800</c:v>
                </c:pt>
                <c:pt idx="2">
                  <c:v>204500</c:v>
                </c:pt>
                <c:pt idx="3">
                  <c:v>153375</c:v>
                </c:pt>
                <c:pt idx="4">
                  <c:v>142700</c:v>
                </c:pt>
                <c:pt idx="5">
                  <c:v>118916.66666666666</c:v>
                </c:pt>
                <c:pt idx="6">
                  <c:v>144185.71428571429</c:v>
                </c:pt>
                <c:pt idx="7">
                  <c:v>138150</c:v>
                </c:pt>
                <c:pt idx="8">
                  <c:v>122800</c:v>
                </c:pt>
                <c:pt idx="9">
                  <c:v>110530</c:v>
                </c:pt>
                <c:pt idx="10">
                  <c:v>103209.0909090909</c:v>
                </c:pt>
                <c:pt idx="11">
                  <c:v>103591.66666666666</c:v>
                </c:pt>
                <c:pt idx="12">
                  <c:v>95623.076923076907</c:v>
                </c:pt>
                <c:pt idx="13">
                  <c:v>88792.85714285713</c:v>
                </c:pt>
                <c:pt idx="14">
                  <c:v>82873.333333333343</c:v>
                </c:pt>
                <c:pt idx="15">
                  <c:v>84431.25</c:v>
                </c:pt>
                <c:pt idx="16">
                  <c:v>82158.823529411762</c:v>
                </c:pt>
                <c:pt idx="17">
                  <c:v>87255.555555555547</c:v>
                </c:pt>
                <c:pt idx="18">
                  <c:v>83189.473684210534</c:v>
                </c:pt>
                <c:pt idx="19">
                  <c:v>79030</c:v>
                </c:pt>
              </c:numCache>
            </c:numRef>
          </c:val>
        </c:ser>
        <c:ser>
          <c:idx val="2"/>
          <c:order val="2"/>
          <c:tx>
            <c:strRef>
              <c:f>'Month - Jan 2012 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'!$F$54,'Month - Jan 2012 '!$G$54:$Y$54)</c:f>
              <c:numCache>
                <c:formatCode>0</c:formatCode>
                <c:ptCount val="20"/>
                <c:pt idx="0">
                  <c:v>529400</c:v>
                </c:pt>
                <c:pt idx="1">
                  <c:v>264700</c:v>
                </c:pt>
                <c:pt idx="2">
                  <c:v>176466.66666666669</c:v>
                </c:pt>
                <c:pt idx="3">
                  <c:v>145825</c:v>
                </c:pt>
                <c:pt idx="4">
                  <c:v>116660</c:v>
                </c:pt>
                <c:pt idx="5">
                  <c:v>130533.33333333334</c:v>
                </c:pt>
                <c:pt idx="6">
                  <c:v>111885.71428571429</c:v>
                </c:pt>
                <c:pt idx="7">
                  <c:v>114637.5</c:v>
                </c:pt>
                <c:pt idx="8">
                  <c:v>107888.88888888889</c:v>
                </c:pt>
                <c:pt idx="9">
                  <c:v>102490</c:v>
                </c:pt>
                <c:pt idx="10">
                  <c:v>93172.727272727279</c:v>
                </c:pt>
                <c:pt idx="11">
                  <c:v>89075</c:v>
                </c:pt>
                <c:pt idx="12">
                  <c:v>86369.230769230766</c:v>
                </c:pt>
                <c:pt idx="13">
                  <c:v>84050</c:v>
                </c:pt>
                <c:pt idx="14">
                  <c:v>92900</c:v>
                </c:pt>
                <c:pt idx="15">
                  <c:v>87093.75</c:v>
                </c:pt>
                <c:pt idx="16">
                  <c:v>85141.176470588238</c:v>
                </c:pt>
                <c:pt idx="17">
                  <c:v>86400</c:v>
                </c:pt>
                <c:pt idx="18">
                  <c:v>81852.631578947359</c:v>
                </c:pt>
                <c:pt idx="19">
                  <c:v>77760</c:v>
                </c:pt>
              </c:numCache>
            </c:numRef>
          </c:val>
        </c:ser>
        <c:ser>
          <c:idx val="3"/>
          <c:order val="3"/>
          <c:tx>
            <c:strRef>
              <c:f>'Month - Jan 2012 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'!$F$55,'Month - Jan 2012 '!$G$55:$Y$55)</c:f>
              <c:numCache>
                <c:formatCode>0</c:formatCode>
                <c:ptCount val="20"/>
                <c:pt idx="0">
                  <c:v>2148600</c:v>
                </c:pt>
                <c:pt idx="1">
                  <c:v>1094300</c:v>
                </c:pt>
                <c:pt idx="2">
                  <c:v>769533.33333333326</c:v>
                </c:pt>
                <c:pt idx="3">
                  <c:v>671275</c:v>
                </c:pt>
                <c:pt idx="4">
                  <c:v>589660</c:v>
                </c:pt>
                <c:pt idx="5">
                  <c:v>505533.33333333337</c:v>
                </c:pt>
                <c:pt idx="6">
                  <c:v>459028.57142857148</c:v>
                </c:pt>
                <c:pt idx="7">
                  <c:v>390412.5</c:v>
                </c:pt>
                <c:pt idx="8">
                  <c:v>360388.88888888888</c:v>
                </c:pt>
                <c:pt idx="9">
                  <c:v>362330</c:v>
                </c:pt>
                <c:pt idx="10">
                  <c:v>338027.27272727271</c:v>
                </c:pt>
                <c:pt idx="11">
                  <c:v>321516.66666666669</c:v>
                </c:pt>
                <c:pt idx="12">
                  <c:v>307169.23076923075</c:v>
                </c:pt>
                <c:pt idx="13">
                  <c:v>289514.28571428574</c:v>
                </c:pt>
                <c:pt idx="14">
                  <c:v>278213.33333333331</c:v>
                </c:pt>
                <c:pt idx="15">
                  <c:v>267700</c:v>
                </c:pt>
                <c:pt idx="16">
                  <c:v>267176.4705882353</c:v>
                </c:pt>
                <c:pt idx="17">
                  <c:v>264538.88888888888</c:v>
                </c:pt>
                <c:pt idx="18">
                  <c:v>257978.94736842107</c:v>
                </c:pt>
                <c:pt idx="19">
                  <c:v>250070</c:v>
                </c:pt>
              </c:numCache>
            </c:numRef>
          </c:val>
        </c:ser>
        <c:ser>
          <c:idx val="4"/>
          <c:order val="4"/>
          <c:tx>
            <c:strRef>
              <c:f>'Month - Jan 2012 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'!$F$56,'Month - Jan 2012 '!$G$56:$Y$56)</c:f>
              <c:numCache>
                <c:formatCode>0</c:formatCode>
                <c:ptCount val="20"/>
                <c:pt idx="0">
                  <c:v>1134460</c:v>
                </c:pt>
                <c:pt idx="1">
                  <c:v>609110</c:v>
                </c:pt>
                <c:pt idx="2">
                  <c:v>425040</c:v>
                </c:pt>
                <c:pt idx="3">
                  <c:v>318780</c:v>
                </c:pt>
                <c:pt idx="4">
                  <c:v>291276</c:v>
                </c:pt>
                <c:pt idx="5">
                  <c:v>248270</c:v>
                </c:pt>
                <c:pt idx="6">
                  <c:v>224340</c:v>
                </c:pt>
                <c:pt idx="7">
                  <c:v>204610</c:v>
                </c:pt>
                <c:pt idx="8">
                  <c:v>208726.66666666669</c:v>
                </c:pt>
                <c:pt idx="9">
                  <c:v>192730</c:v>
                </c:pt>
                <c:pt idx="10">
                  <c:v>185227.27272727271</c:v>
                </c:pt>
                <c:pt idx="11">
                  <c:v>174533.33333333331</c:v>
                </c:pt>
                <c:pt idx="12">
                  <c:v>164023.07692307691</c:v>
                </c:pt>
                <c:pt idx="13">
                  <c:v>170268.57142857142</c:v>
                </c:pt>
                <c:pt idx="14">
                  <c:v>167282.66666666666</c:v>
                </c:pt>
                <c:pt idx="15">
                  <c:v>169627.5</c:v>
                </c:pt>
                <c:pt idx="16">
                  <c:v>159649.41176470587</c:v>
                </c:pt>
                <c:pt idx="17">
                  <c:v>150780</c:v>
                </c:pt>
                <c:pt idx="18">
                  <c:v>140744.21052631579</c:v>
                </c:pt>
                <c:pt idx="19">
                  <c:v>133707</c:v>
                </c:pt>
              </c:numCache>
            </c:numRef>
          </c:val>
        </c:ser>
        <c:ser>
          <c:idx val="5"/>
          <c:order val="5"/>
          <c:tx>
            <c:strRef>
              <c:f>'Month - Jan 2012 '!$B$57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'!$F$57,'Month - Jan 2012 '!$G$57:$Y$57)</c:f>
              <c:numCache>
                <c:formatCode>0</c:formatCode>
                <c:ptCount val="20"/>
                <c:pt idx="0">
                  <c:v>128880</c:v>
                </c:pt>
                <c:pt idx="1">
                  <c:v>64440</c:v>
                </c:pt>
                <c:pt idx="2">
                  <c:v>42960</c:v>
                </c:pt>
                <c:pt idx="3">
                  <c:v>32220</c:v>
                </c:pt>
                <c:pt idx="4">
                  <c:v>38664</c:v>
                </c:pt>
                <c:pt idx="5">
                  <c:v>32220</c:v>
                </c:pt>
                <c:pt idx="6">
                  <c:v>27617.142857142859</c:v>
                </c:pt>
                <c:pt idx="7">
                  <c:v>26942.5</c:v>
                </c:pt>
                <c:pt idx="8">
                  <c:v>28886.666666666664</c:v>
                </c:pt>
                <c:pt idx="9">
                  <c:v>25998</c:v>
                </c:pt>
                <c:pt idx="10">
                  <c:v>26867.272727272724</c:v>
                </c:pt>
                <c:pt idx="11">
                  <c:v>26295</c:v>
                </c:pt>
                <c:pt idx="12">
                  <c:v>27349.230769230773</c:v>
                </c:pt>
                <c:pt idx="13">
                  <c:v>26982.857142857141</c:v>
                </c:pt>
                <c:pt idx="14">
                  <c:v>26665.333333333332</c:v>
                </c:pt>
                <c:pt idx="15">
                  <c:v>31803.75</c:v>
                </c:pt>
                <c:pt idx="16">
                  <c:v>30585.882352941175</c:v>
                </c:pt>
                <c:pt idx="17">
                  <c:v>29503.333333333336</c:v>
                </c:pt>
                <c:pt idx="18">
                  <c:v>27950.526315789473</c:v>
                </c:pt>
                <c:pt idx="19">
                  <c:v>35101</c:v>
                </c:pt>
              </c:numCache>
            </c:numRef>
          </c:val>
        </c:ser>
        <c:ser>
          <c:idx val="6"/>
          <c:order val="6"/>
          <c:tx>
            <c:strRef>
              <c:f>'Month - Jan 2012 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Jan 2012 '!$F$51,'Month - Jan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Jan 2012 '!$F$58,'Month - Jan 2012 '!$G$58:$Y$58)</c:f>
              <c:numCache>
                <c:formatCode>0</c:formatCode>
                <c:ptCount val="20"/>
                <c:pt idx="0">
                  <c:v>3313880</c:v>
                </c:pt>
                <c:pt idx="1">
                  <c:v>1680800</c:v>
                </c:pt>
                <c:pt idx="2">
                  <c:v>1171560</c:v>
                </c:pt>
                <c:pt idx="3">
                  <c:v>946950</c:v>
                </c:pt>
                <c:pt idx="4">
                  <c:v>809088</c:v>
                </c:pt>
                <c:pt idx="5">
                  <c:v>694116.66666666674</c:v>
                </c:pt>
                <c:pt idx="6">
                  <c:v>625957.14285714284</c:v>
                </c:pt>
                <c:pt idx="7">
                  <c:v>543872.5</c:v>
                </c:pt>
                <c:pt idx="8">
                  <c:v>497657.77777777781</c:v>
                </c:pt>
                <c:pt idx="9">
                  <c:v>447892</c:v>
                </c:pt>
                <c:pt idx="10">
                  <c:v>426807.27272727271</c:v>
                </c:pt>
                <c:pt idx="11">
                  <c:v>411661.66666666663</c:v>
                </c:pt>
                <c:pt idx="12">
                  <c:v>405503.07692307694</c:v>
                </c:pt>
                <c:pt idx="13">
                  <c:v>387655.71428571426</c:v>
                </c:pt>
                <c:pt idx="14">
                  <c:v>361929.33333333337</c:v>
                </c:pt>
                <c:pt idx="15">
                  <c:v>346825</c:v>
                </c:pt>
                <c:pt idx="16">
                  <c:v>336758.82352941175</c:v>
                </c:pt>
                <c:pt idx="17">
                  <c:v>309792.22222222225</c:v>
                </c:pt>
                <c:pt idx="18">
                  <c:v>300737.89473684208</c:v>
                </c:pt>
                <c:pt idx="19">
                  <c:v>292203</c:v>
                </c:pt>
              </c:numCache>
            </c:numRef>
          </c:val>
        </c:ser>
        <c:marker val="1"/>
        <c:axId val="137254400"/>
        <c:axId val="137255936"/>
      </c:lineChart>
      <c:catAx>
        <c:axId val="1372544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255936"/>
        <c:crosses val="autoZero"/>
        <c:auto val="1"/>
        <c:lblAlgn val="ctr"/>
        <c:lblOffset val="100"/>
      </c:catAx>
      <c:valAx>
        <c:axId val="13725593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25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869656510327501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7774627824729918E-2"/>
          <c:y val="0.13541694217314523"/>
          <c:w val="0.850927543146907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'!$F$36:$Y$36</c:f>
              <c:numCache>
                <c:formatCode>0</c:formatCode>
                <c:ptCount val="20"/>
                <c:pt idx="0">
                  <c:v>494615</c:v>
                </c:pt>
                <c:pt idx="1">
                  <c:v>519729</c:v>
                </c:pt>
                <c:pt idx="2">
                  <c:v>550368</c:v>
                </c:pt>
                <c:pt idx="3">
                  <c:v>602689</c:v>
                </c:pt>
                <c:pt idx="4">
                  <c:v>654633</c:v>
                </c:pt>
                <c:pt idx="5">
                  <c:v>688958</c:v>
                </c:pt>
                <c:pt idx="6">
                  <c:v>740096</c:v>
                </c:pt>
                <c:pt idx="7">
                  <c:v>758306</c:v>
                </c:pt>
                <c:pt idx="8">
                  <c:v>799658</c:v>
                </c:pt>
                <c:pt idx="9">
                  <c:v>854488</c:v>
                </c:pt>
                <c:pt idx="10">
                  <c:v>894169</c:v>
                </c:pt>
                <c:pt idx="11">
                  <c:v>936512</c:v>
                </c:pt>
                <c:pt idx="12">
                  <c:v>977129</c:v>
                </c:pt>
                <c:pt idx="13">
                  <c:v>1004290</c:v>
                </c:pt>
                <c:pt idx="14">
                  <c:v>1042120</c:v>
                </c:pt>
                <c:pt idx="15">
                  <c:v>1103547</c:v>
                </c:pt>
                <c:pt idx="16">
                  <c:v>1141557</c:v>
                </c:pt>
                <c:pt idx="17">
                  <c:v>1179309</c:v>
                </c:pt>
                <c:pt idx="18">
                  <c:v>1191697</c:v>
                </c:pt>
                <c:pt idx="19">
                  <c:v>1207925</c:v>
                </c:pt>
              </c:numCache>
            </c:numRef>
          </c:val>
        </c:ser>
        <c:ser>
          <c:idx val="0"/>
          <c:order val="1"/>
          <c:tx>
            <c:strRef>
              <c:f>'Month - Jan 2012 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Jan 2012 '!$F$62:$Y$62</c:f>
              <c:numCache>
                <c:formatCode>0</c:formatCode>
                <c:ptCount val="20"/>
                <c:pt idx="0">
                  <c:v>58700</c:v>
                </c:pt>
                <c:pt idx="1">
                  <c:v>117400</c:v>
                </c:pt>
                <c:pt idx="2">
                  <c:v>176100</c:v>
                </c:pt>
                <c:pt idx="3">
                  <c:v>234800</c:v>
                </c:pt>
                <c:pt idx="4">
                  <c:v>293500</c:v>
                </c:pt>
                <c:pt idx="5">
                  <c:v>352200</c:v>
                </c:pt>
                <c:pt idx="6">
                  <c:v>410900</c:v>
                </c:pt>
                <c:pt idx="7">
                  <c:v>469600</c:v>
                </c:pt>
                <c:pt idx="8">
                  <c:v>528300</c:v>
                </c:pt>
                <c:pt idx="9">
                  <c:v>587000</c:v>
                </c:pt>
                <c:pt idx="10">
                  <c:v>645700</c:v>
                </c:pt>
                <c:pt idx="11">
                  <c:v>704400</c:v>
                </c:pt>
                <c:pt idx="12">
                  <c:v>763100</c:v>
                </c:pt>
                <c:pt idx="13">
                  <c:v>821800</c:v>
                </c:pt>
                <c:pt idx="14">
                  <c:v>880500</c:v>
                </c:pt>
                <c:pt idx="15">
                  <c:v>939200</c:v>
                </c:pt>
                <c:pt idx="16">
                  <c:v>997900</c:v>
                </c:pt>
                <c:pt idx="17">
                  <c:v>1056600</c:v>
                </c:pt>
                <c:pt idx="18">
                  <c:v>1115300</c:v>
                </c:pt>
                <c:pt idx="19">
                  <c:v>1174000</c:v>
                </c:pt>
              </c:numCache>
            </c:numRef>
          </c:val>
        </c:ser>
        <c:marker val="1"/>
        <c:axId val="137289088"/>
        <c:axId val="137294976"/>
      </c:lineChart>
      <c:catAx>
        <c:axId val="1372890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294976"/>
        <c:crosses val="autoZero"/>
        <c:auto val="1"/>
        <c:lblAlgn val="ctr"/>
        <c:lblOffset val="100"/>
      </c:catAx>
      <c:valAx>
        <c:axId val="1372949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289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081327387572838"/>
          <c:y val="0.90625174978125689"/>
          <c:w val="0.14835956133158087"/>
          <c:h val="5.00000000000001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Jan 2012 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'!$F$41:$Y$41</c:f>
              <c:numCache>
                <c:formatCode>0.0%</c:formatCode>
                <c:ptCount val="20"/>
                <c:pt idx="0">
                  <c:v>6.6233750000000002</c:v>
                </c:pt>
                <c:pt idx="1">
                  <c:v>3.8285624999999999</c:v>
                </c:pt>
                <c:pt idx="2">
                  <c:v>2.7470625000000002</c:v>
                </c:pt>
                <c:pt idx="3">
                  <c:v>2.3281874999999999</c:v>
                </c:pt>
                <c:pt idx="4">
                  <c:v>1.9702625</c:v>
                </c:pt>
                <c:pt idx="5">
                  <c:v>1.7716770833333333</c:v>
                </c:pt>
                <c:pt idx="6">
                  <c:v>1.629830357142857</c:v>
                </c:pt>
                <c:pt idx="7">
                  <c:v>1.4910625</c:v>
                </c:pt>
                <c:pt idx="8">
                  <c:v>1.4083402777777778</c:v>
                </c:pt>
                <c:pt idx="9">
                  <c:v>1.45939375</c:v>
                </c:pt>
                <c:pt idx="10">
                  <c:v>1.413909090909091</c:v>
                </c:pt>
                <c:pt idx="11">
                  <c:v>1.3568125</c:v>
                </c:pt>
                <c:pt idx="12">
                  <c:v>1.3038701923076923</c:v>
                </c:pt>
                <c:pt idx="13">
                  <c:v>1.2107366071428571</c:v>
                </c:pt>
                <c:pt idx="14">
                  <c:v>1.1863416666666668</c:v>
                </c:pt>
                <c:pt idx="15">
                  <c:v>1.2248515625</c:v>
                </c:pt>
                <c:pt idx="16">
                  <c:v>1.1923051470588235</c:v>
                </c:pt>
                <c:pt idx="17">
                  <c:v>1.1939791666666668</c:v>
                </c:pt>
                <c:pt idx="18">
                  <c:v>1.1311381578947368</c:v>
                </c:pt>
                <c:pt idx="19">
                  <c:v>1.0626687500000001</c:v>
                </c:pt>
              </c:numCache>
            </c:numRef>
          </c:val>
        </c:ser>
        <c:ser>
          <c:idx val="6"/>
          <c:order val="1"/>
          <c:tx>
            <c:strRef>
              <c:f>'Month - Jan 2012 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'!$F$42:$Y$42</c:f>
              <c:numCache>
                <c:formatCode>0.0%</c:formatCode>
                <c:ptCount val="20"/>
                <c:pt idx="0">
                  <c:v>8.2158730158730151</c:v>
                </c:pt>
                <c:pt idx="1">
                  <c:v>4.1079365079365076</c:v>
                </c:pt>
                <c:pt idx="2">
                  <c:v>3.246031746031746</c:v>
                </c:pt>
                <c:pt idx="3">
                  <c:v>2.4345238095238093</c:v>
                </c:pt>
                <c:pt idx="4">
                  <c:v>2.265079365079365</c:v>
                </c:pt>
                <c:pt idx="5">
                  <c:v>1.8875661375661374</c:v>
                </c:pt>
                <c:pt idx="6">
                  <c:v>2.2886621315192746</c:v>
                </c:pt>
                <c:pt idx="7">
                  <c:v>2.1928571428571431</c:v>
                </c:pt>
                <c:pt idx="8">
                  <c:v>1.9492063492063492</c:v>
                </c:pt>
                <c:pt idx="9">
                  <c:v>1.7544444444444445</c:v>
                </c:pt>
                <c:pt idx="10">
                  <c:v>1.6382395382395381</c:v>
                </c:pt>
                <c:pt idx="11">
                  <c:v>1.6443121693121692</c:v>
                </c:pt>
                <c:pt idx="12">
                  <c:v>1.5178266178266175</c:v>
                </c:pt>
                <c:pt idx="13">
                  <c:v>1.4094104308390021</c:v>
                </c:pt>
                <c:pt idx="14">
                  <c:v>1.3154497354497356</c:v>
                </c:pt>
                <c:pt idx="15">
                  <c:v>1.3401785714285714</c:v>
                </c:pt>
                <c:pt idx="16">
                  <c:v>1.304108309990663</c:v>
                </c:pt>
                <c:pt idx="17">
                  <c:v>1.3850088183421516</c:v>
                </c:pt>
                <c:pt idx="18">
                  <c:v>1.3204678362573101</c:v>
                </c:pt>
                <c:pt idx="19">
                  <c:v>1.2544444444444445</c:v>
                </c:pt>
              </c:numCache>
            </c:numRef>
          </c:val>
        </c:ser>
        <c:ser>
          <c:idx val="1"/>
          <c:order val="2"/>
          <c:tx>
            <c:strRef>
              <c:f>'Month - Jan 2012 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'!$F$43:$Y$43</c:f>
              <c:numCache>
                <c:formatCode>0.0%</c:formatCode>
                <c:ptCount val="20"/>
                <c:pt idx="0">
                  <c:v>8.4031746031746035</c:v>
                </c:pt>
                <c:pt idx="1">
                  <c:v>4.2015873015873018</c:v>
                </c:pt>
                <c:pt idx="2">
                  <c:v>2.8010582010582015</c:v>
                </c:pt>
                <c:pt idx="3">
                  <c:v>2.3146825396825399</c:v>
                </c:pt>
                <c:pt idx="4">
                  <c:v>1.8517460317460317</c:v>
                </c:pt>
                <c:pt idx="5">
                  <c:v>2.071957671957672</c:v>
                </c:pt>
                <c:pt idx="6">
                  <c:v>1.7759637188208617</c:v>
                </c:pt>
                <c:pt idx="7">
                  <c:v>1.8196428571428571</c:v>
                </c:pt>
                <c:pt idx="8">
                  <c:v>1.7125220458553791</c:v>
                </c:pt>
                <c:pt idx="9">
                  <c:v>1.6268253968253967</c:v>
                </c:pt>
                <c:pt idx="10">
                  <c:v>1.478932178932179</c:v>
                </c:pt>
                <c:pt idx="11">
                  <c:v>1.413888888888889</c:v>
                </c:pt>
                <c:pt idx="12">
                  <c:v>1.370940170940171</c:v>
                </c:pt>
                <c:pt idx="13">
                  <c:v>1.3341269841269841</c:v>
                </c:pt>
                <c:pt idx="14">
                  <c:v>1.4746031746031747</c:v>
                </c:pt>
                <c:pt idx="15">
                  <c:v>1.3824404761904763</c:v>
                </c:pt>
                <c:pt idx="16">
                  <c:v>1.3514472455648927</c:v>
                </c:pt>
                <c:pt idx="17">
                  <c:v>1.3714285714285714</c:v>
                </c:pt>
                <c:pt idx="18">
                  <c:v>1.2992481203007518</c:v>
                </c:pt>
                <c:pt idx="19">
                  <c:v>1.2342857142857142</c:v>
                </c:pt>
              </c:numCache>
            </c:numRef>
          </c:val>
        </c:ser>
        <c:ser>
          <c:idx val="7"/>
          <c:order val="3"/>
          <c:tx>
            <c:strRef>
              <c:f>'Month - Jan 2012 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'!$F$44:$Y$44</c:f>
              <c:numCache>
                <c:formatCode>0.0%</c:formatCode>
                <c:ptCount val="20"/>
                <c:pt idx="0">
                  <c:v>7.9577777777777774</c:v>
                </c:pt>
                <c:pt idx="1">
                  <c:v>4.0529629629629627</c:v>
                </c:pt>
                <c:pt idx="2">
                  <c:v>2.850123456790123</c:v>
                </c:pt>
                <c:pt idx="3">
                  <c:v>2.4862037037037039</c:v>
                </c:pt>
                <c:pt idx="4">
                  <c:v>2.183925925925926</c:v>
                </c:pt>
                <c:pt idx="5">
                  <c:v>1.8723456790123458</c:v>
                </c:pt>
                <c:pt idx="6">
                  <c:v>1.7001058201058203</c:v>
                </c:pt>
                <c:pt idx="7">
                  <c:v>1.4459722222222222</c:v>
                </c:pt>
                <c:pt idx="8">
                  <c:v>1.3347736625514404</c:v>
                </c:pt>
                <c:pt idx="9">
                  <c:v>1.341962962962963</c:v>
                </c:pt>
                <c:pt idx="10">
                  <c:v>1.2519528619528619</c:v>
                </c:pt>
                <c:pt idx="11">
                  <c:v>1.1908024691358026</c:v>
                </c:pt>
                <c:pt idx="12">
                  <c:v>1.1376638176638176</c:v>
                </c:pt>
                <c:pt idx="13">
                  <c:v>1.0722751322751323</c:v>
                </c:pt>
                <c:pt idx="14">
                  <c:v>1.0304197530864196</c:v>
                </c:pt>
                <c:pt idx="15">
                  <c:v>0.99148148148148152</c:v>
                </c:pt>
                <c:pt idx="16">
                  <c:v>0.98954248366013076</c:v>
                </c:pt>
                <c:pt idx="17">
                  <c:v>0.97977366255144027</c:v>
                </c:pt>
                <c:pt idx="18">
                  <c:v>0.95547758284600393</c:v>
                </c:pt>
                <c:pt idx="19">
                  <c:v>0.92618518518518522</c:v>
                </c:pt>
              </c:numCache>
            </c:numRef>
          </c:val>
        </c:ser>
        <c:ser>
          <c:idx val="2"/>
          <c:order val="4"/>
          <c:tx>
            <c:strRef>
              <c:f>'Month - Jan 2012 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'!$F$45:$Y$45</c:f>
              <c:numCache>
                <c:formatCode>0.0%</c:formatCode>
                <c:ptCount val="20"/>
                <c:pt idx="0">
                  <c:v>8.8629687500000003</c:v>
                </c:pt>
                <c:pt idx="1">
                  <c:v>4.7586718750000001</c:v>
                </c:pt>
                <c:pt idx="2">
                  <c:v>3.3206250000000002</c:v>
                </c:pt>
                <c:pt idx="3">
                  <c:v>2.4904687499999998</c:v>
                </c:pt>
                <c:pt idx="4">
                  <c:v>2.2755937500000001</c:v>
                </c:pt>
                <c:pt idx="5">
                  <c:v>1.9396093750000001</c:v>
                </c:pt>
                <c:pt idx="6">
                  <c:v>1.75265625</c:v>
                </c:pt>
                <c:pt idx="7">
                  <c:v>1.5985156250000001</c:v>
                </c:pt>
                <c:pt idx="8">
                  <c:v>1.6306770833333335</c:v>
                </c:pt>
                <c:pt idx="9">
                  <c:v>1.5057031249999999</c:v>
                </c:pt>
                <c:pt idx="10">
                  <c:v>1.4470880681818181</c:v>
                </c:pt>
                <c:pt idx="11">
                  <c:v>1.3635416666666664</c:v>
                </c:pt>
                <c:pt idx="12">
                  <c:v>1.2814302884615383</c:v>
                </c:pt>
                <c:pt idx="13">
                  <c:v>1.3302232142857142</c:v>
                </c:pt>
                <c:pt idx="14">
                  <c:v>1.3068958333333334</c:v>
                </c:pt>
                <c:pt idx="15">
                  <c:v>1.32521484375</c:v>
                </c:pt>
                <c:pt idx="16">
                  <c:v>1.2472610294117645</c:v>
                </c:pt>
                <c:pt idx="17">
                  <c:v>1.17796875</c:v>
                </c:pt>
                <c:pt idx="18">
                  <c:v>1.0995641447368421</c:v>
                </c:pt>
                <c:pt idx="19">
                  <c:v>1.0445859375</c:v>
                </c:pt>
              </c:numCache>
            </c:numRef>
          </c:val>
        </c:ser>
        <c:ser>
          <c:idx val="5"/>
          <c:order val="5"/>
          <c:tx>
            <c:strRef>
              <c:f>'Month - Jan 2012 '!$B$46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'!$F$46:$Y$46</c:f>
              <c:numCache>
                <c:formatCode>0.0%</c:formatCode>
                <c:ptCount val="20"/>
                <c:pt idx="0">
                  <c:v>1.006875</c:v>
                </c:pt>
                <c:pt idx="1">
                  <c:v>0.50343749999999998</c:v>
                </c:pt>
                <c:pt idx="2">
                  <c:v>0.33562500000000001</c:v>
                </c:pt>
                <c:pt idx="3">
                  <c:v>0.25171874999999999</c:v>
                </c:pt>
                <c:pt idx="4">
                  <c:v>0.30206250000000001</c:v>
                </c:pt>
                <c:pt idx="5">
                  <c:v>0.25171874999999999</c:v>
                </c:pt>
                <c:pt idx="6">
                  <c:v>0.21575892857142859</c:v>
                </c:pt>
                <c:pt idx="7">
                  <c:v>0.21048828124999999</c:v>
                </c:pt>
                <c:pt idx="8">
                  <c:v>0.22567708333333331</c:v>
                </c:pt>
                <c:pt idx="9">
                  <c:v>0.20310937500000001</c:v>
                </c:pt>
                <c:pt idx="10">
                  <c:v>0.20990056818181815</c:v>
                </c:pt>
                <c:pt idx="11">
                  <c:v>0.20542968750000001</c:v>
                </c:pt>
                <c:pt idx="12">
                  <c:v>0.21366586538461541</c:v>
                </c:pt>
                <c:pt idx="13">
                  <c:v>0.21080357142857142</c:v>
                </c:pt>
                <c:pt idx="14">
                  <c:v>0.20832291666666666</c:v>
                </c:pt>
                <c:pt idx="15">
                  <c:v>0.24846679687500001</c:v>
                </c:pt>
                <c:pt idx="16">
                  <c:v>0.23895220588235294</c:v>
                </c:pt>
                <c:pt idx="17">
                  <c:v>0.2304947916666667</c:v>
                </c:pt>
                <c:pt idx="18">
                  <c:v>0.21836348684210527</c:v>
                </c:pt>
                <c:pt idx="19">
                  <c:v>0.27422656249999999</c:v>
                </c:pt>
              </c:numCache>
            </c:numRef>
          </c:val>
        </c:ser>
        <c:ser>
          <c:idx val="3"/>
          <c:order val="6"/>
          <c:tx>
            <c:strRef>
              <c:f>'Month - Jan 2012 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'!$F$47:$Y$47</c:f>
              <c:numCache>
                <c:formatCode>0.0%</c:formatCode>
                <c:ptCount val="20"/>
                <c:pt idx="0">
                  <c:v>12.27362962962963</c:v>
                </c:pt>
                <c:pt idx="1">
                  <c:v>6.2251851851851852</c:v>
                </c:pt>
                <c:pt idx="2">
                  <c:v>4.3391111111111114</c:v>
                </c:pt>
                <c:pt idx="3">
                  <c:v>3.507222222222222</c:v>
                </c:pt>
                <c:pt idx="4">
                  <c:v>2.9966222222222223</c:v>
                </c:pt>
                <c:pt idx="5">
                  <c:v>2.5708024691358027</c:v>
                </c:pt>
                <c:pt idx="6">
                  <c:v>2.3183597883597882</c:v>
                </c:pt>
                <c:pt idx="7">
                  <c:v>2.0143425925925924</c:v>
                </c:pt>
                <c:pt idx="8">
                  <c:v>1.8431769547325103</c:v>
                </c:pt>
                <c:pt idx="9">
                  <c:v>1.6588592592592593</c:v>
                </c:pt>
                <c:pt idx="10">
                  <c:v>1.5807676767676766</c:v>
                </c:pt>
                <c:pt idx="11">
                  <c:v>1.5246728395061726</c:v>
                </c:pt>
                <c:pt idx="12">
                  <c:v>1.5018632478632479</c:v>
                </c:pt>
                <c:pt idx="13">
                  <c:v>1.4357619047619046</c:v>
                </c:pt>
                <c:pt idx="14">
                  <c:v>1.3404790123456791</c:v>
                </c:pt>
                <c:pt idx="15">
                  <c:v>1.284537037037037</c:v>
                </c:pt>
                <c:pt idx="16">
                  <c:v>1.2472549019607841</c:v>
                </c:pt>
                <c:pt idx="17">
                  <c:v>1.1473786008230453</c:v>
                </c:pt>
                <c:pt idx="18">
                  <c:v>1.1138440545808965</c:v>
                </c:pt>
                <c:pt idx="19">
                  <c:v>1.0822333333333334</c:v>
                </c:pt>
              </c:numCache>
            </c:numRef>
          </c:val>
        </c:ser>
        <c:ser>
          <c:idx val="4"/>
          <c:order val="7"/>
          <c:tx>
            <c:strRef>
              <c:f>'Month - Jan 2012 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'Month - Jan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Jan 2012 '!$F$48:$Y$48</c:f>
              <c:numCache>
                <c:formatCode>0.0%</c:formatCode>
                <c:ptCount val="20"/>
                <c:pt idx="0">
                  <c:v>8.4261499148211243</c:v>
                </c:pt>
                <c:pt idx="1">
                  <c:v>4.4269931856899492</c:v>
                </c:pt>
                <c:pt idx="2">
                  <c:v>3.1253151618398638</c:v>
                </c:pt>
                <c:pt idx="3">
                  <c:v>2.5668185689948895</c:v>
                </c:pt>
                <c:pt idx="4">
                  <c:v>2.2304361158432711</c:v>
                </c:pt>
                <c:pt idx="5">
                  <c:v>1.9561555934128338</c:v>
                </c:pt>
                <c:pt idx="6">
                  <c:v>1.8011584327086883</c:v>
                </c:pt>
                <c:pt idx="7">
                  <c:v>1.6147913117546848</c:v>
                </c:pt>
                <c:pt idx="8">
                  <c:v>1.5136437630134394</c:v>
                </c:pt>
                <c:pt idx="9">
                  <c:v>1.455686541737649</c:v>
                </c:pt>
                <c:pt idx="10">
                  <c:v>1.3848056372928603</c:v>
                </c:pt>
                <c:pt idx="11">
                  <c:v>1.329517319704713</c:v>
                </c:pt>
                <c:pt idx="12">
                  <c:v>1.2804730703708558</c:v>
                </c:pt>
                <c:pt idx="13">
                  <c:v>1.2220613287904598</c:v>
                </c:pt>
                <c:pt idx="14">
                  <c:v>1.1835547984099946</c:v>
                </c:pt>
                <c:pt idx="15">
                  <c:v>1.1749861584327086</c:v>
                </c:pt>
                <c:pt idx="16">
                  <c:v>1.1439593145605771</c:v>
                </c:pt>
                <c:pt idx="17">
                  <c:v>1.1161357183418514</c:v>
                </c:pt>
                <c:pt idx="18">
                  <c:v>1.0684990585492691</c:v>
                </c:pt>
                <c:pt idx="19">
                  <c:v>1.028896933560477</c:v>
                </c:pt>
              </c:numCache>
            </c:numRef>
          </c:val>
        </c:ser>
        <c:marker val="1"/>
        <c:axId val="137230592"/>
        <c:axId val="137302016"/>
      </c:lineChart>
      <c:catAx>
        <c:axId val="137230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302016"/>
        <c:crosses val="autoZero"/>
        <c:auto val="1"/>
        <c:lblAlgn val="ctr"/>
        <c:lblOffset val="100"/>
      </c:catAx>
      <c:valAx>
        <c:axId val="13730201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230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Feb 2012 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'!$F$52,'Month - Feb 2012 '!$G$52:$Y$52)</c:f>
              <c:numCache>
                <c:formatCode>0</c:formatCode>
                <c:ptCount val="20"/>
                <c:pt idx="0">
                  <c:v>1021920</c:v>
                </c:pt>
                <c:pt idx="1">
                  <c:v>768440</c:v>
                </c:pt>
                <c:pt idx="2">
                  <c:v>631093.33333333337</c:v>
                </c:pt>
                <c:pt idx="3">
                  <c:v>535055</c:v>
                </c:pt>
                <c:pt idx="4">
                  <c:v>484516</c:v>
                </c:pt>
                <c:pt idx="5">
                  <c:v>414496.66666666663</c:v>
                </c:pt>
                <c:pt idx="6">
                  <c:v>398454.28571428574</c:v>
                </c:pt>
                <c:pt idx="7">
                  <c:v>385835</c:v>
                </c:pt>
                <c:pt idx="8">
                  <c:v>363342.22222222219</c:v>
                </c:pt>
                <c:pt idx="9">
                  <c:v>352690</c:v>
                </c:pt>
                <c:pt idx="10">
                  <c:v>350772.72727272729</c:v>
                </c:pt>
                <c:pt idx="11">
                  <c:v>355956.66666666663</c:v>
                </c:pt>
                <c:pt idx="12">
                  <c:v>347536.92307692306</c:v>
                </c:pt>
                <c:pt idx="13">
                  <c:v>352577.14285714284</c:v>
                </c:pt>
                <c:pt idx="14">
                  <c:v>355405.33333333331</c:v>
                </c:pt>
                <c:pt idx="15">
                  <c:v>349745</c:v>
                </c:pt>
                <c:pt idx="16">
                  <c:v>351218.82352941175</c:v>
                </c:pt>
                <c:pt idx="17">
                  <c:v>350890</c:v>
                </c:pt>
                <c:pt idx="18">
                  <c:v>353894.73684210528</c:v>
                </c:pt>
                <c:pt idx="19">
                  <c:v>363193</c:v>
                </c:pt>
              </c:numCache>
            </c:numRef>
          </c:val>
        </c:ser>
        <c:ser>
          <c:idx val="1"/>
          <c:order val="1"/>
          <c:tx>
            <c:strRef>
              <c:f>'Month - Feb 2012 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'!$F$53,'Month - Feb 2012 '!$G$53:$Y$53)</c:f>
              <c:numCache>
                <c:formatCode>0</c:formatCode>
                <c:ptCount val="20"/>
                <c:pt idx="0">
                  <c:v>95900</c:v>
                </c:pt>
                <c:pt idx="1">
                  <c:v>235800</c:v>
                </c:pt>
                <c:pt idx="2">
                  <c:v>255800</c:v>
                </c:pt>
                <c:pt idx="3">
                  <c:v>229300</c:v>
                </c:pt>
                <c:pt idx="4">
                  <c:v>228640</c:v>
                </c:pt>
                <c:pt idx="5">
                  <c:v>190533.33333333331</c:v>
                </c:pt>
                <c:pt idx="6">
                  <c:v>168157.14285714287</c:v>
                </c:pt>
                <c:pt idx="7">
                  <c:v>153875</c:v>
                </c:pt>
                <c:pt idx="8">
                  <c:v>139877.77777777778</c:v>
                </c:pt>
                <c:pt idx="9">
                  <c:v>152670</c:v>
                </c:pt>
                <c:pt idx="10">
                  <c:v>149700</c:v>
                </c:pt>
                <c:pt idx="11">
                  <c:v>137225</c:v>
                </c:pt>
                <c:pt idx="12">
                  <c:v>126669.23076923077</c:v>
                </c:pt>
                <c:pt idx="13">
                  <c:v>133042.85714285713</c:v>
                </c:pt>
                <c:pt idx="14">
                  <c:v>133500</c:v>
                </c:pt>
                <c:pt idx="15">
                  <c:v>125156.25</c:v>
                </c:pt>
                <c:pt idx="16">
                  <c:v>117794.11764705883</c:v>
                </c:pt>
                <c:pt idx="17">
                  <c:v>111250</c:v>
                </c:pt>
                <c:pt idx="18">
                  <c:v>111068.42105263159</c:v>
                </c:pt>
                <c:pt idx="19">
                  <c:v>105515</c:v>
                </c:pt>
              </c:numCache>
            </c:numRef>
          </c:val>
        </c:ser>
        <c:ser>
          <c:idx val="2"/>
          <c:order val="2"/>
          <c:tx>
            <c:strRef>
              <c:f>'Month - Feb 2012 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'!$F$54,'Month - Feb 2012 '!$G$54:$Y$54)</c:f>
              <c:numCache>
                <c:formatCode>0</c:formatCode>
                <c:ptCount val="20"/>
                <c:pt idx="0">
                  <c:v>93900</c:v>
                </c:pt>
                <c:pt idx="1">
                  <c:v>46950</c:v>
                </c:pt>
                <c:pt idx="2">
                  <c:v>140466.66666666666</c:v>
                </c:pt>
                <c:pt idx="3">
                  <c:v>105350</c:v>
                </c:pt>
                <c:pt idx="4">
                  <c:v>95060</c:v>
                </c:pt>
                <c:pt idx="5">
                  <c:v>79216.666666666672</c:v>
                </c:pt>
                <c:pt idx="6">
                  <c:v>92171.428571428565</c:v>
                </c:pt>
                <c:pt idx="7">
                  <c:v>80650</c:v>
                </c:pt>
                <c:pt idx="8">
                  <c:v>92322.222222222219</c:v>
                </c:pt>
                <c:pt idx="9">
                  <c:v>87200</c:v>
                </c:pt>
                <c:pt idx="10">
                  <c:v>83272.727272727279</c:v>
                </c:pt>
                <c:pt idx="11">
                  <c:v>78083.333333333328</c:v>
                </c:pt>
                <c:pt idx="12">
                  <c:v>76223.076923076922</c:v>
                </c:pt>
                <c:pt idx="13">
                  <c:v>74492.857142857145</c:v>
                </c:pt>
                <c:pt idx="14">
                  <c:v>73120</c:v>
                </c:pt>
                <c:pt idx="15">
                  <c:v>68550</c:v>
                </c:pt>
                <c:pt idx="16">
                  <c:v>64517.647058823532</c:v>
                </c:pt>
                <c:pt idx="17">
                  <c:v>60933.333333333328</c:v>
                </c:pt>
                <c:pt idx="18">
                  <c:v>60563.15789473684</c:v>
                </c:pt>
                <c:pt idx="19">
                  <c:v>57535</c:v>
                </c:pt>
              </c:numCache>
            </c:numRef>
          </c:val>
        </c:ser>
        <c:ser>
          <c:idx val="3"/>
          <c:order val="3"/>
          <c:tx>
            <c:strRef>
              <c:f>'Month - Feb 2012 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'!$F$55,'Month - Feb 2012 '!$G$55:$Y$55)</c:f>
              <c:numCache>
                <c:formatCode>0</c:formatCode>
                <c:ptCount val="20"/>
                <c:pt idx="0">
                  <c:v>269800</c:v>
                </c:pt>
                <c:pt idx="1">
                  <c:v>181600</c:v>
                </c:pt>
                <c:pt idx="2">
                  <c:v>151033.33333333334</c:v>
                </c:pt>
                <c:pt idx="3">
                  <c:v>153225</c:v>
                </c:pt>
                <c:pt idx="4">
                  <c:v>217680</c:v>
                </c:pt>
                <c:pt idx="5">
                  <c:v>257150</c:v>
                </c:pt>
                <c:pt idx="6">
                  <c:v>256800</c:v>
                </c:pt>
                <c:pt idx="7">
                  <c:v>292150</c:v>
                </c:pt>
                <c:pt idx="8">
                  <c:v>284111.11111111112</c:v>
                </c:pt>
                <c:pt idx="9">
                  <c:v>264790</c:v>
                </c:pt>
                <c:pt idx="10">
                  <c:v>268872.72727272729</c:v>
                </c:pt>
                <c:pt idx="11">
                  <c:v>246466.66666666669</c:v>
                </c:pt>
                <c:pt idx="12">
                  <c:v>261407.69230769231</c:v>
                </c:pt>
                <c:pt idx="13">
                  <c:v>254864.28571428574</c:v>
                </c:pt>
                <c:pt idx="14">
                  <c:v>257853.33333333331</c:v>
                </c:pt>
                <c:pt idx="15">
                  <c:v>241737.5</c:v>
                </c:pt>
                <c:pt idx="16">
                  <c:v>243382.35294117648</c:v>
                </c:pt>
                <c:pt idx="17">
                  <c:v>248617.77777777778</c:v>
                </c:pt>
                <c:pt idx="18">
                  <c:v>260606.31578947371</c:v>
                </c:pt>
                <c:pt idx="19">
                  <c:v>281061</c:v>
                </c:pt>
              </c:numCache>
            </c:numRef>
          </c:val>
        </c:ser>
        <c:ser>
          <c:idx val="4"/>
          <c:order val="4"/>
          <c:tx>
            <c:strRef>
              <c:f>'Month - Feb 2012 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'!$F$56,'Month - Feb 2012 '!$G$56:$Y$56)</c:f>
              <c:numCache>
                <c:formatCode>0</c:formatCode>
                <c:ptCount val="20"/>
                <c:pt idx="0">
                  <c:v>415440</c:v>
                </c:pt>
                <c:pt idx="1">
                  <c:v>262670</c:v>
                </c:pt>
                <c:pt idx="2">
                  <c:v>208380</c:v>
                </c:pt>
                <c:pt idx="3">
                  <c:v>186260</c:v>
                </c:pt>
                <c:pt idx="4">
                  <c:v>167988</c:v>
                </c:pt>
                <c:pt idx="5">
                  <c:v>168290</c:v>
                </c:pt>
                <c:pt idx="6">
                  <c:v>157805.71428571429</c:v>
                </c:pt>
                <c:pt idx="7">
                  <c:v>138080</c:v>
                </c:pt>
                <c:pt idx="8">
                  <c:v>136048.88888888888</c:v>
                </c:pt>
                <c:pt idx="9">
                  <c:v>133434</c:v>
                </c:pt>
                <c:pt idx="10">
                  <c:v>122212.72727272728</c:v>
                </c:pt>
                <c:pt idx="11">
                  <c:v>131670</c:v>
                </c:pt>
                <c:pt idx="12">
                  <c:v>121541.53846153845</c:v>
                </c:pt>
                <c:pt idx="13">
                  <c:v>112860</c:v>
                </c:pt>
                <c:pt idx="14">
                  <c:v>107996</c:v>
                </c:pt>
                <c:pt idx="15">
                  <c:v>101246.25</c:v>
                </c:pt>
                <c:pt idx="16">
                  <c:v>95290.588235294126</c:v>
                </c:pt>
                <c:pt idx="17">
                  <c:v>89996.666666666657</c:v>
                </c:pt>
                <c:pt idx="18">
                  <c:v>89470.526315789466</c:v>
                </c:pt>
                <c:pt idx="19">
                  <c:v>84997</c:v>
                </c:pt>
              </c:numCache>
            </c:numRef>
          </c:val>
        </c:ser>
        <c:ser>
          <c:idx val="5"/>
          <c:order val="5"/>
          <c:tx>
            <c:strRef>
              <c:f>'Month - Feb 2012 '!$B$57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'!$F$57,'Month - Feb 2012 '!$G$57:$Y$57)</c:f>
              <c:numCache>
                <c:formatCode>0</c:formatCode>
                <c:ptCount val="20"/>
                <c:pt idx="0">
                  <c:v>0</c:v>
                </c:pt>
                <c:pt idx="1">
                  <c:v>29950</c:v>
                </c:pt>
                <c:pt idx="2">
                  <c:v>39040</c:v>
                </c:pt>
                <c:pt idx="3">
                  <c:v>35915</c:v>
                </c:pt>
                <c:pt idx="4">
                  <c:v>48816</c:v>
                </c:pt>
                <c:pt idx="5">
                  <c:v>40950</c:v>
                </c:pt>
                <c:pt idx="6">
                  <c:v>39765.714285714283</c:v>
                </c:pt>
                <c:pt idx="7">
                  <c:v>39130</c:v>
                </c:pt>
                <c:pt idx="8">
                  <c:v>39317.777777777781</c:v>
                </c:pt>
                <c:pt idx="9">
                  <c:v>35386</c:v>
                </c:pt>
                <c:pt idx="10">
                  <c:v>38105.454545454544</c:v>
                </c:pt>
                <c:pt idx="11">
                  <c:v>34930</c:v>
                </c:pt>
                <c:pt idx="12">
                  <c:v>32243.076923076922</c:v>
                </c:pt>
                <c:pt idx="13">
                  <c:v>34940</c:v>
                </c:pt>
                <c:pt idx="14">
                  <c:v>34788</c:v>
                </c:pt>
                <c:pt idx="15">
                  <c:v>32613.75</c:v>
                </c:pt>
                <c:pt idx="16">
                  <c:v>38924.705882352944</c:v>
                </c:pt>
                <c:pt idx="17">
                  <c:v>39424.444444444445</c:v>
                </c:pt>
                <c:pt idx="18">
                  <c:v>37349.473684210527</c:v>
                </c:pt>
                <c:pt idx="19">
                  <c:v>35482</c:v>
                </c:pt>
              </c:numCache>
            </c:numRef>
          </c:val>
        </c:ser>
        <c:ser>
          <c:idx val="6"/>
          <c:order val="6"/>
          <c:tx>
            <c:strRef>
              <c:f>'Month - Feb 2012 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Feb 2012 '!$F$51,'Month - Feb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Feb 2012 '!$F$58,'Month - Feb 2012 '!$G$58:$Y$58)</c:f>
              <c:numCache>
                <c:formatCode>0</c:formatCode>
                <c:ptCount val="20"/>
                <c:pt idx="0">
                  <c:v>1030200</c:v>
                </c:pt>
                <c:pt idx="1">
                  <c:v>669300</c:v>
                </c:pt>
                <c:pt idx="2">
                  <c:v>536406.66666666663</c:v>
                </c:pt>
                <c:pt idx="3">
                  <c:v>443175</c:v>
                </c:pt>
                <c:pt idx="4">
                  <c:v>424300</c:v>
                </c:pt>
                <c:pt idx="5">
                  <c:v>383200</c:v>
                </c:pt>
                <c:pt idx="6">
                  <c:v>368754.28571428574</c:v>
                </c:pt>
                <c:pt idx="7">
                  <c:v>351737.5</c:v>
                </c:pt>
                <c:pt idx="8">
                  <c:v>312713.33333333331</c:v>
                </c:pt>
                <c:pt idx="9">
                  <c:v>286422</c:v>
                </c:pt>
                <c:pt idx="10">
                  <c:v>273509.09090909094</c:v>
                </c:pt>
                <c:pt idx="11">
                  <c:v>273206.66666666669</c:v>
                </c:pt>
                <c:pt idx="12">
                  <c:v>267887.69230769231</c:v>
                </c:pt>
                <c:pt idx="13">
                  <c:v>276620</c:v>
                </c:pt>
                <c:pt idx="14">
                  <c:v>280177.33333333331</c:v>
                </c:pt>
                <c:pt idx="15">
                  <c:v>286923.75</c:v>
                </c:pt>
                <c:pt idx="16">
                  <c:v>280723.5294117647</c:v>
                </c:pt>
                <c:pt idx="17">
                  <c:v>274860</c:v>
                </c:pt>
                <c:pt idx="18">
                  <c:v>266716.84210526315</c:v>
                </c:pt>
                <c:pt idx="19">
                  <c:v>271113</c:v>
                </c:pt>
              </c:numCache>
            </c:numRef>
          </c:val>
        </c:ser>
        <c:marker val="1"/>
        <c:axId val="137622656"/>
        <c:axId val="137624192"/>
      </c:lineChart>
      <c:catAx>
        <c:axId val="1376226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624192"/>
        <c:crosses val="autoZero"/>
        <c:auto val="1"/>
        <c:lblAlgn val="ctr"/>
        <c:lblOffset val="100"/>
      </c:catAx>
      <c:valAx>
        <c:axId val="137624192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62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7774627824729988E-2"/>
          <c:y val="0.13541694217314523"/>
          <c:w val="0.850927543146907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'!$F$36:$Y$36</c:f>
              <c:numCache>
                <c:formatCode>0</c:formatCode>
                <c:ptCount val="20"/>
                <c:pt idx="0">
                  <c:v>146358</c:v>
                </c:pt>
                <c:pt idx="1">
                  <c:v>219471</c:v>
                </c:pt>
                <c:pt idx="2">
                  <c:v>294333</c:v>
                </c:pt>
                <c:pt idx="3">
                  <c:v>337656</c:v>
                </c:pt>
                <c:pt idx="4">
                  <c:v>416750</c:v>
                </c:pt>
                <c:pt idx="5">
                  <c:v>460151</c:v>
                </c:pt>
                <c:pt idx="6">
                  <c:v>518668</c:v>
                </c:pt>
                <c:pt idx="7">
                  <c:v>576583</c:v>
                </c:pt>
                <c:pt idx="8">
                  <c:v>615480</c:v>
                </c:pt>
                <c:pt idx="9">
                  <c:v>656296</c:v>
                </c:pt>
                <c:pt idx="10">
                  <c:v>707545</c:v>
                </c:pt>
                <c:pt idx="11">
                  <c:v>754523</c:v>
                </c:pt>
                <c:pt idx="12">
                  <c:v>801781</c:v>
                </c:pt>
                <c:pt idx="13">
                  <c:v>867578</c:v>
                </c:pt>
                <c:pt idx="14">
                  <c:v>932130</c:v>
                </c:pt>
                <c:pt idx="15">
                  <c:v>964778</c:v>
                </c:pt>
                <c:pt idx="16">
                  <c:v>1013074</c:v>
                </c:pt>
                <c:pt idx="17">
                  <c:v>1058375</c:v>
                </c:pt>
                <c:pt idx="18">
                  <c:v>1120686</c:v>
                </c:pt>
                <c:pt idx="19">
                  <c:v>1198896</c:v>
                </c:pt>
              </c:numCache>
            </c:numRef>
          </c:val>
        </c:ser>
        <c:ser>
          <c:idx val="0"/>
          <c:order val="1"/>
          <c:tx>
            <c:strRef>
              <c:f>'Month - Feb 2012 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Feb 2012 '!$F$62:$Y$62</c:f>
              <c:numCache>
                <c:formatCode>0</c:formatCode>
                <c:ptCount val="20"/>
                <c:pt idx="0">
                  <c:v>66200</c:v>
                </c:pt>
                <c:pt idx="1">
                  <c:v>132400</c:v>
                </c:pt>
                <c:pt idx="2">
                  <c:v>198600</c:v>
                </c:pt>
                <c:pt idx="3">
                  <c:v>264800</c:v>
                </c:pt>
                <c:pt idx="4">
                  <c:v>331000</c:v>
                </c:pt>
                <c:pt idx="5">
                  <c:v>397200</c:v>
                </c:pt>
                <c:pt idx="6">
                  <c:v>463400</c:v>
                </c:pt>
                <c:pt idx="7">
                  <c:v>529600</c:v>
                </c:pt>
                <c:pt idx="8">
                  <c:v>595800</c:v>
                </c:pt>
                <c:pt idx="9">
                  <c:v>662000</c:v>
                </c:pt>
                <c:pt idx="10">
                  <c:v>728200</c:v>
                </c:pt>
                <c:pt idx="11">
                  <c:v>794400</c:v>
                </c:pt>
                <c:pt idx="12">
                  <c:v>860600</c:v>
                </c:pt>
                <c:pt idx="13">
                  <c:v>926800</c:v>
                </c:pt>
                <c:pt idx="14">
                  <c:v>993000</c:v>
                </c:pt>
                <c:pt idx="15">
                  <c:v>1059200</c:v>
                </c:pt>
                <c:pt idx="16">
                  <c:v>1125400</c:v>
                </c:pt>
                <c:pt idx="17">
                  <c:v>1191600</c:v>
                </c:pt>
                <c:pt idx="18">
                  <c:v>1257800</c:v>
                </c:pt>
                <c:pt idx="19">
                  <c:v>1324000</c:v>
                </c:pt>
              </c:numCache>
            </c:numRef>
          </c:val>
        </c:ser>
        <c:marker val="1"/>
        <c:axId val="137522176"/>
        <c:axId val="137540352"/>
      </c:lineChart>
      <c:catAx>
        <c:axId val="137522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540352"/>
        <c:crosses val="autoZero"/>
        <c:auto val="1"/>
        <c:lblAlgn val="ctr"/>
        <c:lblOffset val="100"/>
      </c:catAx>
      <c:valAx>
        <c:axId val="13754035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522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081327387572838"/>
          <c:y val="0.90625174978125689"/>
          <c:w val="0.14835956133158087"/>
          <c:h val="5.00000000000001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Feb 2012 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'!$F$41:$Y$41</c:f>
              <c:numCache>
                <c:formatCode>0.0%</c:formatCode>
                <c:ptCount val="20"/>
                <c:pt idx="0">
                  <c:v>3.0056470588235293</c:v>
                </c:pt>
                <c:pt idx="1">
                  <c:v>2.2601176470588236</c:v>
                </c:pt>
                <c:pt idx="2">
                  <c:v>1.8561568627450982</c:v>
                </c:pt>
                <c:pt idx="3">
                  <c:v>1.5736911764705883</c:v>
                </c:pt>
                <c:pt idx="4">
                  <c:v>1.4250470588235293</c:v>
                </c:pt>
                <c:pt idx="5">
                  <c:v>1.2191078431372548</c:v>
                </c:pt>
                <c:pt idx="6">
                  <c:v>1.1719243697478992</c:v>
                </c:pt>
                <c:pt idx="7">
                  <c:v>1.1348088235294118</c:v>
                </c:pt>
                <c:pt idx="8">
                  <c:v>1.0686535947712417</c:v>
                </c:pt>
                <c:pt idx="9">
                  <c:v>1.0373235294117646</c:v>
                </c:pt>
                <c:pt idx="10">
                  <c:v>1.0316844919786097</c:v>
                </c:pt>
                <c:pt idx="11">
                  <c:v>1.0469313725490195</c:v>
                </c:pt>
                <c:pt idx="12">
                  <c:v>1.0221674208144795</c:v>
                </c:pt>
                <c:pt idx="13">
                  <c:v>1.0369915966386554</c:v>
                </c:pt>
                <c:pt idx="14">
                  <c:v>1.0453098039215685</c:v>
                </c:pt>
                <c:pt idx="15">
                  <c:v>1.0286617647058824</c:v>
                </c:pt>
                <c:pt idx="16">
                  <c:v>1.0329965397923875</c:v>
                </c:pt>
                <c:pt idx="17">
                  <c:v>1.032029411764706</c:v>
                </c:pt>
                <c:pt idx="18">
                  <c:v>1.0408668730650155</c:v>
                </c:pt>
                <c:pt idx="19">
                  <c:v>1.068214705882353</c:v>
                </c:pt>
              </c:numCache>
            </c:numRef>
          </c:val>
        </c:ser>
        <c:ser>
          <c:idx val="6"/>
          <c:order val="1"/>
          <c:tx>
            <c:strRef>
              <c:f>'Month - Feb 2012 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'!$F$42:$Y$42</c:f>
              <c:numCache>
                <c:formatCode>0.0%</c:formatCode>
                <c:ptCount val="20"/>
                <c:pt idx="0">
                  <c:v>1.0094736842105263</c:v>
                </c:pt>
                <c:pt idx="1">
                  <c:v>2.4821052631578948</c:v>
                </c:pt>
                <c:pt idx="2">
                  <c:v>2.6926315789473683</c:v>
                </c:pt>
                <c:pt idx="3">
                  <c:v>2.4136842105263159</c:v>
                </c:pt>
                <c:pt idx="4">
                  <c:v>2.4067368421052633</c:v>
                </c:pt>
                <c:pt idx="5">
                  <c:v>2.005614035087719</c:v>
                </c:pt>
                <c:pt idx="6">
                  <c:v>1.770075187969925</c:v>
                </c:pt>
                <c:pt idx="7">
                  <c:v>1.6197368421052631</c:v>
                </c:pt>
                <c:pt idx="8">
                  <c:v>1.4723976608187135</c:v>
                </c:pt>
                <c:pt idx="9">
                  <c:v>1.6070526315789473</c:v>
                </c:pt>
                <c:pt idx="10">
                  <c:v>1.5757894736842106</c:v>
                </c:pt>
                <c:pt idx="11">
                  <c:v>1.4444736842105264</c:v>
                </c:pt>
                <c:pt idx="12">
                  <c:v>1.3333603238866396</c:v>
                </c:pt>
                <c:pt idx="13">
                  <c:v>1.4004511278195488</c:v>
                </c:pt>
                <c:pt idx="14">
                  <c:v>1.4052631578947368</c:v>
                </c:pt>
                <c:pt idx="15">
                  <c:v>1.3174342105263157</c:v>
                </c:pt>
                <c:pt idx="16">
                  <c:v>1.2399380804953561</c:v>
                </c:pt>
                <c:pt idx="17">
                  <c:v>1.1710526315789473</c:v>
                </c:pt>
                <c:pt idx="18">
                  <c:v>1.1691412742382272</c:v>
                </c:pt>
                <c:pt idx="19">
                  <c:v>1.1106842105263157</c:v>
                </c:pt>
              </c:numCache>
            </c:numRef>
          </c:val>
        </c:ser>
        <c:ser>
          <c:idx val="1"/>
          <c:order val="2"/>
          <c:tx>
            <c:strRef>
              <c:f>'Month - Feb 2012 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'!$F$43:$Y$43</c:f>
              <c:numCache>
                <c:formatCode>0.0%</c:formatCode>
                <c:ptCount val="20"/>
                <c:pt idx="0">
                  <c:v>0.98842105263157898</c:v>
                </c:pt>
                <c:pt idx="1">
                  <c:v>0.49421052631578949</c:v>
                </c:pt>
                <c:pt idx="2">
                  <c:v>1.47859649122807</c:v>
                </c:pt>
                <c:pt idx="3">
                  <c:v>1.1089473684210527</c:v>
                </c:pt>
                <c:pt idx="4">
                  <c:v>1.0006315789473683</c:v>
                </c:pt>
                <c:pt idx="5">
                  <c:v>0.83385964912280708</c:v>
                </c:pt>
                <c:pt idx="6">
                  <c:v>0.97022556390977432</c:v>
                </c:pt>
                <c:pt idx="7">
                  <c:v>0.84894736842105267</c:v>
                </c:pt>
                <c:pt idx="8">
                  <c:v>0.97181286549707602</c:v>
                </c:pt>
                <c:pt idx="9">
                  <c:v>0.91789473684210521</c:v>
                </c:pt>
                <c:pt idx="10">
                  <c:v>0.87655502392344509</c:v>
                </c:pt>
                <c:pt idx="11">
                  <c:v>0.82192982456140351</c:v>
                </c:pt>
                <c:pt idx="12">
                  <c:v>0.8023481781376518</c:v>
                </c:pt>
                <c:pt idx="13">
                  <c:v>0.78413533834586469</c:v>
                </c:pt>
                <c:pt idx="14">
                  <c:v>0.76968421052631575</c:v>
                </c:pt>
                <c:pt idx="15">
                  <c:v>0.7215789473684211</c:v>
                </c:pt>
                <c:pt idx="16">
                  <c:v>0.67913312693498451</c:v>
                </c:pt>
                <c:pt idx="17">
                  <c:v>0.64140350877192975</c:v>
                </c:pt>
                <c:pt idx="18">
                  <c:v>0.6375069252077562</c:v>
                </c:pt>
                <c:pt idx="19">
                  <c:v>0.60563157894736841</c:v>
                </c:pt>
              </c:numCache>
            </c:numRef>
          </c:val>
        </c:ser>
        <c:ser>
          <c:idx val="7"/>
          <c:order val="3"/>
          <c:tx>
            <c:strRef>
              <c:f>'Month - Feb 2012 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'!$F$44:$Y$44</c:f>
              <c:numCache>
                <c:formatCode>0.0%</c:formatCode>
                <c:ptCount val="20"/>
                <c:pt idx="0">
                  <c:v>0.99925925925925929</c:v>
                </c:pt>
                <c:pt idx="1">
                  <c:v>0.67259259259259263</c:v>
                </c:pt>
                <c:pt idx="2">
                  <c:v>0.55938271604938272</c:v>
                </c:pt>
                <c:pt idx="3">
                  <c:v>0.5675</c:v>
                </c:pt>
                <c:pt idx="4">
                  <c:v>0.80622222222222217</c:v>
                </c:pt>
                <c:pt idx="5">
                  <c:v>0.95240740740740737</c:v>
                </c:pt>
                <c:pt idx="6">
                  <c:v>0.95111111111111113</c:v>
                </c:pt>
                <c:pt idx="7">
                  <c:v>1.0820370370370371</c:v>
                </c:pt>
                <c:pt idx="8">
                  <c:v>1.0522633744855967</c:v>
                </c:pt>
                <c:pt idx="9">
                  <c:v>0.98070370370370374</c:v>
                </c:pt>
                <c:pt idx="10">
                  <c:v>0.99582491582491595</c:v>
                </c:pt>
                <c:pt idx="11">
                  <c:v>0.9128395061728396</c:v>
                </c:pt>
                <c:pt idx="12">
                  <c:v>0.96817663817663824</c:v>
                </c:pt>
                <c:pt idx="13">
                  <c:v>0.94394179894179908</c:v>
                </c:pt>
                <c:pt idx="14">
                  <c:v>0.95501234567901228</c:v>
                </c:pt>
                <c:pt idx="15">
                  <c:v>0.89532407407407411</c:v>
                </c:pt>
                <c:pt idx="16">
                  <c:v>0.90141612200435728</c:v>
                </c:pt>
                <c:pt idx="17">
                  <c:v>0.92080658436213991</c:v>
                </c:pt>
                <c:pt idx="18">
                  <c:v>0.96520857699805074</c:v>
                </c:pt>
                <c:pt idx="19">
                  <c:v>1.0409666666666666</c:v>
                </c:pt>
              </c:numCache>
            </c:numRef>
          </c:val>
        </c:ser>
        <c:ser>
          <c:idx val="2"/>
          <c:order val="4"/>
          <c:tx>
            <c:strRef>
              <c:f>'Month - Feb 2012 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'!$F$45:$Y$45</c:f>
              <c:numCache>
                <c:formatCode>0.0%</c:formatCode>
                <c:ptCount val="20"/>
                <c:pt idx="0">
                  <c:v>2.8849999999999998</c:v>
                </c:pt>
                <c:pt idx="1">
                  <c:v>1.8240972222222223</c:v>
                </c:pt>
                <c:pt idx="2">
                  <c:v>1.4470833333333333</c:v>
                </c:pt>
                <c:pt idx="3">
                  <c:v>1.2934722222222221</c:v>
                </c:pt>
                <c:pt idx="4">
                  <c:v>1.1665833333333333</c:v>
                </c:pt>
                <c:pt idx="5">
                  <c:v>1.1686805555555555</c:v>
                </c:pt>
                <c:pt idx="6">
                  <c:v>1.0958730158730159</c:v>
                </c:pt>
                <c:pt idx="7">
                  <c:v>0.9588888888888889</c:v>
                </c:pt>
                <c:pt idx="8">
                  <c:v>0.94478395061728382</c:v>
                </c:pt>
                <c:pt idx="9">
                  <c:v>0.92662500000000003</c:v>
                </c:pt>
                <c:pt idx="10">
                  <c:v>0.84869949494949504</c:v>
                </c:pt>
                <c:pt idx="11">
                  <c:v>0.91437500000000005</c:v>
                </c:pt>
                <c:pt idx="12">
                  <c:v>0.84403846153846152</c:v>
                </c:pt>
                <c:pt idx="13">
                  <c:v>0.78374999999999995</c:v>
                </c:pt>
                <c:pt idx="14">
                  <c:v>0.74997222222222226</c:v>
                </c:pt>
                <c:pt idx="15">
                  <c:v>0.70309895833333336</c:v>
                </c:pt>
                <c:pt idx="16">
                  <c:v>0.66174019607843149</c:v>
                </c:pt>
                <c:pt idx="17">
                  <c:v>0.62497685185185181</c:v>
                </c:pt>
                <c:pt idx="18">
                  <c:v>0.62132309941520458</c:v>
                </c:pt>
                <c:pt idx="19">
                  <c:v>0.59025694444444443</c:v>
                </c:pt>
              </c:numCache>
            </c:numRef>
          </c:val>
        </c:ser>
        <c:ser>
          <c:idx val="5"/>
          <c:order val="5"/>
          <c:tx>
            <c:strRef>
              <c:f>'Month - Feb 2012 '!$B$46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'!$F$46:$Y$46</c:f>
              <c:numCache>
                <c:formatCode>0.0%</c:formatCode>
                <c:ptCount val="20"/>
                <c:pt idx="0">
                  <c:v>0</c:v>
                </c:pt>
                <c:pt idx="1">
                  <c:v>0.20798611111111112</c:v>
                </c:pt>
                <c:pt idx="2">
                  <c:v>0.27111111111111114</c:v>
                </c:pt>
                <c:pt idx="3">
                  <c:v>0.24940972222222221</c:v>
                </c:pt>
                <c:pt idx="4">
                  <c:v>0.33900000000000002</c:v>
                </c:pt>
                <c:pt idx="5">
                  <c:v>0.28437499999999999</c:v>
                </c:pt>
                <c:pt idx="6">
                  <c:v>0.27615079365079365</c:v>
                </c:pt>
                <c:pt idx="7">
                  <c:v>0.27173611111111112</c:v>
                </c:pt>
                <c:pt idx="8">
                  <c:v>0.27304012345679013</c:v>
                </c:pt>
                <c:pt idx="9">
                  <c:v>0.2457361111111111</c:v>
                </c:pt>
                <c:pt idx="10">
                  <c:v>0.26462121212121209</c:v>
                </c:pt>
                <c:pt idx="11">
                  <c:v>0.24256944444444445</c:v>
                </c:pt>
                <c:pt idx="12">
                  <c:v>0.22391025641025641</c:v>
                </c:pt>
                <c:pt idx="13">
                  <c:v>0.24263888888888888</c:v>
                </c:pt>
                <c:pt idx="14">
                  <c:v>0.24158333333333334</c:v>
                </c:pt>
                <c:pt idx="15">
                  <c:v>0.22648437499999999</c:v>
                </c:pt>
                <c:pt idx="16">
                  <c:v>0.27031045751633986</c:v>
                </c:pt>
                <c:pt idx="17">
                  <c:v>0.27378086419753089</c:v>
                </c:pt>
                <c:pt idx="18">
                  <c:v>0.25937134502923975</c:v>
                </c:pt>
                <c:pt idx="19">
                  <c:v>0.24640277777777778</c:v>
                </c:pt>
              </c:numCache>
            </c:numRef>
          </c:val>
        </c:ser>
        <c:ser>
          <c:idx val="3"/>
          <c:order val="6"/>
          <c:tx>
            <c:strRef>
              <c:f>'Month - Feb 2012 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'!$F$47:$Y$47</c:f>
              <c:numCache>
                <c:formatCode>0.0%</c:formatCode>
                <c:ptCount val="20"/>
                <c:pt idx="0">
                  <c:v>3.3232258064516129</c:v>
                </c:pt>
                <c:pt idx="1">
                  <c:v>2.1590322580645163</c:v>
                </c:pt>
                <c:pt idx="2">
                  <c:v>1.7303440860215054</c:v>
                </c:pt>
                <c:pt idx="3">
                  <c:v>1.4295967741935485</c:v>
                </c:pt>
                <c:pt idx="4">
                  <c:v>1.3687096774193548</c:v>
                </c:pt>
                <c:pt idx="5">
                  <c:v>1.2361290322580645</c:v>
                </c:pt>
                <c:pt idx="6">
                  <c:v>1.1895299539170507</c:v>
                </c:pt>
                <c:pt idx="7">
                  <c:v>1.1346370967741934</c:v>
                </c:pt>
                <c:pt idx="8">
                  <c:v>1.008752688172043</c:v>
                </c:pt>
                <c:pt idx="9">
                  <c:v>0.92394193548387094</c:v>
                </c:pt>
                <c:pt idx="10">
                  <c:v>0.88228739002932566</c:v>
                </c:pt>
                <c:pt idx="11">
                  <c:v>0.88131182795698926</c:v>
                </c:pt>
                <c:pt idx="12">
                  <c:v>0.86415384615384616</c:v>
                </c:pt>
                <c:pt idx="13">
                  <c:v>0.89232258064516135</c:v>
                </c:pt>
                <c:pt idx="14">
                  <c:v>0.90379784946236552</c:v>
                </c:pt>
                <c:pt idx="15">
                  <c:v>0.92556048387096779</c:v>
                </c:pt>
                <c:pt idx="16">
                  <c:v>0.90555977229601514</c:v>
                </c:pt>
                <c:pt idx="17">
                  <c:v>0.88664516129032256</c:v>
                </c:pt>
                <c:pt idx="18">
                  <c:v>0.86037691001697791</c:v>
                </c:pt>
                <c:pt idx="19">
                  <c:v>0.87455806451612905</c:v>
                </c:pt>
              </c:numCache>
            </c:numRef>
          </c:val>
        </c:ser>
        <c:ser>
          <c:idx val="4"/>
          <c:order val="7"/>
          <c:tx>
            <c:strRef>
              <c:f>'Month - Feb 2012 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'Month - Feb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Feb 2012 '!$F$48:$Y$48</c:f>
              <c:numCache>
                <c:formatCode>0.0%</c:formatCode>
                <c:ptCount val="20"/>
                <c:pt idx="0">
                  <c:v>2.2108459214501512</c:v>
                </c:pt>
                <c:pt idx="1">
                  <c:v>1.6576359516616315</c:v>
                </c:pt>
                <c:pt idx="2">
                  <c:v>1.4820392749244713</c:v>
                </c:pt>
                <c:pt idx="3">
                  <c:v>1.2751359516616314</c:v>
                </c:pt>
                <c:pt idx="4">
                  <c:v>1.2590634441087614</c:v>
                </c:pt>
                <c:pt idx="5">
                  <c:v>1.1584869083585094</c:v>
                </c:pt>
                <c:pt idx="6">
                  <c:v>1.119266292619767</c:v>
                </c:pt>
                <c:pt idx="7">
                  <c:v>1.0887141238670694</c:v>
                </c:pt>
                <c:pt idx="8">
                  <c:v>1.0330312185297079</c:v>
                </c:pt>
                <c:pt idx="9">
                  <c:v>0.99138368580060421</c:v>
                </c:pt>
                <c:pt idx="10">
                  <c:v>0.9716355396868992</c:v>
                </c:pt>
                <c:pt idx="11">
                  <c:v>0.94980236656596184</c:v>
                </c:pt>
                <c:pt idx="12">
                  <c:v>0.93165349755984195</c:v>
                </c:pt>
                <c:pt idx="13">
                  <c:v>0.93610056107034967</c:v>
                </c:pt>
                <c:pt idx="14">
                  <c:v>0.93870090634441072</c:v>
                </c:pt>
                <c:pt idx="15">
                  <c:v>0.91085536253776433</c:v>
                </c:pt>
                <c:pt idx="16">
                  <c:v>0.90019015461169372</c:v>
                </c:pt>
                <c:pt idx="17">
                  <c:v>0.88819654246391411</c:v>
                </c:pt>
                <c:pt idx="18">
                  <c:v>0.89098902846239469</c:v>
                </c:pt>
                <c:pt idx="19">
                  <c:v>0.90551057401812685</c:v>
                </c:pt>
              </c:numCache>
            </c:numRef>
          </c:val>
        </c:ser>
        <c:marker val="1"/>
        <c:axId val="137729920"/>
        <c:axId val="137731456"/>
      </c:lineChart>
      <c:catAx>
        <c:axId val="137729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731456"/>
        <c:crosses val="autoZero"/>
        <c:auto val="1"/>
        <c:lblAlgn val="ctr"/>
        <c:lblOffset val="100"/>
      </c:catAx>
      <c:valAx>
        <c:axId val="13773145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72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Mar 2012  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'!$F$52,'Month - Mar 2012  '!$G$52:$Y$52)</c:f>
              <c:numCache>
                <c:formatCode>0</c:formatCode>
                <c:ptCount val="20"/>
                <c:pt idx="0">
                  <c:v>2093120</c:v>
                </c:pt>
                <c:pt idx="1">
                  <c:v>1245910</c:v>
                </c:pt>
                <c:pt idx="2">
                  <c:v>859406.66666666674</c:v>
                </c:pt>
                <c:pt idx="3">
                  <c:v>717700</c:v>
                </c:pt>
                <c:pt idx="4">
                  <c:v>610840</c:v>
                </c:pt>
                <c:pt idx="5">
                  <c:v>564800</c:v>
                </c:pt>
                <c:pt idx="6">
                  <c:v>518014.28571428574</c:v>
                </c:pt>
                <c:pt idx="7">
                  <c:v>495457.5</c:v>
                </c:pt>
                <c:pt idx="8">
                  <c:v>477673.33333333337</c:v>
                </c:pt>
                <c:pt idx="9">
                  <c:v>433146</c:v>
                </c:pt>
                <c:pt idx="10">
                  <c:v>396714.54545454541</c:v>
                </c:pt>
                <c:pt idx="11">
                  <c:v>391255</c:v>
                </c:pt>
                <c:pt idx="12">
                  <c:v>394940</c:v>
                </c:pt>
                <c:pt idx="13">
                  <c:v>394765.71428571426</c:v>
                </c:pt>
                <c:pt idx="14">
                  <c:v>410716</c:v>
                </c:pt>
                <c:pt idx="15">
                  <c:v>409426.25</c:v>
                </c:pt>
                <c:pt idx="16">
                  <c:v>398671.76470588241</c:v>
                </c:pt>
                <c:pt idx="17">
                  <c:v>407295.55555555556</c:v>
                </c:pt>
                <c:pt idx="18">
                  <c:v>410709.47368421056</c:v>
                </c:pt>
                <c:pt idx="19">
                  <c:v>416560</c:v>
                </c:pt>
              </c:numCache>
            </c:numRef>
          </c:val>
        </c:ser>
        <c:ser>
          <c:idx val="1"/>
          <c:order val="1"/>
          <c:tx>
            <c:strRef>
              <c:f>'Month - Mar 2012  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'!$F$53,'Month - Mar 2012  '!$G$53:$Y$53)</c:f>
              <c:numCache>
                <c:formatCode>0</c:formatCode>
                <c:ptCount val="20"/>
                <c:pt idx="0">
                  <c:v>537400</c:v>
                </c:pt>
                <c:pt idx="1">
                  <c:v>338650</c:v>
                </c:pt>
                <c:pt idx="2">
                  <c:v>261700</c:v>
                </c:pt>
                <c:pt idx="3">
                  <c:v>196275</c:v>
                </c:pt>
                <c:pt idx="4">
                  <c:v>157020</c:v>
                </c:pt>
                <c:pt idx="5">
                  <c:v>146833.33333333334</c:v>
                </c:pt>
                <c:pt idx="6">
                  <c:v>133557.14285714287</c:v>
                </c:pt>
                <c:pt idx="7">
                  <c:v>116862.5</c:v>
                </c:pt>
                <c:pt idx="8">
                  <c:v>114533.33333333334</c:v>
                </c:pt>
                <c:pt idx="9">
                  <c:v>106080</c:v>
                </c:pt>
                <c:pt idx="10">
                  <c:v>101336.36363636365</c:v>
                </c:pt>
                <c:pt idx="11">
                  <c:v>97383.333333333343</c:v>
                </c:pt>
                <c:pt idx="12">
                  <c:v>89892.307692307688</c:v>
                </c:pt>
                <c:pt idx="13">
                  <c:v>93464.28571428571</c:v>
                </c:pt>
                <c:pt idx="14">
                  <c:v>93626.666666666657</c:v>
                </c:pt>
                <c:pt idx="15">
                  <c:v>87775</c:v>
                </c:pt>
                <c:pt idx="16">
                  <c:v>85782.352941176476</c:v>
                </c:pt>
                <c:pt idx="17">
                  <c:v>78683.333333333328</c:v>
                </c:pt>
                <c:pt idx="18">
                  <c:v>77378.947368421053</c:v>
                </c:pt>
                <c:pt idx="19">
                  <c:v>101395</c:v>
                </c:pt>
              </c:numCache>
            </c:numRef>
          </c:val>
        </c:ser>
        <c:ser>
          <c:idx val="2"/>
          <c:order val="2"/>
          <c:tx>
            <c:strRef>
              <c:f>'Month - Mar 2012  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'!$F$54,'Month - Mar 2012  '!$G$54:$Y$54)</c:f>
              <c:numCache>
                <c:formatCode>0</c:formatCode>
                <c:ptCount val="20"/>
                <c:pt idx="0">
                  <c:v>340300</c:v>
                </c:pt>
                <c:pt idx="1">
                  <c:v>227100</c:v>
                </c:pt>
                <c:pt idx="2">
                  <c:v>169366.66666666669</c:v>
                </c:pt>
                <c:pt idx="3">
                  <c:v>140500</c:v>
                </c:pt>
                <c:pt idx="4">
                  <c:v>150560</c:v>
                </c:pt>
                <c:pt idx="5">
                  <c:v>147100</c:v>
                </c:pt>
                <c:pt idx="6">
                  <c:v>118385.71428571429</c:v>
                </c:pt>
                <c:pt idx="7">
                  <c:v>103587.5</c:v>
                </c:pt>
                <c:pt idx="8">
                  <c:v>98066.666666666657</c:v>
                </c:pt>
                <c:pt idx="9">
                  <c:v>108150</c:v>
                </c:pt>
                <c:pt idx="10">
                  <c:v>107872.72727272728</c:v>
                </c:pt>
                <c:pt idx="11">
                  <c:v>110966.66666666666</c:v>
                </c:pt>
                <c:pt idx="12">
                  <c:v>112415.38461538461</c:v>
                </c:pt>
                <c:pt idx="13">
                  <c:v>110521.42857142857</c:v>
                </c:pt>
                <c:pt idx="14">
                  <c:v>114200</c:v>
                </c:pt>
                <c:pt idx="15">
                  <c:v>107062.5</c:v>
                </c:pt>
                <c:pt idx="16">
                  <c:v>100764.70588235294</c:v>
                </c:pt>
                <c:pt idx="17">
                  <c:v>101500</c:v>
                </c:pt>
                <c:pt idx="18">
                  <c:v>109068.42105263159</c:v>
                </c:pt>
                <c:pt idx="19">
                  <c:v>113115</c:v>
                </c:pt>
              </c:numCache>
            </c:numRef>
          </c:val>
        </c:ser>
        <c:ser>
          <c:idx val="3"/>
          <c:order val="3"/>
          <c:tx>
            <c:strRef>
              <c:f>'Month - Mar 2012  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'!$F$55,'Month - Mar 2012  '!$G$55:$Y$55)</c:f>
              <c:numCache>
                <c:formatCode>0</c:formatCode>
                <c:ptCount val="20"/>
                <c:pt idx="0">
                  <c:v>1355300</c:v>
                </c:pt>
                <c:pt idx="1">
                  <c:v>737550</c:v>
                </c:pt>
                <c:pt idx="2">
                  <c:v>531700</c:v>
                </c:pt>
                <c:pt idx="3">
                  <c:v>466225</c:v>
                </c:pt>
                <c:pt idx="4">
                  <c:v>404940</c:v>
                </c:pt>
                <c:pt idx="5">
                  <c:v>377383.33333333337</c:v>
                </c:pt>
                <c:pt idx="6">
                  <c:v>324928.57142857142</c:v>
                </c:pt>
                <c:pt idx="7">
                  <c:v>326775</c:v>
                </c:pt>
                <c:pt idx="8">
                  <c:v>316766.66666666669</c:v>
                </c:pt>
                <c:pt idx="9">
                  <c:v>308130</c:v>
                </c:pt>
                <c:pt idx="10">
                  <c:v>292836.36363636365</c:v>
                </c:pt>
                <c:pt idx="11">
                  <c:v>291741.66666666669</c:v>
                </c:pt>
                <c:pt idx="12">
                  <c:v>277753.84615384619</c:v>
                </c:pt>
                <c:pt idx="13">
                  <c:v>264335.71428571426</c:v>
                </c:pt>
                <c:pt idx="14">
                  <c:v>285353.33333333331</c:v>
                </c:pt>
                <c:pt idx="15">
                  <c:v>276831.25</c:v>
                </c:pt>
                <c:pt idx="16">
                  <c:v>279235.29411764705</c:v>
                </c:pt>
                <c:pt idx="17">
                  <c:v>288211.11111111112</c:v>
                </c:pt>
                <c:pt idx="18">
                  <c:v>298968.42105263157</c:v>
                </c:pt>
                <c:pt idx="19">
                  <c:v>274170</c:v>
                </c:pt>
              </c:numCache>
            </c:numRef>
          </c:val>
        </c:ser>
        <c:ser>
          <c:idx val="4"/>
          <c:order val="4"/>
          <c:tx>
            <c:strRef>
              <c:f>'Month - Mar 2012  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'!$F$56,'Month - Mar 2012  '!$G$56:$Y$56)</c:f>
              <c:numCache>
                <c:formatCode>0</c:formatCode>
                <c:ptCount val="20"/>
                <c:pt idx="0">
                  <c:v>452420</c:v>
                </c:pt>
                <c:pt idx="1">
                  <c:v>251660</c:v>
                </c:pt>
                <c:pt idx="2">
                  <c:v>187740</c:v>
                </c:pt>
                <c:pt idx="3">
                  <c:v>198230</c:v>
                </c:pt>
                <c:pt idx="4">
                  <c:v>173564</c:v>
                </c:pt>
                <c:pt idx="5">
                  <c:v>168356.66666666669</c:v>
                </c:pt>
                <c:pt idx="6">
                  <c:v>160005.71428571429</c:v>
                </c:pt>
                <c:pt idx="7">
                  <c:v>162467.5</c:v>
                </c:pt>
                <c:pt idx="8">
                  <c:v>159948.88888888888</c:v>
                </c:pt>
                <c:pt idx="9">
                  <c:v>143954</c:v>
                </c:pt>
                <c:pt idx="10">
                  <c:v>134049.09090909091</c:v>
                </c:pt>
                <c:pt idx="11">
                  <c:v>122878.33333333334</c:v>
                </c:pt>
                <c:pt idx="12">
                  <c:v>116118.46153846155</c:v>
                </c:pt>
                <c:pt idx="13">
                  <c:v>112102.85714285713</c:v>
                </c:pt>
                <c:pt idx="14">
                  <c:v>108622.66666666666</c:v>
                </c:pt>
                <c:pt idx="15">
                  <c:v>109203.75</c:v>
                </c:pt>
                <c:pt idx="16">
                  <c:v>102780</c:v>
                </c:pt>
                <c:pt idx="17">
                  <c:v>106503.33333333334</c:v>
                </c:pt>
                <c:pt idx="18">
                  <c:v>110576.84210526315</c:v>
                </c:pt>
                <c:pt idx="19">
                  <c:v>125573</c:v>
                </c:pt>
              </c:numCache>
            </c:numRef>
          </c:val>
        </c:ser>
        <c:ser>
          <c:idx val="5"/>
          <c:order val="5"/>
          <c:tx>
            <c:strRef>
              <c:f>'Month - Mar 2012  '!$B$57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'!$F$57,'Month - Mar 2012  '!$G$57:$Y$57)</c:f>
              <c:numCache>
                <c:formatCode>0</c:formatCode>
                <c:ptCount val="20"/>
                <c:pt idx="0">
                  <c:v>244880</c:v>
                </c:pt>
                <c:pt idx="1">
                  <c:v>153050</c:v>
                </c:pt>
                <c:pt idx="2">
                  <c:v>151113.33333333334</c:v>
                </c:pt>
                <c:pt idx="3">
                  <c:v>113235</c:v>
                </c:pt>
                <c:pt idx="4">
                  <c:v>90588</c:v>
                </c:pt>
                <c:pt idx="5">
                  <c:v>75490</c:v>
                </c:pt>
                <c:pt idx="6">
                  <c:v>64705.714285714283</c:v>
                </c:pt>
                <c:pt idx="7">
                  <c:v>61770</c:v>
                </c:pt>
                <c:pt idx="8">
                  <c:v>68228.888888888891</c:v>
                </c:pt>
                <c:pt idx="9">
                  <c:v>61406</c:v>
                </c:pt>
                <c:pt idx="10">
                  <c:v>55823.63636363636</c:v>
                </c:pt>
                <c:pt idx="11">
                  <c:v>57973.333333333328</c:v>
                </c:pt>
                <c:pt idx="12">
                  <c:v>56653.846153846156</c:v>
                </c:pt>
                <c:pt idx="13">
                  <c:v>52607.142857142855</c:v>
                </c:pt>
                <c:pt idx="14">
                  <c:v>57100</c:v>
                </c:pt>
                <c:pt idx="15">
                  <c:v>53531.25</c:v>
                </c:pt>
                <c:pt idx="16">
                  <c:v>50382.352941176468</c:v>
                </c:pt>
                <c:pt idx="17">
                  <c:v>49284.444444444445</c:v>
                </c:pt>
                <c:pt idx="18">
                  <c:v>46690.526315789473</c:v>
                </c:pt>
                <c:pt idx="19">
                  <c:v>44356</c:v>
                </c:pt>
              </c:numCache>
            </c:numRef>
          </c:val>
        </c:ser>
        <c:ser>
          <c:idx val="6"/>
          <c:order val="6"/>
          <c:tx>
            <c:strRef>
              <c:f>'Month - Mar 2012  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Mar 2012  '!$F$51,'Month - Mar 2012 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Mar 2012  '!$F$58,'Month - Mar 2012  '!$G$58:$Y$58)</c:f>
              <c:numCache>
                <c:formatCode>0</c:formatCode>
                <c:ptCount val="20"/>
                <c:pt idx="0">
                  <c:v>1784700</c:v>
                </c:pt>
                <c:pt idx="1">
                  <c:v>1052550</c:v>
                </c:pt>
                <c:pt idx="2">
                  <c:v>721160</c:v>
                </c:pt>
                <c:pt idx="3">
                  <c:v>574185</c:v>
                </c:pt>
                <c:pt idx="4">
                  <c:v>499944</c:v>
                </c:pt>
                <c:pt idx="5">
                  <c:v>465370</c:v>
                </c:pt>
                <c:pt idx="6">
                  <c:v>398888.57142857148</c:v>
                </c:pt>
                <c:pt idx="7">
                  <c:v>389145</c:v>
                </c:pt>
                <c:pt idx="8">
                  <c:v>354975.55555555556</c:v>
                </c:pt>
                <c:pt idx="9">
                  <c:v>333912</c:v>
                </c:pt>
                <c:pt idx="10">
                  <c:v>311010.90909090906</c:v>
                </c:pt>
                <c:pt idx="11">
                  <c:v>312746.66666666669</c:v>
                </c:pt>
                <c:pt idx="12">
                  <c:v>306310.76923076925</c:v>
                </c:pt>
                <c:pt idx="13">
                  <c:v>315294.28571428574</c:v>
                </c:pt>
                <c:pt idx="14">
                  <c:v>322302.66666666669</c:v>
                </c:pt>
                <c:pt idx="15">
                  <c:v>315650</c:v>
                </c:pt>
                <c:pt idx="16">
                  <c:v>310322.35294117645</c:v>
                </c:pt>
                <c:pt idx="17">
                  <c:v>299368.88888888888</c:v>
                </c:pt>
                <c:pt idx="18">
                  <c:v>306786.31578947371</c:v>
                </c:pt>
                <c:pt idx="19">
                  <c:v>303381</c:v>
                </c:pt>
              </c:numCache>
            </c:numRef>
          </c:val>
        </c:ser>
        <c:marker val="1"/>
        <c:axId val="137761920"/>
        <c:axId val="137763456"/>
      </c:lineChart>
      <c:catAx>
        <c:axId val="137761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763456"/>
        <c:crosses val="autoZero"/>
        <c:auto val="1"/>
        <c:lblAlgn val="ctr"/>
        <c:lblOffset val="100"/>
      </c:catAx>
      <c:valAx>
        <c:axId val="13776345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761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869656510327501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March 2010 Daily Performance % vs Budget 2010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floor>
      <c:spPr>
        <a:solidFill>
          <a:srgbClr val="000000"/>
        </a:solidFill>
        <a:ln w="3175">
          <a:solidFill>
            <a:srgbClr val="80808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610465116279216E-2"/>
          <c:y val="0.25217418072157399"/>
          <c:w val="0.95130813953489834"/>
          <c:h val="0.65217460531443439"/>
        </c:manualLayout>
      </c:layout>
      <c:bar3DChart>
        <c:barDir val="col"/>
        <c:grouping val="clustered"/>
        <c:ser>
          <c:idx val="0"/>
          <c:order val="0"/>
          <c:tx>
            <c:strRef>
              <c:f>'Mar 10'!$B$6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2.4466134157087501E-4"/>
                  <c:y val="0.20613714128167801"/>
                </c:manualLayout>
              </c:layout>
              <c:showSerName val="1"/>
            </c:dLbl>
            <c:dLbl>
              <c:idx val="1"/>
              <c:layout>
                <c:manualLayout>
                  <c:x val="-4.2121714136407424E-4"/>
                  <c:y val="0.37556190030727737"/>
                </c:manualLayout>
              </c:layout>
              <c:showSerName val="1"/>
            </c:dLbl>
            <c:dLbl>
              <c:idx val="2"/>
              <c:layout>
                <c:manualLayout>
                  <c:x val="1.44066481991097E-4"/>
                  <c:y val="7.2289018908289718E-2"/>
                </c:manualLayout>
              </c:layout>
              <c:showSerName val="1"/>
            </c:dLbl>
            <c:dLbl>
              <c:idx val="3"/>
              <c:layout>
                <c:manualLayout>
                  <c:x val="8.0773325080335263E-4"/>
                  <c:y val="0.54278535208228362"/>
                </c:manualLayout>
              </c:layout>
              <c:showSerName val="1"/>
            </c:dLbl>
            <c:dLbl>
              <c:idx val="4"/>
              <c:layout>
                <c:manualLayout>
                  <c:x val="-9.9763560133701748E-4"/>
                  <c:y val="0.31024555469216275"/>
                </c:manualLayout>
              </c:layout>
              <c:showSerName val="1"/>
            </c:dLbl>
            <c:dLbl>
              <c:idx val="5"/>
              <c:layout>
                <c:manualLayout>
                  <c:x val="1.9371565074504009E-3"/>
                  <c:y val="0.3783221644824426"/>
                </c:manualLayout>
              </c:layout>
              <c:showSerName val="1"/>
            </c:dLbl>
            <c:dLbl>
              <c:idx val="6"/>
              <c:layout>
                <c:manualLayout>
                  <c:x val="-5.6360577126218162E-5"/>
                  <c:y val="0.14858240979705567"/>
                </c:manualLayout>
              </c:layout>
              <c:showSerName val="1"/>
            </c:dLbl>
            <c:dLbl>
              <c:idx val="7"/>
              <c:layout>
                <c:manualLayout>
                  <c:x val="-1.0627667689495502E-3"/>
                  <c:y val="0.26710985435342899"/>
                </c:manualLayout>
              </c:layout>
              <c:showSerName val="1"/>
            </c:dLbl>
            <c:dLbl>
              <c:idx val="8"/>
              <c:layout>
                <c:manualLayout>
                  <c:x val="7.2368811414156924E-4"/>
                  <c:y val="0.47615334303106399"/>
                </c:manualLayout>
              </c:layout>
              <c:showSerName val="1"/>
            </c:dLbl>
            <c:dLbl>
              <c:idx val="9"/>
              <c:layout>
                <c:manualLayout>
                  <c:x val="-1.0502093513783041E-3"/>
                  <c:y val="0.15439144679314978"/>
                </c:manualLayout>
              </c:layout>
              <c:showSerName val="1"/>
            </c:dLbl>
            <c:dLbl>
              <c:idx val="10"/>
              <c:layout>
                <c:manualLayout>
                  <c:x val="-1.0501828782517697E-3"/>
                  <c:y val="0.35711517873248338"/>
                </c:manualLayout>
              </c:layout>
              <c:showSerName val="1"/>
            </c:dLbl>
            <c:dLbl>
              <c:idx val="11"/>
              <c:layout>
                <c:manualLayout>
                  <c:x val="-2.01220225561276E-3"/>
                  <c:y val="0.41518268746951364"/>
                </c:manualLayout>
              </c:layout>
              <c:showSerName val="1"/>
            </c:dLbl>
            <c:dLbl>
              <c:idx val="12"/>
              <c:layout>
                <c:manualLayout>
                  <c:x val="-1.0879345503455504E-3"/>
                  <c:y val="0.10524255872877022"/>
                </c:manualLayout>
              </c:layout>
              <c:showSerName val="1"/>
            </c:dLbl>
            <c:dLbl>
              <c:idx val="13"/>
              <c:layout>
                <c:manualLayout>
                  <c:x val="1.0997557810014165E-4"/>
                  <c:y val="0.30254566586629938"/>
                </c:manualLayout>
              </c:layout>
              <c:showSerName val="1"/>
            </c:dLbl>
            <c:dLbl>
              <c:idx val="14"/>
              <c:layout>
                <c:manualLayout>
                  <c:x val="0"/>
                  <c:y val="0.33098479980092277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46454006989593088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15678227358988447"/>
                </c:manualLayout>
              </c:layout>
              <c:showSerName val="1"/>
            </c:dLbl>
            <c:dLbl>
              <c:idx val="17"/>
              <c:layout>
                <c:manualLayout>
                  <c:x val="9.6857825372529446E-4"/>
                  <c:y val="0.17294493028355501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65616284872790465"/>
                </c:manualLayout>
              </c:layout>
              <c:showSerName val="1"/>
            </c:dLbl>
            <c:dLbl>
              <c:idx val="19"/>
              <c:layout>
                <c:manualLayout>
                  <c:x val="-1.0161682403648199E-3"/>
                  <c:y val="0.26054685419271401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10'!$F$15:$Y$15</c:f>
              <c:numCache>
                <c:formatCode>0.0%</c:formatCode>
                <c:ptCount val="20"/>
                <c:pt idx="0">
                  <c:v>0.80935999999999997</c:v>
                </c:pt>
                <c:pt idx="1">
                  <c:v>1.4785599999999999</c:v>
                </c:pt>
                <c:pt idx="2">
                  <c:v>0.2228</c:v>
                </c:pt>
                <c:pt idx="3">
                  <c:v>2.1169599999999997</c:v>
                </c:pt>
                <c:pt idx="4">
                  <c:v>1.20136</c:v>
                </c:pt>
                <c:pt idx="5">
                  <c:v>1.4632000000000001</c:v>
                </c:pt>
                <c:pt idx="6">
                  <c:v>0.56984000000000001</c:v>
                </c:pt>
                <c:pt idx="7">
                  <c:v>1.0402400000000001</c:v>
                </c:pt>
                <c:pt idx="8">
                  <c:v>1.91144</c:v>
                </c:pt>
                <c:pt idx="9">
                  <c:v>0.51415999999999995</c:v>
                </c:pt>
                <c:pt idx="10">
                  <c:v>1.37544</c:v>
                </c:pt>
                <c:pt idx="11">
                  <c:v>1.63832</c:v>
                </c:pt>
                <c:pt idx="12">
                  <c:v>0.38360000000000005</c:v>
                </c:pt>
                <c:pt idx="13">
                  <c:v>1.18472</c:v>
                </c:pt>
                <c:pt idx="14">
                  <c:v>1.3371200000000001</c:v>
                </c:pt>
                <c:pt idx="15">
                  <c:v>1.8748</c:v>
                </c:pt>
                <c:pt idx="16">
                  <c:v>0.58472000000000002</c:v>
                </c:pt>
                <c:pt idx="17">
                  <c:v>0.65359999999999996</c:v>
                </c:pt>
                <c:pt idx="18">
                  <c:v>2.5650399999999998</c:v>
                </c:pt>
                <c:pt idx="19">
                  <c:v>1.0029600000000001</c:v>
                </c:pt>
              </c:numCache>
            </c:numRef>
          </c:val>
        </c:ser>
        <c:ser>
          <c:idx val="1"/>
          <c:order val="1"/>
          <c:tx>
            <c:strRef>
              <c:f>'Mar 10'!$B$7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2031721776741184E-5"/>
                  <c:y val="0.106822497913342"/>
                </c:manualLayout>
              </c:layout>
              <c:showSerName val="1"/>
            </c:dLbl>
            <c:dLbl>
              <c:idx val="1"/>
              <c:layout>
                <c:manualLayout>
                  <c:x val="-1.9256403408115877E-3"/>
                  <c:y val="5.3768684192547003E-2"/>
                </c:manualLayout>
              </c:layout>
              <c:showSerName val="1"/>
            </c:dLbl>
            <c:dLbl>
              <c:idx val="2"/>
              <c:layout>
                <c:manualLayout>
                  <c:x val="1.0173884964325143E-4"/>
                  <c:y val="4.1791231760458313E-2"/>
                </c:manualLayout>
              </c:layout>
              <c:showSerName val="1"/>
            </c:dLbl>
            <c:dLbl>
              <c:idx val="3"/>
              <c:layout>
                <c:manualLayout>
                  <c:x val="-1.1783097653586712E-4"/>
                  <c:y val="0.13375964943684801"/>
                </c:manualLayout>
              </c:layout>
              <c:showSerName val="1"/>
            </c:dLbl>
            <c:dLbl>
              <c:idx val="4"/>
              <c:layout>
                <c:manualLayout>
                  <c:x val="1.8054451181444605E-3"/>
                  <c:y val="0.28108880693907445"/>
                </c:manualLayout>
              </c:layout>
              <c:showSerName val="1"/>
            </c:dLbl>
            <c:dLbl>
              <c:idx val="5"/>
              <c:layout>
                <c:manualLayout>
                  <c:x val="-1.00388941368374E-3"/>
                  <c:y val="0.138983210488547"/>
                </c:manualLayout>
              </c:layout>
              <c:showSerName val="1"/>
            </c:dLbl>
            <c:dLbl>
              <c:idx val="6"/>
              <c:layout>
                <c:manualLayout>
                  <c:x val="9.685019877210526E-4"/>
                  <c:y val="0.13033915311510524"/>
                </c:manualLayout>
              </c:layout>
              <c:showSerName val="1"/>
            </c:dLbl>
            <c:dLbl>
              <c:idx val="7"/>
              <c:layout>
                <c:manualLayout>
                  <c:x val="-9.685782537253014E-4"/>
                  <c:y val="0.21361619068455401"/>
                </c:manualLayout>
              </c:layout>
              <c:showSerName val="1"/>
            </c:dLbl>
            <c:dLbl>
              <c:idx val="8"/>
              <c:layout>
                <c:manualLayout>
                  <c:x val="9.6857825372530281E-4"/>
                  <c:y val="0.10729115300355364"/>
                </c:manualLayout>
              </c:layout>
              <c:showSerName val="1"/>
            </c:dLbl>
            <c:dLbl>
              <c:idx val="9"/>
              <c:layout>
                <c:manualLayout>
                  <c:x val="8.0529273866798028E-4"/>
                  <c:y val="5.4106344469721422E-2"/>
                </c:manualLayout>
              </c:layout>
              <c:showSerName val="1"/>
            </c:dLbl>
            <c:dLbl>
              <c:idx val="10"/>
              <c:layout>
                <c:manualLayout>
                  <c:x val="8.1902061942943597E-4"/>
                  <c:y val="0.19157728499647644"/>
                </c:manualLayout>
              </c:layout>
              <c:showSerName val="1"/>
            </c:dLbl>
            <c:dLbl>
              <c:idx val="11"/>
              <c:layout>
                <c:manualLayout>
                  <c:x val="-7.1028251415448943E-17"/>
                  <c:y val="6.387425961068699E-2"/>
                </c:manualLayout>
              </c:layout>
              <c:showSerName val="1"/>
            </c:dLbl>
            <c:dLbl>
              <c:idx val="12"/>
              <c:layout>
                <c:manualLayout>
                  <c:x val="-1.0363024654818198E-3"/>
                  <c:y val="9.0551021793849936E-3"/>
                </c:manualLayout>
              </c:layout>
              <c:showSerName val="1"/>
            </c:dLbl>
            <c:dLbl>
              <c:idx val="13"/>
              <c:layout>
                <c:manualLayout>
                  <c:x val="1.1699205048933264E-4"/>
                  <c:y val="0.20145287650206944"/>
                </c:manualLayout>
              </c:layout>
              <c:showSerName val="1"/>
            </c:dLbl>
            <c:dLbl>
              <c:idx val="14"/>
              <c:layout>
                <c:manualLayout>
                  <c:x val="1.9371565074504009E-3"/>
                  <c:y val="0.11613501747397822"/>
                </c:manualLayout>
              </c:layout>
              <c:showSerName val="1"/>
            </c:dLbl>
            <c:dLbl>
              <c:idx val="15"/>
              <c:layout>
                <c:manualLayout>
                  <c:x val="-9.6857825372529609E-4"/>
                  <c:y val="8.4197887668633245E-2"/>
                </c:manualLayout>
              </c:layout>
              <c:showSerName val="1"/>
            </c:dLbl>
            <c:dLbl>
              <c:idx val="16"/>
              <c:layout>
                <c:manualLayout>
                  <c:x val="0"/>
                  <c:y val="0.17420252621096488"/>
                </c:manualLayout>
              </c:layout>
              <c:showSerName val="1"/>
            </c:dLbl>
            <c:dLbl>
              <c:idx val="17"/>
              <c:layout>
                <c:manualLayout>
                  <c:x val="0"/>
                  <c:y val="0.24388353669535101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20033290514261001"/>
                </c:manualLayout>
              </c:layout>
              <c:showSerName val="1"/>
            </c:dLbl>
            <c:dLbl>
              <c:idx val="19"/>
              <c:layout>
                <c:manualLayout>
                  <c:x val="1.9133615141303521E-3"/>
                  <c:y val="0.52841432950659251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10'!$F$16:$Y$16</c:f>
              <c:numCache>
                <c:formatCode>0.0%</c:formatCode>
                <c:ptCount val="20"/>
                <c:pt idx="0">
                  <c:v>0.44266666666666665</c:v>
                </c:pt>
                <c:pt idx="1">
                  <c:v>0.17966666666666664</c:v>
                </c:pt>
                <c:pt idx="2">
                  <c:v>0.14373333333333338</c:v>
                </c:pt>
                <c:pt idx="3">
                  <c:v>0.47233333333333338</c:v>
                </c:pt>
                <c:pt idx="4">
                  <c:v>1.1253333333333333</c:v>
                </c:pt>
                <c:pt idx="5">
                  <c:v>0.45966666666666667</c:v>
                </c:pt>
                <c:pt idx="6">
                  <c:v>0.53333333333333333</c:v>
                </c:pt>
                <c:pt idx="7">
                  <c:v>0.85199999999999998</c:v>
                </c:pt>
                <c:pt idx="8">
                  <c:v>0.31299999999999994</c:v>
                </c:pt>
                <c:pt idx="9">
                  <c:v>0.17966666666666664</c:v>
                </c:pt>
                <c:pt idx="10">
                  <c:v>0.75566666666666671</c:v>
                </c:pt>
                <c:pt idx="11">
                  <c:v>0.27966666666666662</c:v>
                </c:pt>
                <c:pt idx="12">
                  <c:v>0</c:v>
                </c:pt>
                <c:pt idx="13">
                  <c:v>0.82273333333333332</c:v>
                </c:pt>
                <c:pt idx="14">
                  <c:v>0.47966666666666669</c:v>
                </c:pt>
                <c:pt idx="15">
                  <c:v>0.31966666666666665</c:v>
                </c:pt>
                <c:pt idx="16">
                  <c:v>0.6356666666666666</c:v>
                </c:pt>
                <c:pt idx="17">
                  <c:v>0.97433333333333338</c:v>
                </c:pt>
                <c:pt idx="18">
                  <c:v>0.71866666666666668</c:v>
                </c:pt>
                <c:pt idx="19">
                  <c:v>2.1043333333333334</c:v>
                </c:pt>
              </c:numCache>
            </c:numRef>
          </c:val>
        </c:ser>
        <c:ser>
          <c:idx val="2"/>
          <c:order val="2"/>
          <c:tx>
            <c:strRef>
              <c:f>'Mar 10'!$B$17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-1.9219033066040841E-4"/>
                  <c:y val="0.13301620243524301"/>
                </c:manualLayout>
              </c:layout>
              <c:showSerName val="1"/>
            </c:dLbl>
            <c:dLbl>
              <c:idx val="1"/>
              <c:layout>
                <c:manualLayout>
                  <c:x val="-3.4708658525222052E-4"/>
                  <c:y val="1.195847761623469E-2"/>
                </c:manualLayout>
              </c:layout>
              <c:showSerName val="1"/>
            </c:dLbl>
            <c:dLbl>
              <c:idx val="2"/>
              <c:layout>
                <c:manualLayout>
                  <c:x val="-1.0594873307676561E-3"/>
                  <c:y val="0.37223010553426938"/>
                </c:manualLayout>
              </c:layout>
              <c:showSerName val="1"/>
            </c:dLbl>
            <c:dLbl>
              <c:idx val="3"/>
              <c:layout>
                <c:manualLayout>
                  <c:x val="1.0256252248893804E-3"/>
                  <c:y val="0.11604814482311022"/>
                </c:manualLayout>
              </c:layout>
              <c:showSerName val="1"/>
            </c:dLbl>
            <c:dLbl>
              <c:idx val="4"/>
              <c:layout>
                <c:manualLayout>
                  <c:x val="-2.1002132244946452E-3"/>
                  <c:y val="0.38548870095446364"/>
                </c:manualLayout>
              </c:layout>
              <c:showSerName val="1"/>
            </c:dLbl>
            <c:dLbl>
              <c:idx val="5"/>
              <c:layout>
                <c:manualLayout>
                  <c:x val="-9.9008526691805225E-4"/>
                  <c:y val="0.43526307210498638"/>
                </c:manualLayout>
              </c:layout>
              <c:showSerName val="1"/>
            </c:dLbl>
            <c:dLbl>
              <c:idx val="6"/>
              <c:layout>
                <c:manualLayout>
                  <c:x val="-2.2285689096142604E-3"/>
                  <c:y val="0.27272617123193932"/>
                </c:manualLayout>
              </c:layout>
              <c:showSerName val="1"/>
            </c:dLbl>
            <c:dLbl>
              <c:idx val="7"/>
              <c:layout>
                <c:manualLayout>
                  <c:x val="-2.0370649729922733E-4"/>
                  <c:y val="0.287104052174806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15678204497764453"/>
                </c:manualLayout>
              </c:layout>
              <c:showSerName val="1"/>
            </c:dLbl>
            <c:dLbl>
              <c:idx val="9"/>
              <c:layout>
                <c:manualLayout>
                  <c:x val="-9.685782537253014E-4"/>
                  <c:y val="0.34550167698508238"/>
                </c:manualLayout>
              </c:layout>
              <c:showSerName val="1"/>
            </c:dLbl>
            <c:dLbl>
              <c:idx val="10"/>
              <c:layout>
                <c:manualLayout>
                  <c:x val="-3.4014637886658218E-5"/>
                  <c:y val="0.48196009390482053"/>
                </c:manualLayout>
              </c:layout>
              <c:showSerName val="1"/>
            </c:dLbl>
            <c:dLbl>
              <c:idx val="11"/>
              <c:layout>
                <c:manualLayout>
                  <c:x val="-1.0436240018877403E-3"/>
                  <c:y val="0.15676581350865101"/>
                </c:manualLayout>
              </c:layout>
              <c:showSerName val="1"/>
            </c:dLbl>
            <c:dLbl>
              <c:idx val="12"/>
              <c:layout>
                <c:manualLayout>
                  <c:x val="-1.0608601188438081E-3"/>
                  <c:y val="0.18000927708466424"/>
                </c:manualLayout>
              </c:layout>
              <c:showSerName val="1"/>
            </c:dLbl>
            <c:dLbl>
              <c:idx val="13"/>
              <c:layout>
                <c:manualLayout>
                  <c:x val="6.6122625667689819E-5"/>
                  <c:y val="0.33167086513051086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869E-3"/>
                  <c:y val="4.6813842653968617E-2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41227931203261708"/>
                </c:manualLayout>
              </c:layout>
              <c:showSerName val="1"/>
            </c:dLbl>
            <c:dLbl>
              <c:idx val="16"/>
              <c:layout>
                <c:manualLayout>
                  <c:x val="-1.0051096697514202E-3"/>
                  <c:y val="0.51680037053472005"/>
                </c:manualLayout>
              </c:layout>
              <c:showSerName val="1"/>
            </c:dLbl>
            <c:dLbl>
              <c:idx val="17"/>
              <c:layout>
                <c:manualLayout>
                  <c:x val="3.1192795730202001E-5"/>
                  <c:y val="0.23227003494795301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28743416824809231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32517804892713431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10'!$F$17:$Y$17</c:f>
              <c:numCache>
                <c:formatCode>0.0%</c:formatCode>
                <c:ptCount val="20"/>
                <c:pt idx="0">
                  <c:v>0.55081081081081074</c:v>
                </c:pt>
                <c:pt idx="1">
                  <c:v>0</c:v>
                </c:pt>
                <c:pt idx="2">
                  <c:v>1.4578378378378378</c:v>
                </c:pt>
                <c:pt idx="3">
                  <c:v>0.39945945945945949</c:v>
                </c:pt>
                <c:pt idx="4">
                  <c:v>1.5010810810810811</c:v>
                </c:pt>
                <c:pt idx="5">
                  <c:v>1.6956756756756757</c:v>
                </c:pt>
                <c:pt idx="6">
                  <c:v>1.0572972972972974</c:v>
                </c:pt>
                <c:pt idx="7">
                  <c:v>1.0913513513513513</c:v>
                </c:pt>
                <c:pt idx="8">
                  <c:v>0.58270270270270275</c:v>
                </c:pt>
                <c:pt idx="9">
                  <c:v>1.3594594594594596</c:v>
                </c:pt>
                <c:pt idx="10">
                  <c:v>1.890162162162162</c:v>
                </c:pt>
                <c:pt idx="11">
                  <c:v>0.58270270270270275</c:v>
                </c:pt>
                <c:pt idx="12">
                  <c:v>0.68054054054054047</c:v>
                </c:pt>
                <c:pt idx="13">
                  <c:v>1.2967567567567568</c:v>
                </c:pt>
                <c:pt idx="14">
                  <c:v>0.16216216216216217</c:v>
                </c:pt>
                <c:pt idx="15">
                  <c:v>1.6521081081081084</c:v>
                </c:pt>
                <c:pt idx="16">
                  <c:v>2.0297297297297296</c:v>
                </c:pt>
                <c:pt idx="17">
                  <c:v>0.90810810810810816</c:v>
                </c:pt>
                <c:pt idx="18">
                  <c:v>1.1443243243243244</c:v>
                </c:pt>
                <c:pt idx="19">
                  <c:v>1.2708108108108109</c:v>
                </c:pt>
              </c:numCache>
            </c:numRef>
          </c:val>
        </c:ser>
        <c:ser>
          <c:idx val="3"/>
          <c:order val="3"/>
          <c:tx>
            <c:strRef>
              <c:f>'Mar 10'!$B$18</c:f>
              <c:strCache>
                <c:ptCount val="1"/>
                <c:pt idx="0">
                  <c:v>Norwich</c:v>
                </c:pt>
              </c:strCache>
            </c:strRef>
          </c:tx>
          <c:spPr>
            <a:solidFill>
              <a:srgbClr val="17375E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1.0004574434934901E-3"/>
                  <c:y val="0.27190613913021638"/>
                </c:manualLayout>
              </c:layout>
              <c:showSerName val="1"/>
            </c:dLbl>
            <c:dLbl>
              <c:idx val="1"/>
              <c:layout>
                <c:manualLayout>
                  <c:x val="-4.4180896250633009E-4"/>
                  <c:y val="0.16195233937761241"/>
                </c:manualLayout>
              </c:layout>
              <c:showSerName val="1"/>
            </c:dLbl>
            <c:dLbl>
              <c:idx val="2"/>
              <c:layout>
                <c:manualLayout>
                  <c:x val="0"/>
                  <c:y val="0.27396982181279217"/>
                </c:manualLayout>
              </c:layout>
              <c:showSerName val="1"/>
            </c:dLbl>
            <c:dLbl>
              <c:idx val="3"/>
              <c:layout>
                <c:manualLayout>
                  <c:x val="9.0756545034109042E-6"/>
                  <c:y val="0.17048300508045044"/>
                </c:manualLayout>
              </c:layout>
              <c:showSerName val="1"/>
            </c:dLbl>
            <c:dLbl>
              <c:idx val="4"/>
              <c:layout>
                <c:manualLayout>
                  <c:x val="0"/>
                  <c:y val="0.25109945341097673"/>
                </c:manualLayout>
              </c:layout>
              <c:showSerName val="1"/>
            </c:dLbl>
            <c:dLbl>
              <c:idx val="5"/>
              <c:layout>
                <c:manualLayout>
                  <c:x val="8.6661060606915718E-4"/>
                  <c:y val="0.28415175371877799"/>
                </c:manualLayout>
              </c:layout>
              <c:showSerName val="1"/>
            </c:dLbl>
            <c:dLbl>
              <c:idx val="6"/>
              <c:layout>
                <c:manualLayout>
                  <c:x val="0"/>
                  <c:y val="0.20764643928437992"/>
                </c:manualLayout>
              </c:layout>
              <c:showSerName val="1"/>
            </c:dLbl>
            <c:dLbl>
              <c:idx val="7"/>
              <c:layout>
                <c:manualLayout>
                  <c:x val="0"/>
                  <c:y val="0.18391031633304344"/>
                </c:manualLayout>
              </c:layout>
              <c:showSerName val="1"/>
            </c:dLbl>
            <c:dLbl>
              <c:idx val="8"/>
              <c:layout>
                <c:manualLayout>
                  <c:x val="0"/>
                  <c:y val="0.19729579154588694"/>
                </c:manualLayout>
              </c:layout>
              <c:showSerName val="1"/>
            </c:dLbl>
            <c:dLbl>
              <c:idx val="9"/>
              <c:layout>
                <c:manualLayout>
                  <c:x val="0"/>
                  <c:y val="0.714230357464956"/>
                </c:manualLayout>
              </c:layout>
              <c:showSerName val="1"/>
            </c:dLbl>
            <c:dLbl>
              <c:idx val="10"/>
              <c:layout>
                <c:manualLayout>
                  <c:x val="2.0186848659726692E-3"/>
                  <c:y val="0.40642706732336992"/>
                </c:manualLayout>
              </c:layout>
              <c:showSerName val="1"/>
            </c:dLbl>
            <c:dLbl>
              <c:idx val="11"/>
              <c:layout>
                <c:manualLayout>
                  <c:x val="-7.6266004159312317E-8"/>
                  <c:y val="0.36204222971003502"/>
                </c:manualLayout>
              </c:layout>
              <c:showSerName val="1"/>
            </c:dLbl>
            <c:dLbl>
              <c:idx val="12"/>
              <c:layout>
                <c:manualLayout>
                  <c:x val="1.9370039754420354E-3"/>
                  <c:y val="0.31895865296185677"/>
                </c:manualLayout>
              </c:layout>
              <c:showSerName val="1"/>
            </c:dLbl>
            <c:dLbl>
              <c:idx val="13"/>
              <c:layout>
                <c:manualLayout>
                  <c:x val="6.6122625667689819E-5"/>
                  <c:y val="0.68519660309646102"/>
                </c:manualLayout>
              </c:layout>
              <c:showSerName val="1"/>
            </c:dLbl>
            <c:dLbl>
              <c:idx val="14"/>
              <c:layout>
                <c:manualLayout>
                  <c:x val="-1.0204391366018869E-3"/>
                  <c:y val="0.5516413330014529"/>
                </c:manualLayout>
              </c:layout>
              <c:showSerName val="1"/>
            </c:dLbl>
            <c:dLbl>
              <c:idx val="15"/>
              <c:layout>
                <c:manualLayout>
                  <c:x val="0"/>
                  <c:y val="0.11938336877966098"/>
                </c:manualLayout>
              </c:layout>
              <c:showSerName val="1"/>
            </c:dLbl>
            <c:dLbl>
              <c:idx val="16"/>
              <c:layout>
                <c:manualLayout>
                  <c:x val="4.1870036322447434E-5"/>
                  <c:y val="0.47325019620645431"/>
                </c:manualLayout>
              </c:layout>
              <c:showSerName val="1"/>
            </c:dLbl>
            <c:dLbl>
              <c:idx val="17"/>
              <c:layout>
                <c:manualLayout>
                  <c:x val="9.6857825372529446E-4"/>
                  <c:y val="0.17923130963493344"/>
                </c:manualLayout>
              </c:layout>
              <c:showSerName val="1"/>
            </c:dLbl>
            <c:dLbl>
              <c:idx val="18"/>
              <c:layout>
                <c:manualLayout>
                  <c:x val="0"/>
                  <c:y val="0.55744808387508704"/>
                </c:manualLayout>
              </c:layout>
              <c:showSerName val="1"/>
            </c:dLbl>
            <c:dLbl>
              <c:idx val="19"/>
              <c:layout>
                <c:manualLayout>
                  <c:x val="0"/>
                  <c:y val="0.23643946496507678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10'!$F$18:$Y$18</c:f>
              <c:numCache>
                <c:formatCode>0.0%</c:formatCode>
                <c:ptCount val="20"/>
                <c:pt idx="0">
                  <c:v>1.0086363636363636</c:v>
                </c:pt>
                <c:pt idx="1">
                  <c:v>0.6142727272727273</c:v>
                </c:pt>
                <c:pt idx="2">
                  <c:v>1.054090909090909</c:v>
                </c:pt>
                <c:pt idx="3">
                  <c:v>0.65227272727272734</c:v>
                </c:pt>
                <c:pt idx="4">
                  <c:v>1.0053636363636362</c:v>
                </c:pt>
                <c:pt idx="5">
                  <c:v>1.1183636363636362</c:v>
                </c:pt>
                <c:pt idx="6">
                  <c:v>0.80472727272727262</c:v>
                </c:pt>
                <c:pt idx="7">
                  <c:v>0.70654545454545459</c:v>
                </c:pt>
                <c:pt idx="8">
                  <c:v>0.7445454545454544</c:v>
                </c:pt>
                <c:pt idx="9">
                  <c:v>2.8269090909090906</c:v>
                </c:pt>
                <c:pt idx="10">
                  <c:v>1.5776363636363635</c:v>
                </c:pt>
                <c:pt idx="11">
                  <c:v>1.4077272727272727</c:v>
                </c:pt>
                <c:pt idx="12">
                  <c:v>1.2359090909090908</c:v>
                </c:pt>
                <c:pt idx="13">
                  <c:v>2.7089090909090903</c:v>
                </c:pt>
                <c:pt idx="14">
                  <c:v>2.1896363636363638</c:v>
                </c:pt>
                <c:pt idx="15">
                  <c:v>0.44154545454545457</c:v>
                </c:pt>
                <c:pt idx="16">
                  <c:v>1.8971818181818181</c:v>
                </c:pt>
                <c:pt idx="17">
                  <c:v>0.66709090909090907</c:v>
                </c:pt>
                <c:pt idx="18">
                  <c:v>2.2189999999999994</c:v>
                </c:pt>
                <c:pt idx="19">
                  <c:v>0.90681818181818175</c:v>
                </c:pt>
              </c:numCache>
            </c:numRef>
          </c:val>
        </c:ser>
        <c:ser>
          <c:idx val="4"/>
          <c:order val="4"/>
          <c:tx>
            <c:strRef>
              <c:f>'Mar 10'!$B$19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DD0806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2.1294993701190699E-3"/>
                  <c:y val="0.18927584558525512"/>
                </c:manualLayout>
              </c:layout>
              <c:showSerName val="1"/>
            </c:dLbl>
            <c:dLbl>
              <c:idx val="1"/>
              <c:layout>
                <c:manualLayout>
                  <c:x val="1.9219033066041321E-4"/>
                  <c:y val="0.15848634922030519"/>
                </c:manualLayout>
              </c:layout>
              <c:showSerName val="1"/>
            </c:dLbl>
            <c:dLbl>
              <c:idx val="2"/>
              <c:layout>
                <c:manualLayout>
                  <c:x val="1.0909089245107707E-3"/>
                  <c:y val="0.17321057770541401"/>
                </c:manualLayout>
              </c:layout>
              <c:showSerName val="1"/>
            </c:dLbl>
            <c:dLbl>
              <c:idx val="3"/>
              <c:layout>
                <c:manualLayout>
                  <c:x val="2.0880106638177806E-3"/>
                  <c:y val="0.23752080085610724"/>
                </c:manualLayout>
              </c:layout>
              <c:showSerName val="1"/>
            </c:dLbl>
            <c:dLbl>
              <c:idx val="4"/>
              <c:layout>
                <c:manualLayout>
                  <c:x val="3.9660610179895212E-3"/>
                  <c:y val="0.29617881500677917"/>
                </c:manualLayout>
              </c:layout>
              <c:showSerName val="1"/>
            </c:dLbl>
            <c:dLbl>
              <c:idx val="5"/>
              <c:layout>
                <c:manualLayout>
                  <c:x val="3.1702252638460852E-3"/>
                  <c:y val="0.28252540624970196"/>
                </c:manualLayout>
              </c:layout>
              <c:showSerName val="1"/>
            </c:dLbl>
            <c:dLbl>
              <c:idx val="6"/>
              <c:layout>
                <c:manualLayout>
                  <c:x val="1.1580230082333341E-3"/>
                  <c:y val="0.19014137152255101"/>
                </c:manualLayout>
              </c:layout>
              <c:showSerName val="1"/>
            </c:dLbl>
            <c:dLbl>
              <c:idx val="7"/>
              <c:layout>
                <c:manualLayout>
                  <c:x val="1.1179833560123005E-3"/>
                  <c:y val="0.2346519458673795"/>
                </c:manualLayout>
              </c:layout>
              <c:showSerName val="1"/>
            </c:dLbl>
            <c:dLbl>
              <c:idx val="8"/>
              <c:layout>
                <c:manualLayout>
                  <c:x val="2.0383614950638313E-3"/>
                  <c:y val="0.22382006936552587"/>
                </c:manualLayout>
              </c:layout>
              <c:showSerName val="1"/>
            </c:dLbl>
            <c:dLbl>
              <c:idx val="9"/>
              <c:layout>
                <c:manualLayout>
                  <c:x val="2.0186848659726692E-3"/>
                  <c:y val="0.33388817523777126"/>
                </c:manualLayout>
              </c:layout>
              <c:showSerName val="1"/>
            </c:dLbl>
            <c:dLbl>
              <c:idx val="10"/>
              <c:layout>
                <c:manualLayout>
                  <c:x val="3.1505486347546308E-3"/>
                  <c:y val="0.34749151791439808"/>
                </c:manualLayout>
              </c:layout>
              <c:showSerName val="1"/>
            </c:dLbl>
            <c:dLbl>
              <c:idx val="11"/>
              <c:layout>
                <c:manualLayout>
                  <c:x val="2.1370497045378805E-3"/>
                  <c:y val="0.261170051156561"/>
                </c:manualLayout>
              </c:layout>
              <c:showSerName val="1"/>
            </c:dLbl>
            <c:dLbl>
              <c:idx val="12"/>
              <c:layout>
                <c:manualLayout>
                  <c:x val="2.9895510998245011E-3"/>
                  <c:y val="0.14412035611385687"/>
                </c:manualLayout>
              </c:layout>
              <c:showSerName val="1"/>
            </c:dLbl>
            <c:dLbl>
              <c:idx val="13"/>
              <c:layout>
                <c:manualLayout>
                  <c:x val="2.0999844264819652E-3"/>
                  <c:y val="0.40682919625197572"/>
                </c:manualLayout>
              </c:layout>
              <c:showSerName val="1"/>
            </c:dLbl>
            <c:dLbl>
              <c:idx val="14"/>
              <c:layout>
                <c:manualLayout>
                  <c:x val="1.0204694931046758E-3"/>
                  <c:y val="0.31066117174292657"/>
                </c:manualLayout>
              </c:layout>
              <c:showSerName val="1"/>
            </c:dLbl>
            <c:dLbl>
              <c:idx val="15"/>
              <c:layout>
                <c:manualLayout>
                  <c:x val="3.0048043006705412E-3"/>
                  <c:y val="0.23807655720941287"/>
                </c:manualLayout>
              </c:layout>
              <c:showSerName val="1"/>
            </c:dLbl>
            <c:dLbl>
              <c:idx val="16"/>
              <c:layout>
                <c:manualLayout>
                  <c:x val="1.0104482900475504E-3"/>
                  <c:y val="0.31646792261658602"/>
                </c:manualLayout>
              </c:layout>
              <c:showSerName val="1"/>
            </c:dLbl>
            <c:dLbl>
              <c:idx val="17"/>
              <c:layout>
                <c:manualLayout>
                  <c:x val="1.0310401111897401E-3"/>
                  <c:y val="0.191622778832061"/>
                </c:manualLayout>
              </c:layout>
              <c:showSerName val="1"/>
            </c:dLbl>
            <c:dLbl>
              <c:idx val="18"/>
              <c:layout>
                <c:manualLayout>
                  <c:x val="2.9057347611758234E-3"/>
                  <c:y val="0.43550631552744851"/>
                </c:manualLayout>
              </c:layout>
              <c:showSerName val="1"/>
            </c:dLbl>
            <c:dLbl>
              <c:idx val="19"/>
              <c:layout>
                <c:manualLayout>
                  <c:x val="2.9533247478156386E-3"/>
                  <c:y val="0.33679155067453193"/>
                </c:manualLayout>
              </c:layout>
              <c:showSerName val="1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SerName val="1"/>
          </c:dLbls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10'!$F$19:$Y$19</c:f>
              <c:numCache>
                <c:formatCode>0.0%</c:formatCode>
                <c:ptCount val="20"/>
                <c:pt idx="0">
                  <c:v>0.73402580525387551</c:v>
                </c:pt>
                <c:pt idx="1">
                  <c:v>0.5988764503852223</c:v>
                </c:pt>
                <c:pt idx="2">
                  <c:v>0.67006961849067115</c:v>
                </c:pt>
                <c:pt idx="3">
                  <c:v>0.90298895386614686</c:v>
                </c:pt>
                <c:pt idx="4">
                  <c:v>1.1608699526594262</c:v>
                </c:pt>
                <c:pt idx="5">
                  <c:v>1.1041823076209041</c:v>
                </c:pt>
                <c:pt idx="6">
                  <c:v>0.71367826974844517</c:v>
                </c:pt>
                <c:pt idx="7">
                  <c:v>0.88396138494384113</c:v>
                </c:pt>
                <c:pt idx="8">
                  <c:v>0.87014944769330738</c:v>
                </c:pt>
                <c:pt idx="9">
                  <c:v>1.3262218509236052</c:v>
                </c:pt>
                <c:pt idx="10">
                  <c:v>1.3501190012067206</c:v>
                </c:pt>
                <c:pt idx="11">
                  <c:v>1.0195934280144805</c:v>
                </c:pt>
                <c:pt idx="12">
                  <c:v>0.60811844425879513</c:v>
                </c:pt>
                <c:pt idx="13">
                  <c:v>1.6116999907175344</c:v>
                </c:pt>
                <c:pt idx="14">
                  <c:v>1.202265664160401</c:v>
                </c:pt>
                <c:pt idx="15">
                  <c:v>0.92730492898913952</c:v>
                </c:pt>
                <c:pt idx="16">
                  <c:v>1.2617963427086234</c:v>
                </c:pt>
                <c:pt idx="17">
                  <c:v>0.78676914508493456</c:v>
                </c:pt>
                <c:pt idx="18">
                  <c:v>1.715404437018472</c:v>
                </c:pt>
                <c:pt idx="19">
                  <c:v>1.3188619697391628</c:v>
                </c:pt>
              </c:numCache>
            </c:numRef>
          </c:val>
        </c:ser>
        <c:gapWidth val="75"/>
        <c:shape val="box"/>
        <c:axId val="109747584"/>
        <c:axId val="109696128"/>
        <c:axId val="0"/>
      </c:bar3DChart>
      <c:catAx>
        <c:axId val="1097475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09696128"/>
        <c:crosses val="autoZero"/>
        <c:auto val="1"/>
        <c:lblAlgn val="ctr"/>
        <c:lblOffset val="100"/>
      </c:catAx>
      <c:valAx>
        <c:axId val="1096961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7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2.3537811335999997E-2"/>
          <c:y val="0.13541694217314523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'!$F$36:$Y$36</c:f>
              <c:numCache>
                <c:formatCode>0</c:formatCode>
                <c:ptCount val="20"/>
                <c:pt idx="0">
                  <c:v>340406</c:v>
                </c:pt>
                <c:pt idx="1">
                  <c:v>400647</c:v>
                </c:pt>
                <c:pt idx="2">
                  <c:v>432328</c:v>
                </c:pt>
                <c:pt idx="3">
                  <c:v>481270</c:v>
                </c:pt>
                <c:pt idx="4">
                  <c:v>521864</c:v>
                </c:pt>
                <c:pt idx="5">
                  <c:v>583600</c:v>
                </c:pt>
                <c:pt idx="6">
                  <c:v>601470</c:v>
                </c:pt>
                <c:pt idx="7">
                  <c:v>662426</c:v>
                </c:pt>
                <c:pt idx="8">
                  <c:v>715587</c:v>
                </c:pt>
                <c:pt idx="9">
                  <c:v>747389</c:v>
                </c:pt>
                <c:pt idx="10">
                  <c:v>769804</c:v>
                </c:pt>
                <c:pt idx="11">
                  <c:v>830967</c:v>
                </c:pt>
                <c:pt idx="12">
                  <c:v>880155</c:v>
                </c:pt>
                <c:pt idx="13">
                  <c:v>940164</c:v>
                </c:pt>
                <c:pt idx="14">
                  <c:v>1043941</c:v>
                </c:pt>
                <c:pt idx="15">
                  <c:v>1087584</c:v>
                </c:pt>
                <c:pt idx="16">
                  <c:v>1128748</c:v>
                </c:pt>
                <c:pt idx="17">
                  <c:v>1197762</c:v>
                </c:pt>
                <c:pt idx="18">
                  <c:v>1292170</c:v>
                </c:pt>
                <c:pt idx="19">
                  <c:v>1378550</c:v>
                </c:pt>
              </c:numCache>
            </c:numRef>
          </c:val>
        </c:ser>
        <c:ser>
          <c:idx val="0"/>
          <c:order val="1"/>
          <c:tx>
            <c:strRef>
              <c:f>'Month - Mar 2012  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Mar 2012  '!$F$62:$Y$62</c:f>
              <c:numCache>
                <c:formatCode>0</c:formatCode>
                <c:ptCount val="20"/>
                <c:pt idx="0">
                  <c:v>75750</c:v>
                </c:pt>
                <c:pt idx="1">
                  <c:v>151500</c:v>
                </c:pt>
                <c:pt idx="2">
                  <c:v>227250</c:v>
                </c:pt>
                <c:pt idx="3">
                  <c:v>303000</c:v>
                </c:pt>
                <c:pt idx="4">
                  <c:v>378750</c:v>
                </c:pt>
                <c:pt idx="5">
                  <c:v>454500</c:v>
                </c:pt>
                <c:pt idx="6">
                  <c:v>530250</c:v>
                </c:pt>
                <c:pt idx="7">
                  <c:v>606000</c:v>
                </c:pt>
                <c:pt idx="8">
                  <c:v>681750</c:v>
                </c:pt>
                <c:pt idx="9">
                  <c:v>757500</c:v>
                </c:pt>
                <c:pt idx="10">
                  <c:v>833250</c:v>
                </c:pt>
                <c:pt idx="11">
                  <c:v>909000</c:v>
                </c:pt>
                <c:pt idx="12">
                  <c:v>984750</c:v>
                </c:pt>
                <c:pt idx="13">
                  <c:v>1060500</c:v>
                </c:pt>
                <c:pt idx="14">
                  <c:v>1136250</c:v>
                </c:pt>
                <c:pt idx="15">
                  <c:v>1212000</c:v>
                </c:pt>
                <c:pt idx="16">
                  <c:v>1287750</c:v>
                </c:pt>
                <c:pt idx="17">
                  <c:v>1363500</c:v>
                </c:pt>
                <c:pt idx="18">
                  <c:v>1439250</c:v>
                </c:pt>
                <c:pt idx="19">
                  <c:v>1515000</c:v>
                </c:pt>
              </c:numCache>
            </c:numRef>
          </c:val>
        </c:ser>
        <c:marker val="1"/>
        <c:axId val="137796608"/>
        <c:axId val="137802496"/>
      </c:lineChart>
      <c:catAx>
        <c:axId val="1377966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802496"/>
        <c:crosses val="autoZero"/>
        <c:auto val="1"/>
        <c:lblAlgn val="ctr"/>
        <c:lblOffset val="100"/>
      </c:catAx>
      <c:valAx>
        <c:axId val="1378024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796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010000711395496"/>
          <c:y val="0.9062517497812568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Mar 2012  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'!$F$41:$Y$41</c:f>
              <c:numCache>
                <c:formatCode>0.0%</c:formatCode>
                <c:ptCount val="20"/>
                <c:pt idx="0">
                  <c:v>5.5082105263157892</c:v>
                </c:pt>
                <c:pt idx="1">
                  <c:v>3.2787105263157894</c:v>
                </c:pt>
                <c:pt idx="2">
                  <c:v>2.2615964912280702</c:v>
                </c:pt>
                <c:pt idx="3">
                  <c:v>1.8886842105263157</c:v>
                </c:pt>
                <c:pt idx="4">
                  <c:v>1.6074736842105264</c:v>
                </c:pt>
                <c:pt idx="5">
                  <c:v>1.4863157894736843</c:v>
                </c:pt>
                <c:pt idx="6">
                  <c:v>1.3631954887218045</c:v>
                </c:pt>
                <c:pt idx="7">
                  <c:v>1.3038355263157895</c:v>
                </c:pt>
                <c:pt idx="8">
                  <c:v>1.2570350877192984</c:v>
                </c:pt>
                <c:pt idx="9">
                  <c:v>1.1398578947368421</c:v>
                </c:pt>
                <c:pt idx="10">
                  <c:v>1.0439856459330144</c:v>
                </c:pt>
                <c:pt idx="11">
                  <c:v>1.0296184210526316</c:v>
                </c:pt>
                <c:pt idx="12">
                  <c:v>1.0393157894736842</c:v>
                </c:pt>
                <c:pt idx="13">
                  <c:v>1.0388571428571427</c:v>
                </c:pt>
                <c:pt idx="14">
                  <c:v>1.0808315789473684</c:v>
                </c:pt>
                <c:pt idx="15">
                  <c:v>1.0774375</c:v>
                </c:pt>
                <c:pt idx="16">
                  <c:v>1.0491362229102168</c:v>
                </c:pt>
                <c:pt idx="17">
                  <c:v>1.0718304093567252</c:v>
                </c:pt>
                <c:pt idx="18">
                  <c:v>1.0808144044321331</c:v>
                </c:pt>
                <c:pt idx="19">
                  <c:v>1.0962105263157895</c:v>
                </c:pt>
              </c:numCache>
            </c:numRef>
          </c:val>
        </c:ser>
        <c:ser>
          <c:idx val="6"/>
          <c:order val="1"/>
          <c:tx>
            <c:strRef>
              <c:f>'Month - Mar 2012  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'!$F$42:$Y$42</c:f>
              <c:numCache>
                <c:formatCode>0.0%</c:formatCode>
                <c:ptCount val="20"/>
                <c:pt idx="0">
                  <c:v>3.7062068965517243</c:v>
                </c:pt>
                <c:pt idx="1">
                  <c:v>2.3355172413793102</c:v>
                </c:pt>
                <c:pt idx="2">
                  <c:v>1.8048275862068965</c:v>
                </c:pt>
                <c:pt idx="3">
                  <c:v>1.3536206896551723</c:v>
                </c:pt>
                <c:pt idx="4">
                  <c:v>1.082896551724138</c:v>
                </c:pt>
                <c:pt idx="5">
                  <c:v>1.0126436781609196</c:v>
                </c:pt>
                <c:pt idx="6">
                  <c:v>0.92108374384236458</c:v>
                </c:pt>
                <c:pt idx="7">
                  <c:v>0.80594827586206896</c:v>
                </c:pt>
                <c:pt idx="8">
                  <c:v>0.78988505747126447</c:v>
                </c:pt>
                <c:pt idx="9">
                  <c:v>0.73158620689655174</c:v>
                </c:pt>
                <c:pt idx="10">
                  <c:v>0.69887147335423205</c:v>
                </c:pt>
                <c:pt idx="11">
                  <c:v>0.67160919540229891</c:v>
                </c:pt>
                <c:pt idx="12">
                  <c:v>0.61994694960212193</c:v>
                </c:pt>
                <c:pt idx="13">
                  <c:v>0.64458128078817734</c:v>
                </c:pt>
                <c:pt idx="14">
                  <c:v>0.64570114942528734</c:v>
                </c:pt>
                <c:pt idx="15">
                  <c:v>0.60534482758620689</c:v>
                </c:pt>
                <c:pt idx="16">
                  <c:v>0.59160243407707913</c:v>
                </c:pt>
                <c:pt idx="17">
                  <c:v>0.54264367816091952</c:v>
                </c:pt>
                <c:pt idx="18">
                  <c:v>0.53364791288566249</c:v>
                </c:pt>
                <c:pt idx="19">
                  <c:v>0.69927586206896553</c:v>
                </c:pt>
              </c:numCache>
            </c:numRef>
          </c:val>
        </c:ser>
        <c:ser>
          <c:idx val="1"/>
          <c:order val="2"/>
          <c:tx>
            <c:strRef>
              <c:f>'Month - Mar 2012  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'!$F$43:$Y$43</c:f>
              <c:numCache>
                <c:formatCode>0.0%</c:formatCode>
                <c:ptCount val="20"/>
                <c:pt idx="0">
                  <c:v>2.346896551724138</c:v>
                </c:pt>
                <c:pt idx="1">
                  <c:v>1.5662068965517242</c:v>
                </c:pt>
                <c:pt idx="2">
                  <c:v>1.1680459770114944</c:v>
                </c:pt>
                <c:pt idx="3">
                  <c:v>0.96896551724137936</c:v>
                </c:pt>
                <c:pt idx="4">
                  <c:v>1.0383448275862068</c:v>
                </c:pt>
                <c:pt idx="5">
                  <c:v>1.0144827586206897</c:v>
                </c:pt>
                <c:pt idx="6">
                  <c:v>0.81645320197044335</c:v>
                </c:pt>
                <c:pt idx="7">
                  <c:v>0.71439655172413796</c:v>
                </c:pt>
                <c:pt idx="8">
                  <c:v>0.67632183908045973</c:v>
                </c:pt>
                <c:pt idx="9">
                  <c:v>0.74586206896551721</c:v>
                </c:pt>
                <c:pt idx="10">
                  <c:v>0.74394984326018809</c:v>
                </c:pt>
                <c:pt idx="11">
                  <c:v>0.76528735632183897</c:v>
                </c:pt>
                <c:pt idx="12">
                  <c:v>0.77527851458885932</c:v>
                </c:pt>
                <c:pt idx="13">
                  <c:v>0.7622167487684729</c:v>
                </c:pt>
                <c:pt idx="14">
                  <c:v>0.78758620689655168</c:v>
                </c:pt>
                <c:pt idx="15">
                  <c:v>0.73836206896551726</c:v>
                </c:pt>
                <c:pt idx="16">
                  <c:v>0.6949290060851927</c:v>
                </c:pt>
                <c:pt idx="17">
                  <c:v>0.7</c:v>
                </c:pt>
                <c:pt idx="18">
                  <c:v>0.75219600725952818</c:v>
                </c:pt>
                <c:pt idx="19">
                  <c:v>0.78010344827586209</c:v>
                </c:pt>
              </c:numCache>
            </c:numRef>
          </c:val>
        </c:ser>
        <c:ser>
          <c:idx val="7"/>
          <c:order val="3"/>
          <c:tx>
            <c:strRef>
              <c:f>'Month - Mar 2012  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'!$F$44:$Y$44</c:f>
              <c:numCache>
                <c:formatCode>0.0%</c:formatCode>
                <c:ptCount val="20"/>
                <c:pt idx="0">
                  <c:v>4.4290849673202617</c:v>
                </c:pt>
                <c:pt idx="1">
                  <c:v>2.4102941176470587</c:v>
                </c:pt>
                <c:pt idx="2">
                  <c:v>1.7375816993464053</c:v>
                </c:pt>
                <c:pt idx="3">
                  <c:v>1.523611111111111</c:v>
                </c:pt>
                <c:pt idx="4">
                  <c:v>1.3233333333333333</c:v>
                </c:pt>
                <c:pt idx="5">
                  <c:v>1.2332788671023966</c:v>
                </c:pt>
                <c:pt idx="6">
                  <c:v>1.0618580765639589</c:v>
                </c:pt>
                <c:pt idx="7">
                  <c:v>1.0678921568627451</c:v>
                </c:pt>
                <c:pt idx="8">
                  <c:v>1.0351851851851852</c:v>
                </c:pt>
                <c:pt idx="9">
                  <c:v>1.0069607843137256</c:v>
                </c:pt>
                <c:pt idx="10">
                  <c:v>0.95698158051099236</c:v>
                </c:pt>
                <c:pt idx="11">
                  <c:v>0.95340413943355129</c:v>
                </c:pt>
                <c:pt idx="12">
                  <c:v>0.9076923076923078</c:v>
                </c:pt>
                <c:pt idx="13">
                  <c:v>0.86384220354808583</c:v>
                </c:pt>
                <c:pt idx="14">
                  <c:v>0.93252723311546837</c:v>
                </c:pt>
                <c:pt idx="15">
                  <c:v>0.9046772875816993</c:v>
                </c:pt>
                <c:pt idx="16">
                  <c:v>0.91253364090734335</c:v>
                </c:pt>
                <c:pt idx="17">
                  <c:v>0.94186637618010172</c:v>
                </c:pt>
                <c:pt idx="18">
                  <c:v>0.97702098383212932</c:v>
                </c:pt>
                <c:pt idx="19">
                  <c:v>0.89598039215686276</c:v>
                </c:pt>
              </c:numCache>
            </c:numRef>
          </c:val>
        </c:ser>
        <c:ser>
          <c:idx val="2"/>
          <c:order val="4"/>
          <c:tx>
            <c:strRef>
              <c:f>'Month - Mar 2012  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'!$F$45:$Y$45</c:f>
              <c:numCache>
                <c:formatCode>0.0%</c:formatCode>
                <c:ptCount val="20"/>
                <c:pt idx="0">
                  <c:v>3.1418055555555555</c:v>
                </c:pt>
                <c:pt idx="1">
                  <c:v>1.747638888888889</c:v>
                </c:pt>
                <c:pt idx="2">
                  <c:v>1.30375</c:v>
                </c:pt>
                <c:pt idx="3">
                  <c:v>1.3765972222222222</c:v>
                </c:pt>
                <c:pt idx="4">
                  <c:v>1.2053055555555556</c:v>
                </c:pt>
                <c:pt idx="5">
                  <c:v>1.1691435185185186</c:v>
                </c:pt>
                <c:pt idx="6">
                  <c:v>1.1111507936507936</c:v>
                </c:pt>
                <c:pt idx="7">
                  <c:v>1.1282465277777778</c:v>
                </c:pt>
                <c:pt idx="8">
                  <c:v>1.1107561728395061</c:v>
                </c:pt>
                <c:pt idx="9">
                  <c:v>0.99968055555555557</c:v>
                </c:pt>
                <c:pt idx="10">
                  <c:v>0.93089646464646469</c:v>
                </c:pt>
                <c:pt idx="11">
                  <c:v>0.85332175925925935</c:v>
                </c:pt>
                <c:pt idx="12">
                  <c:v>0.80637820512820513</c:v>
                </c:pt>
                <c:pt idx="13">
                  <c:v>0.77849206349206346</c:v>
                </c:pt>
                <c:pt idx="14">
                  <c:v>0.75432407407407398</c:v>
                </c:pt>
                <c:pt idx="15">
                  <c:v>0.75835937499999995</c:v>
                </c:pt>
                <c:pt idx="16">
                  <c:v>0.71375</c:v>
                </c:pt>
                <c:pt idx="17">
                  <c:v>0.73960648148148156</c:v>
                </c:pt>
                <c:pt idx="18">
                  <c:v>0.76789473684210519</c:v>
                </c:pt>
                <c:pt idx="19">
                  <c:v>0.87203472222222222</c:v>
                </c:pt>
              </c:numCache>
            </c:numRef>
          </c:val>
        </c:ser>
        <c:ser>
          <c:idx val="5"/>
          <c:order val="5"/>
          <c:tx>
            <c:strRef>
              <c:f>'Month - Mar 2012  '!$B$46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'!$F$46:$Y$46</c:f>
              <c:numCache>
                <c:formatCode>0.0%</c:formatCode>
                <c:ptCount val="20"/>
                <c:pt idx="0">
                  <c:v>1.7005555555555556</c:v>
                </c:pt>
                <c:pt idx="1">
                  <c:v>1.0628472222222223</c:v>
                </c:pt>
                <c:pt idx="2">
                  <c:v>1.0493981481481482</c:v>
                </c:pt>
                <c:pt idx="3">
                  <c:v>0.78635416666666669</c:v>
                </c:pt>
                <c:pt idx="4">
                  <c:v>0.62908333333333333</c:v>
                </c:pt>
                <c:pt idx="5">
                  <c:v>0.52423611111111112</c:v>
                </c:pt>
                <c:pt idx="6">
                  <c:v>0.44934523809523808</c:v>
                </c:pt>
                <c:pt idx="7">
                  <c:v>0.42895833333333333</c:v>
                </c:pt>
                <c:pt idx="8">
                  <c:v>0.47381172839506175</c:v>
                </c:pt>
                <c:pt idx="9">
                  <c:v>0.42643055555555553</c:v>
                </c:pt>
                <c:pt idx="10">
                  <c:v>0.38766414141414141</c:v>
                </c:pt>
                <c:pt idx="11">
                  <c:v>0.40259259259259256</c:v>
                </c:pt>
                <c:pt idx="12">
                  <c:v>0.39342948717948717</c:v>
                </c:pt>
                <c:pt idx="13">
                  <c:v>0.36532738095238093</c:v>
                </c:pt>
                <c:pt idx="14">
                  <c:v>0.39652777777777776</c:v>
                </c:pt>
                <c:pt idx="15">
                  <c:v>0.37174479166666669</c:v>
                </c:pt>
                <c:pt idx="16">
                  <c:v>0.34987745098039214</c:v>
                </c:pt>
                <c:pt idx="17">
                  <c:v>0.34225308641975311</c:v>
                </c:pt>
                <c:pt idx="18">
                  <c:v>0.32423976608187133</c:v>
                </c:pt>
                <c:pt idx="19">
                  <c:v>0.30802777777777779</c:v>
                </c:pt>
              </c:numCache>
            </c:numRef>
          </c:val>
        </c:ser>
        <c:ser>
          <c:idx val="3"/>
          <c:order val="6"/>
          <c:tx>
            <c:strRef>
              <c:f>'Month - Mar 2012  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'!$F$47:$Y$47</c:f>
              <c:numCache>
                <c:formatCode>0.0%</c:formatCode>
                <c:ptCount val="20"/>
                <c:pt idx="0">
                  <c:v>5.4913846153846153</c:v>
                </c:pt>
                <c:pt idx="1">
                  <c:v>3.2386153846153847</c:v>
                </c:pt>
                <c:pt idx="2">
                  <c:v>2.2189538461538461</c:v>
                </c:pt>
                <c:pt idx="3">
                  <c:v>1.7667230769230768</c:v>
                </c:pt>
                <c:pt idx="4">
                  <c:v>1.5382892307692309</c:v>
                </c:pt>
                <c:pt idx="5">
                  <c:v>1.4319076923076923</c:v>
                </c:pt>
                <c:pt idx="6">
                  <c:v>1.2273494505494507</c:v>
                </c:pt>
                <c:pt idx="7">
                  <c:v>1.1973692307692307</c:v>
                </c:pt>
                <c:pt idx="8">
                  <c:v>1.0922324786324786</c:v>
                </c:pt>
                <c:pt idx="9">
                  <c:v>1.0274215384615384</c:v>
                </c:pt>
                <c:pt idx="10">
                  <c:v>0.95695664335664321</c:v>
                </c:pt>
                <c:pt idx="11">
                  <c:v>0.96229743589743599</c:v>
                </c:pt>
                <c:pt idx="12">
                  <c:v>0.94249467455621305</c:v>
                </c:pt>
                <c:pt idx="13">
                  <c:v>0.97013626373626383</c:v>
                </c:pt>
                <c:pt idx="14">
                  <c:v>0.99170051282051286</c:v>
                </c:pt>
                <c:pt idx="15">
                  <c:v>0.97123076923076923</c:v>
                </c:pt>
                <c:pt idx="16">
                  <c:v>0.95483800904977367</c:v>
                </c:pt>
                <c:pt idx="17">
                  <c:v>0.92113504273504265</c:v>
                </c:pt>
                <c:pt idx="18">
                  <c:v>0.94395789473684222</c:v>
                </c:pt>
                <c:pt idx="19">
                  <c:v>0.93347999999999998</c:v>
                </c:pt>
              </c:numCache>
            </c:numRef>
          </c:val>
        </c:ser>
        <c:ser>
          <c:idx val="4"/>
          <c:order val="7"/>
          <c:tx>
            <c:strRef>
              <c:f>'Month - Mar 2012  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Mar 2012 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Mar 2012  '!$F$48:$Y$48</c:f>
              <c:numCache>
                <c:formatCode>0.0%</c:formatCode>
                <c:ptCount val="20"/>
                <c:pt idx="0">
                  <c:v>4.4938085808580857</c:v>
                </c:pt>
                <c:pt idx="1">
                  <c:v>2.6445346534653464</c:v>
                </c:pt>
                <c:pt idx="2">
                  <c:v>1.9024334433443346</c:v>
                </c:pt>
                <c:pt idx="3">
                  <c:v>1.5883498349834984</c:v>
                </c:pt>
                <c:pt idx="4">
                  <c:v>1.3778587458745875</c:v>
                </c:pt>
                <c:pt idx="5">
                  <c:v>1.2840484048404841</c:v>
                </c:pt>
                <c:pt idx="6">
                  <c:v>1.1343140028288545</c:v>
                </c:pt>
                <c:pt idx="7">
                  <c:v>1.093112211221122</c:v>
                </c:pt>
                <c:pt idx="8">
                  <c:v>1.0496325632563257</c:v>
                </c:pt>
                <c:pt idx="9">
                  <c:v>0.98665214521452149</c:v>
                </c:pt>
                <c:pt idx="10">
                  <c:v>0.92385718571857178</c:v>
                </c:pt>
                <c:pt idx="11">
                  <c:v>0.91415511551155126</c:v>
                </c:pt>
                <c:pt idx="12">
                  <c:v>0.89378522467631383</c:v>
                </c:pt>
                <c:pt idx="13">
                  <c:v>0.8865289957567184</c:v>
                </c:pt>
                <c:pt idx="14">
                  <c:v>0.91875995599559945</c:v>
                </c:pt>
                <c:pt idx="15">
                  <c:v>0.89734653465346537</c:v>
                </c:pt>
                <c:pt idx="16">
                  <c:v>0.87652727625703752</c:v>
                </c:pt>
                <c:pt idx="17">
                  <c:v>0.87844664466446654</c:v>
                </c:pt>
                <c:pt idx="18">
                  <c:v>0.89780788605176309</c:v>
                </c:pt>
                <c:pt idx="19">
                  <c:v>0.90993399339933989</c:v>
                </c:pt>
              </c:numCache>
            </c:numRef>
          </c:val>
        </c:ser>
        <c:marker val="1"/>
        <c:axId val="137996160"/>
        <c:axId val="137997696"/>
      </c:lineChart>
      <c:catAx>
        <c:axId val="1379961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997696"/>
        <c:crosses val="autoZero"/>
        <c:auto val="1"/>
        <c:lblAlgn val="ctr"/>
        <c:lblOffset val="100"/>
      </c:catAx>
      <c:valAx>
        <c:axId val="13799769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99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Apr 2012 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'!$F$52,'Month - Apr 2012 '!$G$52:$Y$52)</c:f>
              <c:numCache>
                <c:formatCode>0</c:formatCode>
                <c:ptCount val="20"/>
                <c:pt idx="0">
                  <c:v>366900</c:v>
                </c:pt>
                <c:pt idx="1">
                  <c:v>286550</c:v>
                </c:pt>
                <c:pt idx="2">
                  <c:v>273733.33333333331</c:v>
                </c:pt>
                <c:pt idx="3">
                  <c:v>270000</c:v>
                </c:pt>
                <c:pt idx="4">
                  <c:v>287280</c:v>
                </c:pt>
                <c:pt idx="5">
                  <c:v>239400</c:v>
                </c:pt>
                <c:pt idx="6">
                  <c:v>203914.28571428574</c:v>
                </c:pt>
                <c:pt idx="7">
                  <c:v>234525</c:v>
                </c:pt>
                <c:pt idx="8">
                  <c:v>230895.55555555556</c:v>
                </c:pt>
                <c:pt idx="9">
                  <c:v>225076</c:v>
                </c:pt>
                <c:pt idx="10">
                  <c:v>226732.72727272729</c:v>
                </c:pt>
                <c:pt idx="11">
                  <c:v>243860</c:v>
                </c:pt>
                <c:pt idx="12">
                  <c:v>252947.69230769231</c:v>
                </c:pt>
                <c:pt idx="13">
                  <c:v>260387.14285714287</c:v>
                </c:pt>
                <c:pt idx="14">
                  <c:v>278348</c:v>
                </c:pt>
                <c:pt idx="15">
                  <c:v>272413.75</c:v>
                </c:pt>
                <c:pt idx="16">
                  <c:v>280136.4705882353</c:v>
                </c:pt>
                <c:pt idx="17">
                  <c:v>264573.33333333331</c:v>
                </c:pt>
                <c:pt idx="18">
                  <c:v>271285.26315789472</c:v>
                </c:pt>
                <c:pt idx="19">
                  <c:v>283066</c:v>
                </c:pt>
              </c:numCache>
            </c:numRef>
          </c:val>
        </c:ser>
        <c:ser>
          <c:idx val="1"/>
          <c:order val="1"/>
          <c:tx>
            <c:strRef>
              <c:f>'Month - Apr 2012 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'!$F$53,'Month - Apr 2012 '!$G$53:$Y$53)</c:f>
              <c:numCache>
                <c:formatCode>0</c:formatCode>
                <c:ptCount val="20"/>
                <c:pt idx="0">
                  <c:v>149800</c:v>
                </c:pt>
                <c:pt idx="1">
                  <c:v>170800</c:v>
                </c:pt>
                <c:pt idx="2">
                  <c:v>166500</c:v>
                </c:pt>
                <c:pt idx="3">
                  <c:v>148850</c:v>
                </c:pt>
                <c:pt idx="4">
                  <c:v>119080</c:v>
                </c:pt>
                <c:pt idx="5">
                  <c:v>99233.333333333343</c:v>
                </c:pt>
                <c:pt idx="6">
                  <c:v>92757.14285714287</c:v>
                </c:pt>
                <c:pt idx="7">
                  <c:v>98650</c:v>
                </c:pt>
                <c:pt idx="8">
                  <c:v>126088.88888888889</c:v>
                </c:pt>
                <c:pt idx="9">
                  <c:v>160850</c:v>
                </c:pt>
                <c:pt idx="10">
                  <c:v>152227.27272727271</c:v>
                </c:pt>
                <c:pt idx="11">
                  <c:v>139541.66666666666</c:v>
                </c:pt>
                <c:pt idx="12">
                  <c:v>140330.76923076925</c:v>
                </c:pt>
                <c:pt idx="13">
                  <c:v>137157.14285714287</c:v>
                </c:pt>
                <c:pt idx="14">
                  <c:v>138673.33333333334</c:v>
                </c:pt>
                <c:pt idx="15">
                  <c:v>134375</c:v>
                </c:pt>
                <c:pt idx="16">
                  <c:v>126470.58823529413</c:v>
                </c:pt>
                <c:pt idx="17">
                  <c:v>124655.55555555555</c:v>
                </c:pt>
                <c:pt idx="18">
                  <c:v>112421.05263157895</c:v>
                </c:pt>
                <c:pt idx="19">
                  <c:v>117985</c:v>
                </c:pt>
              </c:numCache>
            </c:numRef>
          </c:val>
        </c:ser>
        <c:ser>
          <c:idx val="2"/>
          <c:order val="2"/>
          <c:tx>
            <c:strRef>
              <c:f>'Month - Apr 2012 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'!$F$54,'Month - Apr 2012 '!$G$54:$Y$54)</c:f>
              <c:numCache>
                <c:formatCode>0</c:formatCode>
                <c:ptCount val="20"/>
                <c:pt idx="0">
                  <c:v>65000</c:v>
                </c:pt>
                <c:pt idx="1">
                  <c:v>52500</c:v>
                </c:pt>
                <c:pt idx="2">
                  <c:v>52966.666666666672</c:v>
                </c:pt>
                <c:pt idx="3">
                  <c:v>23475</c:v>
                </c:pt>
                <c:pt idx="4">
                  <c:v>18780</c:v>
                </c:pt>
                <c:pt idx="5">
                  <c:v>15650</c:v>
                </c:pt>
                <c:pt idx="6">
                  <c:v>21114.285714285717</c:v>
                </c:pt>
                <c:pt idx="7">
                  <c:v>33750</c:v>
                </c:pt>
                <c:pt idx="8">
                  <c:v>40422.222222222219</c:v>
                </c:pt>
                <c:pt idx="9">
                  <c:v>53260</c:v>
                </c:pt>
                <c:pt idx="10">
                  <c:v>48418.181818181823</c:v>
                </c:pt>
                <c:pt idx="11">
                  <c:v>52375</c:v>
                </c:pt>
                <c:pt idx="12">
                  <c:v>61553.846153846156</c:v>
                </c:pt>
                <c:pt idx="13">
                  <c:v>67857.142857142855</c:v>
                </c:pt>
                <c:pt idx="14">
                  <c:v>80520</c:v>
                </c:pt>
                <c:pt idx="15">
                  <c:v>75487.5</c:v>
                </c:pt>
                <c:pt idx="16">
                  <c:v>71047.058823529413</c:v>
                </c:pt>
                <c:pt idx="17">
                  <c:v>79422.222222222219</c:v>
                </c:pt>
                <c:pt idx="18">
                  <c:v>75242.105263157893</c:v>
                </c:pt>
                <c:pt idx="19">
                  <c:v>71480</c:v>
                </c:pt>
              </c:numCache>
            </c:numRef>
          </c:val>
        </c:ser>
        <c:ser>
          <c:idx val="3"/>
          <c:order val="3"/>
          <c:tx>
            <c:strRef>
              <c:f>'Month - Apr 2012 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'!$F$55,'Month - Apr 2012 '!$G$55:$Y$55)</c:f>
              <c:numCache>
                <c:formatCode>0</c:formatCode>
                <c:ptCount val="20"/>
                <c:pt idx="0">
                  <c:v>459500</c:v>
                </c:pt>
                <c:pt idx="1">
                  <c:v>274750</c:v>
                </c:pt>
                <c:pt idx="2">
                  <c:v>223133.33333333331</c:v>
                </c:pt>
                <c:pt idx="3">
                  <c:v>229825</c:v>
                </c:pt>
                <c:pt idx="4">
                  <c:v>215840</c:v>
                </c:pt>
                <c:pt idx="5">
                  <c:v>226483.33333333331</c:v>
                </c:pt>
                <c:pt idx="6">
                  <c:v>209828.57142857142</c:v>
                </c:pt>
                <c:pt idx="7">
                  <c:v>218575</c:v>
                </c:pt>
                <c:pt idx="8">
                  <c:v>197622.22222222222</c:v>
                </c:pt>
                <c:pt idx="9">
                  <c:v>203830</c:v>
                </c:pt>
                <c:pt idx="10">
                  <c:v>187481.81818181821</c:v>
                </c:pt>
                <c:pt idx="11">
                  <c:v>191841.66666666669</c:v>
                </c:pt>
                <c:pt idx="12">
                  <c:v>187069.23076923078</c:v>
                </c:pt>
                <c:pt idx="13">
                  <c:v>195885.71428571426</c:v>
                </c:pt>
                <c:pt idx="14">
                  <c:v>193486.66666666669</c:v>
                </c:pt>
                <c:pt idx="15">
                  <c:v>205743.75</c:v>
                </c:pt>
                <c:pt idx="16">
                  <c:v>211929.41176470587</c:v>
                </c:pt>
                <c:pt idx="17">
                  <c:v>209588.88888888891</c:v>
                </c:pt>
                <c:pt idx="18">
                  <c:v>211710.52631578947</c:v>
                </c:pt>
                <c:pt idx="19">
                  <c:v>218160</c:v>
                </c:pt>
              </c:numCache>
            </c:numRef>
          </c:val>
        </c:ser>
        <c:ser>
          <c:idx val="4"/>
          <c:order val="4"/>
          <c:tx>
            <c:strRef>
              <c:f>'Month - Apr 2012 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'!$F$56,'Month - Apr 2012 '!$G$56:$Y$56)</c:f>
              <c:numCache>
                <c:formatCode>0</c:formatCode>
                <c:ptCount val="20"/>
                <c:pt idx="0">
                  <c:v>99800</c:v>
                </c:pt>
                <c:pt idx="1">
                  <c:v>204300</c:v>
                </c:pt>
                <c:pt idx="2">
                  <c:v>167833.33333333331</c:v>
                </c:pt>
                <c:pt idx="3">
                  <c:v>174825</c:v>
                </c:pt>
                <c:pt idx="4">
                  <c:v>139860</c:v>
                </c:pt>
                <c:pt idx="5">
                  <c:v>116550</c:v>
                </c:pt>
                <c:pt idx="6">
                  <c:v>107171.42857142857</c:v>
                </c:pt>
                <c:pt idx="7">
                  <c:v>101900</c:v>
                </c:pt>
                <c:pt idx="8">
                  <c:v>117600</c:v>
                </c:pt>
                <c:pt idx="9">
                  <c:v>105840</c:v>
                </c:pt>
                <c:pt idx="10">
                  <c:v>110290.9090909091</c:v>
                </c:pt>
                <c:pt idx="11">
                  <c:v>101100</c:v>
                </c:pt>
                <c:pt idx="12">
                  <c:v>101007.69230769231</c:v>
                </c:pt>
                <c:pt idx="13">
                  <c:v>107785.71428571429</c:v>
                </c:pt>
                <c:pt idx="14">
                  <c:v>100600</c:v>
                </c:pt>
                <c:pt idx="15">
                  <c:v>104925</c:v>
                </c:pt>
                <c:pt idx="16">
                  <c:v>106012.9411764706</c:v>
                </c:pt>
                <c:pt idx="17">
                  <c:v>106228.88888888889</c:v>
                </c:pt>
                <c:pt idx="18">
                  <c:v>100637.89473684211</c:v>
                </c:pt>
                <c:pt idx="19">
                  <c:v>97105</c:v>
                </c:pt>
              </c:numCache>
            </c:numRef>
          </c:val>
        </c:ser>
        <c:ser>
          <c:idx val="5"/>
          <c:order val="5"/>
          <c:tx>
            <c:strRef>
              <c:f>'Month - Apr 2012 '!$B$57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'!$F$57,'Month - Apr 2012 '!$G$57:$Y$57)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18306.666666666668</c:v>
                </c:pt>
                <c:pt idx="3">
                  <c:v>20405</c:v>
                </c:pt>
                <c:pt idx="4">
                  <c:v>16324</c:v>
                </c:pt>
                <c:pt idx="5">
                  <c:v>23603.333333333336</c:v>
                </c:pt>
                <c:pt idx="6">
                  <c:v>20231.428571428572</c:v>
                </c:pt>
                <c:pt idx="7">
                  <c:v>30202.5</c:v>
                </c:pt>
                <c:pt idx="8">
                  <c:v>26846.666666666664</c:v>
                </c:pt>
                <c:pt idx="9">
                  <c:v>22606</c:v>
                </c:pt>
                <c:pt idx="10">
                  <c:v>22405.454545454544</c:v>
                </c:pt>
                <c:pt idx="11">
                  <c:v>18871.666666666668</c:v>
                </c:pt>
                <c:pt idx="12">
                  <c:v>17420</c:v>
                </c:pt>
                <c:pt idx="13">
                  <c:v>16175.714285714286</c:v>
                </c:pt>
                <c:pt idx="14">
                  <c:v>17520</c:v>
                </c:pt>
                <c:pt idx="15">
                  <c:v>16425</c:v>
                </c:pt>
                <c:pt idx="16">
                  <c:v>17811.764705882353</c:v>
                </c:pt>
                <c:pt idx="17">
                  <c:v>16822.222222222223</c:v>
                </c:pt>
                <c:pt idx="18">
                  <c:v>15936.842105263158</c:v>
                </c:pt>
                <c:pt idx="19">
                  <c:v>18140</c:v>
                </c:pt>
              </c:numCache>
            </c:numRef>
          </c:val>
        </c:ser>
        <c:ser>
          <c:idx val="6"/>
          <c:order val="6"/>
          <c:tx>
            <c:strRef>
              <c:f>'Month - Apr 2012 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Apr 2012 '!$F$51,'Month - Apr 2012 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Apr 2012 '!$F$58,'Month - Apr 2012 '!$G$58:$Y$58)</c:f>
              <c:numCache>
                <c:formatCode>0</c:formatCode>
                <c:ptCount val="20"/>
                <c:pt idx="0">
                  <c:v>544100</c:v>
                </c:pt>
                <c:pt idx="1">
                  <c:v>453720</c:v>
                </c:pt>
                <c:pt idx="2">
                  <c:v>427873.33333333337</c:v>
                </c:pt>
                <c:pt idx="3">
                  <c:v>426620</c:v>
                </c:pt>
                <c:pt idx="4">
                  <c:v>341296</c:v>
                </c:pt>
                <c:pt idx="5">
                  <c:v>284413.33333333331</c:v>
                </c:pt>
                <c:pt idx="6">
                  <c:v>290442.85714285716</c:v>
                </c:pt>
                <c:pt idx="7">
                  <c:v>271567.5</c:v>
                </c:pt>
                <c:pt idx="8">
                  <c:v>277417.77777777775</c:v>
                </c:pt>
                <c:pt idx="9">
                  <c:v>288288</c:v>
                </c:pt>
                <c:pt idx="10">
                  <c:v>274887.27272727271</c:v>
                </c:pt>
                <c:pt idx="11">
                  <c:v>280803.33333333331</c:v>
                </c:pt>
                <c:pt idx="12">
                  <c:v>268076.92307692306</c:v>
                </c:pt>
                <c:pt idx="13">
                  <c:v>261658.57142857142</c:v>
                </c:pt>
                <c:pt idx="14">
                  <c:v>267356</c:v>
                </c:pt>
                <c:pt idx="15">
                  <c:v>270998.75</c:v>
                </c:pt>
                <c:pt idx="16">
                  <c:v>273832.9411764706</c:v>
                </c:pt>
                <c:pt idx="17">
                  <c:v>273265.55555555556</c:v>
                </c:pt>
                <c:pt idx="18">
                  <c:v>257443.15789473683</c:v>
                </c:pt>
                <c:pt idx="19">
                  <c:v>267090</c:v>
                </c:pt>
              </c:numCache>
            </c:numRef>
          </c:val>
        </c:ser>
        <c:marker val="1"/>
        <c:axId val="140219520"/>
        <c:axId val="140221056"/>
      </c:lineChart>
      <c:catAx>
        <c:axId val="1402195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221056"/>
        <c:crosses val="autoZero"/>
        <c:auto val="1"/>
        <c:lblAlgn val="ctr"/>
        <c:lblOffset val="100"/>
      </c:catAx>
      <c:valAx>
        <c:axId val="14022105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21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2256999489040834E-2"/>
          <c:y val="7.2916901012374524E-2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'!$F$36:$Y$36</c:f>
              <c:numCache>
                <c:formatCode>0</c:formatCode>
                <c:ptCount val="20"/>
                <c:pt idx="0">
                  <c:v>84255</c:v>
                </c:pt>
                <c:pt idx="1">
                  <c:v>144262</c:v>
                </c:pt>
                <c:pt idx="2">
                  <c:v>199552</c:v>
                </c:pt>
                <c:pt idx="3">
                  <c:v>258800</c:v>
                </c:pt>
                <c:pt idx="4">
                  <c:v>284615</c:v>
                </c:pt>
                <c:pt idx="5">
                  <c:v>301600</c:v>
                </c:pt>
                <c:pt idx="6">
                  <c:v>330911</c:v>
                </c:pt>
                <c:pt idx="7">
                  <c:v>395668</c:v>
                </c:pt>
                <c:pt idx="8">
                  <c:v>457602</c:v>
                </c:pt>
                <c:pt idx="9">
                  <c:v>529875</c:v>
                </c:pt>
                <c:pt idx="10">
                  <c:v>562344</c:v>
                </c:pt>
                <c:pt idx="11">
                  <c:v>617036</c:v>
                </c:pt>
                <c:pt idx="12">
                  <c:v>668464</c:v>
                </c:pt>
                <c:pt idx="13">
                  <c:v>732835</c:v>
                </c:pt>
                <c:pt idx="14">
                  <c:v>807378</c:v>
                </c:pt>
                <c:pt idx="15">
                  <c:v>864295</c:v>
                </c:pt>
                <c:pt idx="16">
                  <c:v>924155</c:v>
                </c:pt>
                <c:pt idx="17">
                  <c:v>967101</c:v>
                </c:pt>
                <c:pt idx="18">
                  <c:v>992443</c:v>
                </c:pt>
                <c:pt idx="19">
                  <c:v>1073026</c:v>
                </c:pt>
              </c:numCache>
            </c:numRef>
          </c:val>
        </c:ser>
        <c:ser>
          <c:idx val="0"/>
          <c:order val="1"/>
          <c:tx>
            <c:strRef>
              <c:f>'Month - Apr 2012 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Apr 2012 '!$F$62:$Y$62</c:f>
              <c:numCache>
                <c:formatCode>0</c:formatCode>
                <c:ptCount val="20"/>
                <c:pt idx="0">
                  <c:v>78750</c:v>
                </c:pt>
                <c:pt idx="1">
                  <c:v>157500</c:v>
                </c:pt>
                <c:pt idx="2">
                  <c:v>236250</c:v>
                </c:pt>
                <c:pt idx="3">
                  <c:v>315000</c:v>
                </c:pt>
                <c:pt idx="4">
                  <c:v>393750</c:v>
                </c:pt>
                <c:pt idx="5">
                  <c:v>472500</c:v>
                </c:pt>
                <c:pt idx="6">
                  <c:v>551250</c:v>
                </c:pt>
                <c:pt idx="7">
                  <c:v>630000</c:v>
                </c:pt>
                <c:pt idx="8">
                  <c:v>708750</c:v>
                </c:pt>
                <c:pt idx="9">
                  <c:v>787500</c:v>
                </c:pt>
                <c:pt idx="10">
                  <c:v>866250</c:v>
                </c:pt>
                <c:pt idx="11">
                  <c:v>945000</c:v>
                </c:pt>
                <c:pt idx="12">
                  <c:v>1023750</c:v>
                </c:pt>
                <c:pt idx="13">
                  <c:v>1102500</c:v>
                </c:pt>
                <c:pt idx="14">
                  <c:v>1181250</c:v>
                </c:pt>
                <c:pt idx="15">
                  <c:v>1260000</c:v>
                </c:pt>
                <c:pt idx="16">
                  <c:v>1338750</c:v>
                </c:pt>
                <c:pt idx="17">
                  <c:v>1417500</c:v>
                </c:pt>
                <c:pt idx="18">
                  <c:v>1496250</c:v>
                </c:pt>
                <c:pt idx="19">
                  <c:v>1575000</c:v>
                </c:pt>
              </c:numCache>
            </c:numRef>
          </c:val>
        </c:ser>
        <c:marker val="1"/>
        <c:axId val="137903104"/>
        <c:axId val="137925376"/>
      </c:lineChart>
      <c:catAx>
        <c:axId val="1379031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925376"/>
        <c:crosses val="autoZero"/>
        <c:auto val="1"/>
        <c:lblAlgn val="ctr"/>
        <c:lblOffset val="100"/>
      </c:catAx>
      <c:valAx>
        <c:axId val="1379253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37903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Apr 2012 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'!$F$41:$Y$41</c:f>
              <c:numCache>
                <c:formatCode>0.0%</c:formatCode>
                <c:ptCount val="20"/>
                <c:pt idx="0">
                  <c:v>0.96552631578947368</c:v>
                </c:pt>
                <c:pt idx="1">
                  <c:v>0.75407894736842107</c:v>
                </c:pt>
                <c:pt idx="2">
                  <c:v>0.72035087719298241</c:v>
                </c:pt>
                <c:pt idx="3">
                  <c:v>0.71052631578947367</c:v>
                </c:pt>
                <c:pt idx="4">
                  <c:v>0.75600000000000001</c:v>
                </c:pt>
                <c:pt idx="5">
                  <c:v>0.63</c:v>
                </c:pt>
                <c:pt idx="6">
                  <c:v>0.53661654135338355</c:v>
                </c:pt>
                <c:pt idx="7">
                  <c:v>0.6171710526315789</c:v>
                </c:pt>
                <c:pt idx="8">
                  <c:v>0.60761988304093573</c:v>
                </c:pt>
                <c:pt idx="9">
                  <c:v>0.59230526315789478</c:v>
                </c:pt>
                <c:pt idx="10">
                  <c:v>0.59666507177033501</c:v>
                </c:pt>
                <c:pt idx="11">
                  <c:v>0.64173684210526316</c:v>
                </c:pt>
                <c:pt idx="12">
                  <c:v>0.66565182186234817</c:v>
                </c:pt>
                <c:pt idx="13">
                  <c:v>0.68522932330827069</c:v>
                </c:pt>
                <c:pt idx="14">
                  <c:v>0.73249473684210531</c:v>
                </c:pt>
                <c:pt idx="15">
                  <c:v>0.71687828947368426</c:v>
                </c:pt>
                <c:pt idx="16">
                  <c:v>0.73720123839009288</c:v>
                </c:pt>
                <c:pt idx="17">
                  <c:v>0.69624561403508767</c:v>
                </c:pt>
                <c:pt idx="18">
                  <c:v>0.71390858725761763</c:v>
                </c:pt>
                <c:pt idx="19">
                  <c:v>0.74491052631578947</c:v>
                </c:pt>
              </c:numCache>
            </c:numRef>
          </c:val>
        </c:ser>
        <c:ser>
          <c:idx val="6"/>
          <c:order val="1"/>
          <c:tx>
            <c:strRef>
              <c:f>'Month - Apr 2012 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'!$F$42:$Y$42</c:f>
              <c:numCache>
                <c:formatCode>0.0%</c:formatCode>
                <c:ptCount val="20"/>
                <c:pt idx="0">
                  <c:v>0.92469135802469138</c:v>
                </c:pt>
                <c:pt idx="1">
                  <c:v>1.0543209876543209</c:v>
                </c:pt>
                <c:pt idx="2">
                  <c:v>1.0277777777777777</c:v>
                </c:pt>
                <c:pt idx="3">
                  <c:v>0.91882716049382718</c:v>
                </c:pt>
                <c:pt idx="4">
                  <c:v>0.73506172839506168</c:v>
                </c:pt>
                <c:pt idx="5">
                  <c:v>0.61255144032921816</c:v>
                </c:pt>
                <c:pt idx="6">
                  <c:v>0.57257495590828933</c:v>
                </c:pt>
                <c:pt idx="7">
                  <c:v>0.60895061728395061</c:v>
                </c:pt>
                <c:pt idx="8">
                  <c:v>0.77832647462277094</c:v>
                </c:pt>
                <c:pt idx="9">
                  <c:v>0.99290123456790125</c:v>
                </c:pt>
                <c:pt idx="10">
                  <c:v>0.93967452300785625</c:v>
                </c:pt>
                <c:pt idx="11">
                  <c:v>0.8613683127572016</c:v>
                </c:pt>
                <c:pt idx="12">
                  <c:v>0.86623931623931638</c:v>
                </c:pt>
                <c:pt idx="13">
                  <c:v>0.84664902998236335</c:v>
                </c:pt>
                <c:pt idx="14">
                  <c:v>0.85600823045267493</c:v>
                </c:pt>
                <c:pt idx="15">
                  <c:v>0.82947530864197527</c:v>
                </c:pt>
                <c:pt idx="16">
                  <c:v>0.78068264342774152</c:v>
                </c:pt>
                <c:pt idx="17">
                  <c:v>0.76947873799725641</c:v>
                </c:pt>
                <c:pt idx="18">
                  <c:v>0.69395711500974655</c:v>
                </c:pt>
                <c:pt idx="19">
                  <c:v>0.72830246913580243</c:v>
                </c:pt>
              </c:numCache>
            </c:numRef>
          </c:val>
        </c:ser>
        <c:ser>
          <c:idx val="1"/>
          <c:order val="2"/>
          <c:tx>
            <c:strRef>
              <c:f>'Month - Apr 2012 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'!$F$43:$Y$43</c:f>
              <c:numCache>
                <c:formatCode>0.0%</c:formatCode>
                <c:ptCount val="20"/>
                <c:pt idx="0">
                  <c:v>0.40123456790123457</c:v>
                </c:pt>
                <c:pt idx="1">
                  <c:v>0.32407407407407407</c:v>
                </c:pt>
                <c:pt idx="2">
                  <c:v>0.32695473251028812</c:v>
                </c:pt>
                <c:pt idx="3">
                  <c:v>0.1449074074074074</c:v>
                </c:pt>
                <c:pt idx="4">
                  <c:v>0.11592592592592593</c:v>
                </c:pt>
                <c:pt idx="5">
                  <c:v>9.6604938271604934E-2</c:v>
                </c:pt>
                <c:pt idx="6">
                  <c:v>0.13033509700176368</c:v>
                </c:pt>
                <c:pt idx="7">
                  <c:v>0.20833333333333334</c:v>
                </c:pt>
                <c:pt idx="8">
                  <c:v>0.24951989026063098</c:v>
                </c:pt>
                <c:pt idx="9">
                  <c:v>0.32876543209876541</c:v>
                </c:pt>
                <c:pt idx="10">
                  <c:v>0.29887766554433226</c:v>
                </c:pt>
                <c:pt idx="11">
                  <c:v>0.32330246913580246</c:v>
                </c:pt>
                <c:pt idx="12">
                  <c:v>0.37996201329534662</c:v>
                </c:pt>
                <c:pt idx="13">
                  <c:v>0.41887125220458554</c:v>
                </c:pt>
                <c:pt idx="14">
                  <c:v>0.49703703703703705</c:v>
                </c:pt>
                <c:pt idx="15">
                  <c:v>0.46597222222222223</c:v>
                </c:pt>
                <c:pt idx="16">
                  <c:v>0.43856209150326797</c:v>
                </c:pt>
                <c:pt idx="17">
                  <c:v>0.49026063100137174</c:v>
                </c:pt>
                <c:pt idx="18">
                  <c:v>0.46445743989603638</c:v>
                </c:pt>
                <c:pt idx="19">
                  <c:v>0.44123456790123455</c:v>
                </c:pt>
              </c:numCache>
            </c:numRef>
          </c:val>
        </c:ser>
        <c:ser>
          <c:idx val="7"/>
          <c:order val="3"/>
          <c:tx>
            <c:strRef>
              <c:f>'Month - Apr 2012 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'!$F$44:$Y$44</c:f>
              <c:numCache>
                <c:formatCode>0.0%</c:formatCode>
                <c:ptCount val="20"/>
                <c:pt idx="0">
                  <c:v>1.5016339869281046</c:v>
                </c:pt>
                <c:pt idx="1">
                  <c:v>0.89787581699346408</c:v>
                </c:pt>
                <c:pt idx="2">
                  <c:v>0.729193899782135</c:v>
                </c:pt>
                <c:pt idx="3">
                  <c:v>0.75106209150326797</c:v>
                </c:pt>
                <c:pt idx="4">
                  <c:v>0.70535947712418301</c:v>
                </c:pt>
                <c:pt idx="5">
                  <c:v>0.74014161220043562</c:v>
                </c:pt>
                <c:pt idx="6">
                  <c:v>0.68571428571428572</c:v>
                </c:pt>
                <c:pt idx="7">
                  <c:v>0.71429738562091505</c:v>
                </c:pt>
                <c:pt idx="8">
                  <c:v>0.64582425562817714</c:v>
                </c:pt>
                <c:pt idx="9">
                  <c:v>0.6661111111111111</c:v>
                </c:pt>
                <c:pt idx="10">
                  <c:v>0.61268568033273918</c:v>
                </c:pt>
                <c:pt idx="11">
                  <c:v>0.62693355119825711</c:v>
                </c:pt>
                <c:pt idx="12">
                  <c:v>0.61133735545500256</c:v>
                </c:pt>
                <c:pt idx="13">
                  <c:v>0.64014939309056951</c:v>
                </c:pt>
                <c:pt idx="14">
                  <c:v>0.63230936819172123</c:v>
                </c:pt>
                <c:pt idx="15">
                  <c:v>0.67236519607843137</c:v>
                </c:pt>
                <c:pt idx="16">
                  <c:v>0.69257977700884277</c:v>
                </c:pt>
                <c:pt idx="17">
                  <c:v>0.68493100944081342</c:v>
                </c:pt>
                <c:pt idx="18">
                  <c:v>0.69186446508427935</c:v>
                </c:pt>
                <c:pt idx="19">
                  <c:v>0.71294117647058819</c:v>
                </c:pt>
              </c:numCache>
            </c:numRef>
          </c:val>
        </c:ser>
        <c:ser>
          <c:idx val="2"/>
          <c:order val="4"/>
          <c:tx>
            <c:strRef>
              <c:f>'Month - Apr 2012 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'!$F$45:$Y$45</c:f>
              <c:numCache>
                <c:formatCode>0.0%</c:formatCode>
                <c:ptCount val="20"/>
                <c:pt idx="0">
                  <c:v>0.62375000000000003</c:v>
                </c:pt>
                <c:pt idx="1">
                  <c:v>1.276875</c:v>
                </c:pt>
                <c:pt idx="2">
                  <c:v>1.0489583333333332</c:v>
                </c:pt>
                <c:pt idx="3">
                  <c:v>1.0926562500000001</c:v>
                </c:pt>
                <c:pt idx="4">
                  <c:v>0.87412500000000004</c:v>
                </c:pt>
                <c:pt idx="5">
                  <c:v>0.72843749999999996</c:v>
                </c:pt>
                <c:pt idx="6">
                  <c:v>0.66982142857142857</c:v>
                </c:pt>
                <c:pt idx="7">
                  <c:v>0.63687499999999997</c:v>
                </c:pt>
                <c:pt idx="8">
                  <c:v>0.73499999999999999</c:v>
                </c:pt>
                <c:pt idx="9">
                  <c:v>0.66149999999999998</c:v>
                </c:pt>
                <c:pt idx="10">
                  <c:v>0.68931818181818194</c:v>
                </c:pt>
                <c:pt idx="11">
                  <c:v>0.63187499999999996</c:v>
                </c:pt>
                <c:pt idx="12">
                  <c:v>0.63129807692307693</c:v>
                </c:pt>
                <c:pt idx="13">
                  <c:v>0.67366071428571428</c:v>
                </c:pt>
                <c:pt idx="14">
                  <c:v>0.62875000000000003</c:v>
                </c:pt>
                <c:pt idx="15">
                  <c:v>0.65578124999999998</c:v>
                </c:pt>
                <c:pt idx="16">
                  <c:v>0.66258088235294121</c:v>
                </c:pt>
                <c:pt idx="17">
                  <c:v>0.66393055555555558</c:v>
                </c:pt>
                <c:pt idx="18">
                  <c:v>0.62898684210526312</c:v>
                </c:pt>
                <c:pt idx="19">
                  <c:v>0.60690624999999998</c:v>
                </c:pt>
              </c:numCache>
            </c:numRef>
          </c:val>
        </c:ser>
        <c:ser>
          <c:idx val="5"/>
          <c:order val="5"/>
          <c:tx>
            <c:strRef>
              <c:f>'Month - Apr 2012 '!$B$46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'!$F$46:$Y$46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0.11441666666666668</c:v>
                </c:pt>
                <c:pt idx="3">
                  <c:v>0.12753125000000001</c:v>
                </c:pt>
                <c:pt idx="4">
                  <c:v>0.102025</c:v>
                </c:pt>
                <c:pt idx="5">
                  <c:v>0.14752083333333335</c:v>
                </c:pt>
                <c:pt idx="6">
                  <c:v>0.12644642857142857</c:v>
                </c:pt>
                <c:pt idx="7">
                  <c:v>0.18876562499999999</c:v>
                </c:pt>
                <c:pt idx="8">
                  <c:v>0.16779166666666664</c:v>
                </c:pt>
                <c:pt idx="9">
                  <c:v>0.14128750000000001</c:v>
                </c:pt>
                <c:pt idx="10">
                  <c:v>0.14003409090909091</c:v>
                </c:pt>
                <c:pt idx="11">
                  <c:v>0.11794791666666668</c:v>
                </c:pt>
                <c:pt idx="12">
                  <c:v>0.108875</c:v>
                </c:pt>
                <c:pt idx="13">
                  <c:v>0.10109821428571429</c:v>
                </c:pt>
                <c:pt idx="14">
                  <c:v>0.1095</c:v>
                </c:pt>
                <c:pt idx="15">
                  <c:v>0.10265625</c:v>
                </c:pt>
                <c:pt idx="16">
                  <c:v>0.11132352941176471</c:v>
                </c:pt>
                <c:pt idx="17">
                  <c:v>0.10513888888888889</c:v>
                </c:pt>
                <c:pt idx="18">
                  <c:v>9.9605263157894738E-2</c:v>
                </c:pt>
                <c:pt idx="19">
                  <c:v>0.113375</c:v>
                </c:pt>
              </c:numCache>
            </c:numRef>
          </c:val>
        </c:ser>
        <c:ser>
          <c:idx val="3"/>
          <c:order val="6"/>
          <c:tx>
            <c:strRef>
              <c:f>'Month - Apr 2012 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'!$F$47:$Y$47</c:f>
              <c:numCache>
                <c:formatCode>0.0%</c:formatCode>
                <c:ptCount val="20"/>
                <c:pt idx="0">
                  <c:v>1.6241791044776119</c:v>
                </c:pt>
                <c:pt idx="1">
                  <c:v>1.3543880597014926</c:v>
                </c:pt>
                <c:pt idx="2">
                  <c:v>1.2772338308457714</c:v>
                </c:pt>
                <c:pt idx="3">
                  <c:v>1.2734925373134329</c:v>
                </c:pt>
                <c:pt idx="4">
                  <c:v>1.0187940298507463</c:v>
                </c:pt>
                <c:pt idx="5">
                  <c:v>0.84899502487562184</c:v>
                </c:pt>
                <c:pt idx="6">
                  <c:v>0.86699360341151388</c:v>
                </c:pt>
                <c:pt idx="7">
                  <c:v>0.81064925373134333</c:v>
                </c:pt>
                <c:pt idx="8">
                  <c:v>0.82811276948590373</c:v>
                </c:pt>
                <c:pt idx="9">
                  <c:v>0.86056119402985076</c:v>
                </c:pt>
                <c:pt idx="10">
                  <c:v>0.82055902306648565</c:v>
                </c:pt>
                <c:pt idx="11">
                  <c:v>0.83821890547263678</c:v>
                </c:pt>
                <c:pt idx="12">
                  <c:v>0.80022962112514351</c:v>
                </c:pt>
                <c:pt idx="13">
                  <c:v>0.78107036247334749</c:v>
                </c:pt>
                <c:pt idx="14">
                  <c:v>0.79807761194029847</c:v>
                </c:pt>
                <c:pt idx="15">
                  <c:v>0.80895149253731347</c:v>
                </c:pt>
                <c:pt idx="16">
                  <c:v>0.81741176470588239</c:v>
                </c:pt>
                <c:pt idx="17">
                  <c:v>0.81571807628524051</c:v>
                </c:pt>
                <c:pt idx="18">
                  <c:v>0.76848703849175171</c:v>
                </c:pt>
                <c:pt idx="19">
                  <c:v>0.79728358208955219</c:v>
                </c:pt>
              </c:numCache>
            </c:numRef>
          </c:val>
        </c:ser>
        <c:ser>
          <c:idx val="4"/>
          <c:order val="7"/>
          <c:tx>
            <c:strRef>
              <c:f>'Month - Apr 2012 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Apr 2012 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Apr 2012 '!$F$48:$Y$48</c:f>
              <c:numCache>
                <c:formatCode>0.0%</c:formatCode>
                <c:ptCount val="20"/>
                <c:pt idx="0">
                  <c:v>1.0699047619047619</c:v>
                </c:pt>
                <c:pt idx="1">
                  <c:v>0.9159492063492064</c:v>
                </c:pt>
                <c:pt idx="2">
                  <c:v>0.84466455026455012</c:v>
                </c:pt>
                <c:pt idx="3">
                  <c:v>0.82158730158730153</c:v>
                </c:pt>
                <c:pt idx="4">
                  <c:v>0.72283174603174605</c:v>
                </c:pt>
                <c:pt idx="5">
                  <c:v>0.63830687830687838</c:v>
                </c:pt>
                <c:pt idx="6">
                  <c:v>0.60029206349206354</c:v>
                </c:pt>
                <c:pt idx="7">
                  <c:v>0.62804444444444441</c:v>
                </c:pt>
                <c:pt idx="8">
                  <c:v>0.6456465608465608</c:v>
                </c:pt>
                <c:pt idx="9">
                  <c:v>0.67285714285714282</c:v>
                </c:pt>
                <c:pt idx="10">
                  <c:v>0.64917056277056273</c:v>
                </c:pt>
                <c:pt idx="11">
                  <c:v>0.65294814814814806</c:v>
                </c:pt>
                <c:pt idx="12">
                  <c:v>0.65295628815628814</c:v>
                </c:pt>
                <c:pt idx="13">
                  <c:v>0.66470294784580508</c:v>
                </c:pt>
                <c:pt idx="14">
                  <c:v>0.6834946031746032</c:v>
                </c:pt>
                <c:pt idx="15">
                  <c:v>0.68594841269841267</c:v>
                </c:pt>
                <c:pt idx="16">
                  <c:v>0.69031185807656403</c:v>
                </c:pt>
                <c:pt idx="17">
                  <c:v>0.68225820105820112</c:v>
                </c:pt>
                <c:pt idx="18">
                  <c:v>0.66328688387635759</c:v>
                </c:pt>
                <c:pt idx="19">
                  <c:v>0.68128634920634923</c:v>
                </c:pt>
              </c:numCache>
            </c:numRef>
          </c:val>
        </c:ser>
        <c:marker val="1"/>
        <c:axId val="140261248"/>
        <c:axId val="140262784"/>
      </c:lineChart>
      <c:catAx>
        <c:axId val="1402612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262784"/>
        <c:crosses val="autoZero"/>
        <c:auto val="1"/>
        <c:lblAlgn val="ctr"/>
        <c:lblOffset val="100"/>
      </c:catAx>
      <c:valAx>
        <c:axId val="140262784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261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May 2012'!$B$52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2012'!$F$52,'Month - May 2012'!$G$52:$Y$52)</c:f>
              <c:numCache>
                <c:formatCode>0</c:formatCode>
                <c:ptCount val="20"/>
                <c:pt idx="0">
                  <c:v>215800</c:v>
                </c:pt>
                <c:pt idx="1">
                  <c:v>204950</c:v>
                </c:pt>
                <c:pt idx="2">
                  <c:v>291266.66666666669</c:v>
                </c:pt>
                <c:pt idx="3">
                  <c:v>303400</c:v>
                </c:pt>
                <c:pt idx="4">
                  <c:v>318040</c:v>
                </c:pt>
                <c:pt idx="5">
                  <c:v>311066.66666666669</c:v>
                </c:pt>
                <c:pt idx="6">
                  <c:v>275871.42857142858</c:v>
                </c:pt>
                <c:pt idx="7">
                  <c:v>292612.5</c:v>
                </c:pt>
                <c:pt idx="8">
                  <c:v>273755.55555555556</c:v>
                </c:pt>
                <c:pt idx="9">
                  <c:v>285322</c:v>
                </c:pt>
                <c:pt idx="10">
                  <c:v>282910.90909090906</c:v>
                </c:pt>
                <c:pt idx="11">
                  <c:v>289901.66666666669</c:v>
                </c:pt>
                <c:pt idx="12">
                  <c:v>293001.5384615385</c:v>
                </c:pt>
                <c:pt idx="13">
                  <c:v>293651.42857142858</c:v>
                </c:pt>
                <c:pt idx="14">
                  <c:v>314794.66666666669</c:v>
                </c:pt>
                <c:pt idx="15">
                  <c:v>311982.5</c:v>
                </c:pt>
                <c:pt idx="16">
                  <c:v>294324.70588235295</c:v>
                </c:pt>
                <c:pt idx="17">
                  <c:v>294812.22222222225</c:v>
                </c:pt>
                <c:pt idx="18">
                  <c:v>306616.84210526315</c:v>
                </c:pt>
                <c:pt idx="19">
                  <c:v>302611</c:v>
                </c:pt>
              </c:numCache>
            </c:numRef>
          </c:val>
        </c:ser>
        <c:ser>
          <c:idx val="1"/>
          <c:order val="1"/>
          <c:tx>
            <c:strRef>
              <c:f>'Month - May 2012'!$B$53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2012'!$F$53,'Month - May 2012'!$G$53:$Y$53)</c:f>
              <c:numCache>
                <c:formatCode>0</c:formatCode>
                <c:ptCount val="20"/>
                <c:pt idx="0">
                  <c:v>149900</c:v>
                </c:pt>
                <c:pt idx="1">
                  <c:v>74950</c:v>
                </c:pt>
                <c:pt idx="2">
                  <c:v>105300</c:v>
                </c:pt>
                <c:pt idx="3">
                  <c:v>78975</c:v>
                </c:pt>
                <c:pt idx="4">
                  <c:v>109956</c:v>
                </c:pt>
                <c:pt idx="5">
                  <c:v>100600</c:v>
                </c:pt>
                <c:pt idx="6">
                  <c:v>86228.571428571435</c:v>
                </c:pt>
                <c:pt idx="7">
                  <c:v>75450</c:v>
                </c:pt>
                <c:pt idx="8">
                  <c:v>74177.777777777781</c:v>
                </c:pt>
                <c:pt idx="9">
                  <c:v>72150</c:v>
                </c:pt>
                <c:pt idx="10">
                  <c:v>65590.909090909088</c:v>
                </c:pt>
                <c:pt idx="11">
                  <c:v>60125</c:v>
                </c:pt>
                <c:pt idx="12">
                  <c:v>69646.153846153844</c:v>
                </c:pt>
                <c:pt idx="13">
                  <c:v>72250</c:v>
                </c:pt>
                <c:pt idx="14">
                  <c:v>80220</c:v>
                </c:pt>
                <c:pt idx="15">
                  <c:v>78575</c:v>
                </c:pt>
                <c:pt idx="16">
                  <c:v>82764.705882352937</c:v>
                </c:pt>
                <c:pt idx="17">
                  <c:v>81161.111111111109</c:v>
                </c:pt>
                <c:pt idx="18">
                  <c:v>76889.473684210519</c:v>
                </c:pt>
                <c:pt idx="19">
                  <c:v>85735</c:v>
                </c:pt>
              </c:numCache>
            </c:numRef>
          </c:val>
        </c:ser>
        <c:ser>
          <c:idx val="2"/>
          <c:order val="2"/>
          <c:tx>
            <c:strRef>
              <c:f>'Month - May 2012'!$B$54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2012'!$F$54,'Month - May 2012'!$G$54:$Y$54)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49933.333333333328</c:v>
                </c:pt>
                <c:pt idx="3">
                  <c:v>50925</c:v>
                </c:pt>
                <c:pt idx="4">
                  <c:v>51520</c:v>
                </c:pt>
                <c:pt idx="5">
                  <c:v>49600</c:v>
                </c:pt>
                <c:pt idx="6">
                  <c:v>53371.428571428565</c:v>
                </c:pt>
                <c:pt idx="7">
                  <c:v>53437.5</c:v>
                </c:pt>
                <c:pt idx="8">
                  <c:v>53488.888888888891</c:v>
                </c:pt>
                <c:pt idx="9">
                  <c:v>58140</c:v>
                </c:pt>
                <c:pt idx="10">
                  <c:v>52854.545454545449</c:v>
                </c:pt>
                <c:pt idx="11">
                  <c:v>45950</c:v>
                </c:pt>
                <c:pt idx="12">
                  <c:v>42415.384615384617</c:v>
                </c:pt>
                <c:pt idx="13">
                  <c:v>51050</c:v>
                </c:pt>
                <c:pt idx="14">
                  <c:v>51240</c:v>
                </c:pt>
                <c:pt idx="15">
                  <c:v>50287.5</c:v>
                </c:pt>
                <c:pt idx="16">
                  <c:v>57029.411764705881</c:v>
                </c:pt>
                <c:pt idx="17">
                  <c:v>53861.111111111109</c:v>
                </c:pt>
                <c:pt idx="18">
                  <c:v>48615.789473684206</c:v>
                </c:pt>
                <c:pt idx="19">
                  <c:v>46185</c:v>
                </c:pt>
              </c:numCache>
            </c:numRef>
          </c:val>
        </c:ser>
        <c:ser>
          <c:idx val="3"/>
          <c:order val="3"/>
          <c:tx>
            <c:strRef>
              <c:f>'Month - May 2012'!$B$55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2012'!$F$55,'Month - May 2012'!$G$55:$Y$55)</c:f>
              <c:numCache>
                <c:formatCode>0</c:formatCode>
                <c:ptCount val="20"/>
                <c:pt idx="0">
                  <c:v>59900</c:v>
                </c:pt>
                <c:pt idx="1">
                  <c:v>154900</c:v>
                </c:pt>
                <c:pt idx="2">
                  <c:v>113266.66666666666</c:v>
                </c:pt>
                <c:pt idx="3">
                  <c:v>114900</c:v>
                </c:pt>
                <c:pt idx="4">
                  <c:v>117920</c:v>
                </c:pt>
                <c:pt idx="5">
                  <c:v>118233.33333333334</c:v>
                </c:pt>
                <c:pt idx="6">
                  <c:v>109900</c:v>
                </c:pt>
                <c:pt idx="7">
                  <c:v>107400</c:v>
                </c:pt>
                <c:pt idx="8">
                  <c:v>122188.88888888889</c:v>
                </c:pt>
                <c:pt idx="9">
                  <c:v>109970</c:v>
                </c:pt>
                <c:pt idx="10">
                  <c:v>126318.18181818182</c:v>
                </c:pt>
                <c:pt idx="11">
                  <c:v>140768.33333333334</c:v>
                </c:pt>
                <c:pt idx="12">
                  <c:v>142247.69230769231</c:v>
                </c:pt>
                <c:pt idx="13">
                  <c:v>155642.85714285713</c:v>
                </c:pt>
                <c:pt idx="14">
                  <c:v>150601.33333333334</c:v>
                </c:pt>
                <c:pt idx="15">
                  <c:v>148676.25</c:v>
                </c:pt>
                <c:pt idx="16">
                  <c:v>154036.4705882353</c:v>
                </c:pt>
                <c:pt idx="17">
                  <c:v>163084.44444444444</c:v>
                </c:pt>
                <c:pt idx="18">
                  <c:v>161432.63157894736</c:v>
                </c:pt>
                <c:pt idx="19">
                  <c:v>167856</c:v>
                </c:pt>
              </c:numCache>
            </c:numRef>
          </c:val>
        </c:ser>
        <c:ser>
          <c:idx val="4"/>
          <c:order val="4"/>
          <c:tx>
            <c:strRef>
              <c:f>'Month - May 2012'!$B$56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2012'!$F$56,'Month - May 2012'!$G$56:$Y$56)</c:f>
              <c:numCache>
                <c:formatCode>0</c:formatCode>
                <c:ptCount val="20"/>
                <c:pt idx="0">
                  <c:v>94900</c:v>
                </c:pt>
                <c:pt idx="1">
                  <c:v>122650</c:v>
                </c:pt>
                <c:pt idx="2">
                  <c:v>101733.33333333334</c:v>
                </c:pt>
                <c:pt idx="3">
                  <c:v>99000</c:v>
                </c:pt>
                <c:pt idx="4">
                  <c:v>128840</c:v>
                </c:pt>
                <c:pt idx="5">
                  <c:v>113200</c:v>
                </c:pt>
                <c:pt idx="6">
                  <c:v>120157.14285714287</c:v>
                </c:pt>
                <c:pt idx="7">
                  <c:v>105137.5</c:v>
                </c:pt>
                <c:pt idx="8">
                  <c:v>106788.88888888889</c:v>
                </c:pt>
                <c:pt idx="9">
                  <c:v>114080</c:v>
                </c:pt>
                <c:pt idx="10">
                  <c:v>123772.72727272728</c:v>
                </c:pt>
                <c:pt idx="11">
                  <c:v>118450</c:v>
                </c:pt>
                <c:pt idx="12">
                  <c:v>109338.46153846155</c:v>
                </c:pt>
                <c:pt idx="13">
                  <c:v>116521.42857142857</c:v>
                </c:pt>
                <c:pt idx="14">
                  <c:v>120073.33333333334</c:v>
                </c:pt>
                <c:pt idx="15">
                  <c:v>112568.75</c:v>
                </c:pt>
                <c:pt idx="16">
                  <c:v>110058.82352941176</c:v>
                </c:pt>
                <c:pt idx="17">
                  <c:v>108106.66666666666</c:v>
                </c:pt>
                <c:pt idx="18">
                  <c:v>102416.84210526315</c:v>
                </c:pt>
                <c:pt idx="19">
                  <c:v>102836</c:v>
                </c:pt>
              </c:numCache>
            </c:numRef>
          </c:val>
        </c:ser>
        <c:ser>
          <c:idx val="5"/>
          <c:order val="5"/>
          <c:tx>
            <c:strRef>
              <c:f>'Month - May 2012'!$B$57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2012'!$F$57,'Month - May 2012'!$G$57:$Y$57)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2857.1428571428573</c:v>
                </c:pt>
                <c:pt idx="7">
                  <c:v>5710</c:v>
                </c:pt>
                <c:pt idx="8">
                  <c:v>5460</c:v>
                </c:pt>
                <c:pt idx="9">
                  <c:v>4914</c:v>
                </c:pt>
                <c:pt idx="10">
                  <c:v>12874.545454545456</c:v>
                </c:pt>
                <c:pt idx="11">
                  <c:v>11801.666666666668</c:v>
                </c:pt>
                <c:pt idx="12">
                  <c:v>14846.153846153846</c:v>
                </c:pt>
                <c:pt idx="13">
                  <c:v>20202.857142857141</c:v>
                </c:pt>
                <c:pt idx="14">
                  <c:v>18856</c:v>
                </c:pt>
                <c:pt idx="15">
                  <c:v>17677.5</c:v>
                </c:pt>
                <c:pt idx="16">
                  <c:v>19156.470588235294</c:v>
                </c:pt>
                <c:pt idx="17">
                  <c:v>18092.222222222223</c:v>
                </c:pt>
                <c:pt idx="18">
                  <c:v>14991.57894736842</c:v>
                </c:pt>
                <c:pt idx="19">
                  <c:v>14242</c:v>
                </c:pt>
              </c:numCache>
            </c:numRef>
          </c:val>
        </c:ser>
        <c:ser>
          <c:idx val="6"/>
          <c:order val="6"/>
          <c:tx>
            <c:strRef>
              <c:f>'Month - May 2012'!$B$58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May 2012'!$F$51,'Month - May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May 2012'!$F$58,'Month - May 2012'!$G$58:$Y$58)</c:f>
              <c:numCache>
                <c:formatCode>0</c:formatCode>
                <c:ptCount val="20"/>
                <c:pt idx="0">
                  <c:v>256980</c:v>
                </c:pt>
                <c:pt idx="1">
                  <c:v>128490</c:v>
                </c:pt>
                <c:pt idx="2">
                  <c:v>177293.33333333331</c:v>
                </c:pt>
                <c:pt idx="3">
                  <c:v>160695</c:v>
                </c:pt>
                <c:pt idx="4">
                  <c:v>206068</c:v>
                </c:pt>
                <c:pt idx="5">
                  <c:v>171723.33333333331</c:v>
                </c:pt>
                <c:pt idx="6">
                  <c:v>205322.85714285713</c:v>
                </c:pt>
                <c:pt idx="7">
                  <c:v>213870</c:v>
                </c:pt>
                <c:pt idx="8">
                  <c:v>203446.66666666669</c:v>
                </c:pt>
                <c:pt idx="9">
                  <c:v>217562</c:v>
                </c:pt>
                <c:pt idx="10">
                  <c:v>232941.81818181821</c:v>
                </c:pt>
                <c:pt idx="11">
                  <c:v>236811.66666666669</c:v>
                </c:pt>
                <c:pt idx="12">
                  <c:v>250373.84615384619</c:v>
                </c:pt>
                <c:pt idx="13">
                  <c:v>252777.14285714287</c:v>
                </c:pt>
                <c:pt idx="14">
                  <c:v>271310.66666666663</c:v>
                </c:pt>
                <c:pt idx="15">
                  <c:v>274181.25</c:v>
                </c:pt>
                <c:pt idx="16">
                  <c:v>282385.8823529412</c:v>
                </c:pt>
                <c:pt idx="17">
                  <c:v>280778.88888888888</c:v>
                </c:pt>
                <c:pt idx="18">
                  <c:v>280311.57894736843</c:v>
                </c:pt>
                <c:pt idx="19">
                  <c:v>295815</c:v>
                </c:pt>
              </c:numCache>
            </c:numRef>
          </c:val>
        </c:ser>
        <c:marker val="1"/>
        <c:axId val="140358784"/>
        <c:axId val="140360320"/>
      </c:lineChart>
      <c:catAx>
        <c:axId val="140358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360320"/>
        <c:crosses val="autoZero"/>
        <c:auto val="1"/>
        <c:lblAlgn val="ctr"/>
        <c:lblOffset val="100"/>
      </c:catAx>
      <c:valAx>
        <c:axId val="14036032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35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2256999489040834E-2"/>
          <c:y val="7.2916901012374524E-2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2012'!$F$36:$Y$36</c:f>
              <c:numCache>
                <c:formatCode>0</c:formatCode>
                <c:ptCount val="20"/>
                <c:pt idx="0">
                  <c:v>38874</c:v>
                </c:pt>
                <c:pt idx="1">
                  <c:v>68594</c:v>
                </c:pt>
                <c:pt idx="2">
                  <c:v>125819</c:v>
                </c:pt>
                <c:pt idx="3">
                  <c:v>161579</c:v>
                </c:pt>
                <c:pt idx="4">
                  <c:v>233086</c:v>
                </c:pt>
                <c:pt idx="5">
                  <c:v>259327</c:v>
                </c:pt>
                <c:pt idx="6">
                  <c:v>298798</c:v>
                </c:pt>
                <c:pt idx="7">
                  <c:v>341447</c:v>
                </c:pt>
                <c:pt idx="8">
                  <c:v>377688</c:v>
                </c:pt>
                <c:pt idx="9">
                  <c:v>431069</c:v>
                </c:pt>
                <c:pt idx="10">
                  <c:v>493495</c:v>
                </c:pt>
                <c:pt idx="11">
                  <c:v>542285</c:v>
                </c:pt>
                <c:pt idx="12">
                  <c:v>599215</c:v>
                </c:pt>
                <c:pt idx="13">
                  <c:v>673467</c:v>
                </c:pt>
                <c:pt idx="14">
                  <c:v>755322</c:v>
                </c:pt>
                <c:pt idx="15">
                  <c:v>795159</c:v>
                </c:pt>
                <c:pt idx="16">
                  <c:v>849793</c:v>
                </c:pt>
                <c:pt idx="17">
                  <c:v>899907</c:v>
                </c:pt>
                <c:pt idx="18">
                  <c:v>941711</c:v>
                </c:pt>
                <c:pt idx="19">
                  <c:v>1015280</c:v>
                </c:pt>
              </c:numCache>
            </c:numRef>
          </c:val>
        </c:ser>
        <c:ser>
          <c:idx val="0"/>
          <c:order val="1"/>
          <c:tx>
            <c:strRef>
              <c:f>'Month - May 2012'!$C$60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May 2012'!$F$62:$Y$62</c:f>
              <c:numCache>
                <c:formatCode>0</c:formatCode>
                <c:ptCount val="20"/>
                <c:pt idx="0">
                  <c:v>83250</c:v>
                </c:pt>
                <c:pt idx="1">
                  <c:v>166500</c:v>
                </c:pt>
                <c:pt idx="2">
                  <c:v>249750</c:v>
                </c:pt>
                <c:pt idx="3">
                  <c:v>333000</c:v>
                </c:pt>
                <c:pt idx="4">
                  <c:v>416250</c:v>
                </c:pt>
                <c:pt idx="5">
                  <c:v>499500</c:v>
                </c:pt>
                <c:pt idx="6">
                  <c:v>582750</c:v>
                </c:pt>
                <c:pt idx="7">
                  <c:v>666000</c:v>
                </c:pt>
                <c:pt idx="8">
                  <c:v>749250</c:v>
                </c:pt>
                <c:pt idx="9">
                  <c:v>832500</c:v>
                </c:pt>
                <c:pt idx="10">
                  <c:v>915750</c:v>
                </c:pt>
                <c:pt idx="11">
                  <c:v>999000</c:v>
                </c:pt>
                <c:pt idx="12">
                  <c:v>1082250</c:v>
                </c:pt>
                <c:pt idx="13">
                  <c:v>1165500</c:v>
                </c:pt>
                <c:pt idx="14">
                  <c:v>1248750</c:v>
                </c:pt>
                <c:pt idx="15">
                  <c:v>1332000</c:v>
                </c:pt>
                <c:pt idx="16">
                  <c:v>1415250</c:v>
                </c:pt>
                <c:pt idx="17">
                  <c:v>1498500</c:v>
                </c:pt>
                <c:pt idx="18">
                  <c:v>1581750</c:v>
                </c:pt>
                <c:pt idx="19">
                  <c:v>1665000</c:v>
                </c:pt>
              </c:numCache>
            </c:numRef>
          </c:val>
        </c:ser>
        <c:marker val="1"/>
        <c:axId val="140475392"/>
        <c:axId val="140485376"/>
      </c:lineChart>
      <c:catAx>
        <c:axId val="1404753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0485376"/>
        <c:crosses val="autoZero"/>
        <c:auto val="1"/>
        <c:lblAlgn val="ctr"/>
        <c:lblOffset val="100"/>
      </c:catAx>
      <c:valAx>
        <c:axId val="1404853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0475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May 2012'!$B$41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2012'!$F$41:$Y$41</c:f>
              <c:numCache>
                <c:formatCode>0.0%</c:formatCode>
                <c:ptCount val="20"/>
                <c:pt idx="0">
                  <c:v>0.56789473684210523</c:v>
                </c:pt>
                <c:pt idx="1">
                  <c:v>0.53934210526315784</c:v>
                </c:pt>
                <c:pt idx="2">
                  <c:v>0.76649122807017545</c:v>
                </c:pt>
                <c:pt idx="3">
                  <c:v>0.79842105263157892</c:v>
                </c:pt>
                <c:pt idx="4">
                  <c:v>0.83694736842105266</c:v>
                </c:pt>
                <c:pt idx="5">
                  <c:v>0.81859649122807021</c:v>
                </c:pt>
                <c:pt idx="6">
                  <c:v>0.72597744360902261</c:v>
                </c:pt>
                <c:pt idx="7">
                  <c:v>0.77003289473684211</c:v>
                </c:pt>
                <c:pt idx="8">
                  <c:v>0.72040935672514617</c:v>
                </c:pt>
                <c:pt idx="9">
                  <c:v>0.7508473684210526</c:v>
                </c:pt>
                <c:pt idx="10">
                  <c:v>0.74450239234449755</c:v>
                </c:pt>
                <c:pt idx="11">
                  <c:v>0.76289912280701755</c:v>
                </c:pt>
                <c:pt idx="12">
                  <c:v>0.7710566801619434</c:v>
                </c:pt>
                <c:pt idx="13">
                  <c:v>0.7727669172932331</c:v>
                </c:pt>
                <c:pt idx="14">
                  <c:v>0.8284070175438597</c:v>
                </c:pt>
                <c:pt idx="15">
                  <c:v>0.82100657894736839</c:v>
                </c:pt>
                <c:pt idx="16">
                  <c:v>0.77453869969040245</c:v>
                </c:pt>
                <c:pt idx="17">
                  <c:v>0.77582163742690069</c:v>
                </c:pt>
                <c:pt idx="18">
                  <c:v>0.80688642659279775</c:v>
                </c:pt>
                <c:pt idx="19">
                  <c:v>0.79634473684210527</c:v>
                </c:pt>
              </c:numCache>
            </c:numRef>
          </c:val>
        </c:ser>
        <c:ser>
          <c:idx val="6"/>
          <c:order val="1"/>
          <c:tx>
            <c:strRef>
              <c:f>'Month - May 2012'!$B$42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2012'!$F$42:$Y$42</c:f>
              <c:numCache>
                <c:formatCode>0.0%</c:formatCode>
                <c:ptCount val="20"/>
                <c:pt idx="0">
                  <c:v>0.83277777777777773</c:v>
                </c:pt>
                <c:pt idx="1">
                  <c:v>0.41638888888888886</c:v>
                </c:pt>
                <c:pt idx="2">
                  <c:v>0.58499999999999996</c:v>
                </c:pt>
                <c:pt idx="3">
                  <c:v>0.43874999999999997</c:v>
                </c:pt>
                <c:pt idx="4">
                  <c:v>0.61086666666666667</c:v>
                </c:pt>
                <c:pt idx="5">
                  <c:v>0.55888888888888888</c:v>
                </c:pt>
                <c:pt idx="6">
                  <c:v>0.47904761904761906</c:v>
                </c:pt>
                <c:pt idx="7">
                  <c:v>0.41916666666666669</c:v>
                </c:pt>
                <c:pt idx="8">
                  <c:v>0.41209876543209878</c:v>
                </c:pt>
                <c:pt idx="9">
                  <c:v>0.40083333333333332</c:v>
                </c:pt>
                <c:pt idx="10">
                  <c:v>0.36439393939393938</c:v>
                </c:pt>
                <c:pt idx="11">
                  <c:v>0.33402777777777776</c:v>
                </c:pt>
                <c:pt idx="12">
                  <c:v>0.38692307692307693</c:v>
                </c:pt>
                <c:pt idx="13">
                  <c:v>0.40138888888888891</c:v>
                </c:pt>
                <c:pt idx="14">
                  <c:v>0.44566666666666666</c:v>
                </c:pt>
                <c:pt idx="15">
                  <c:v>0.43652777777777779</c:v>
                </c:pt>
                <c:pt idx="16">
                  <c:v>0.45980392156862743</c:v>
                </c:pt>
                <c:pt idx="17">
                  <c:v>0.45089506172839505</c:v>
                </c:pt>
                <c:pt idx="18">
                  <c:v>0.42716374269005847</c:v>
                </c:pt>
                <c:pt idx="19">
                  <c:v>0.47630555555555554</c:v>
                </c:pt>
              </c:numCache>
            </c:numRef>
          </c:val>
        </c:ser>
        <c:ser>
          <c:idx val="1"/>
          <c:order val="2"/>
          <c:tx>
            <c:strRef>
              <c:f>'Month - May 2012'!$B$43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2012'!$F$43:$Y$43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0.27740740740740738</c:v>
                </c:pt>
                <c:pt idx="3">
                  <c:v>0.28291666666666665</c:v>
                </c:pt>
                <c:pt idx="4">
                  <c:v>0.28622222222222221</c:v>
                </c:pt>
                <c:pt idx="5">
                  <c:v>0.27555555555555555</c:v>
                </c:pt>
                <c:pt idx="6">
                  <c:v>0.2965079365079365</c:v>
                </c:pt>
                <c:pt idx="7">
                  <c:v>0.296875</c:v>
                </c:pt>
                <c:pt idx="8">
                  <c:v>0.29716049382716048</c:v>
                </c:pt>
                <c:pt idx="9">
                  <c:v>0.32300000000000001</c:v>
                </c:pt>
                <c:pt idx="10">
                  <c:v>0.29363636363636358</c:v>
                </c:pt>
                <c:pt idx="11">
                  <c:v>0.25527777777777777</c:v>
                </c:pt>
                <c:pt idx="12">
                  <c:v>0.23564102564102565</c:v>
                </c:pt>
                <c:pt idx="13">
                  <c:v>0.28361111111111109</c:v>
                </c:pt>
                <c:pt idx="14">
                  <c:v>0.28466666666666668</c:v>
                </c:pt>
                <c:pt idx="15">
                  <c:v>0.27937499999999998</c:v>
                </c:pt>
                <c:pt idx="16">
                  <c:v>0.31683006535947711</c:v>
                </c:pt>
                <c:pt idx="17">
                  <c:v>0.29922839506172838</c:v>
                </c:pt>
                <c:pt idx="18">
                  <c:v>0.2700877192982456</c:v>
                </c:pt>
                <c:pt idx="19">
                  <c:v>0.25658333333333333</c:v>
                </c:pt>
              </c:numCache>
            </c:numRef>
          </c:val>
        </c:ser>
        <c:ser>
          <c:idx val="7"/>
          <c:order val="3"/>
          <c:tx>
            <c:strRef>
              <c:f>'Month - May 2012'!$B$44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2012'!$F$44:$Y$44</c:f>
              <c:numCache>
                <c:formatCode>0.0%</c:formatCode>
                <c:ptCount val="20"/>
                <c:pt idx="0">
                  <c:v>0.18487654320987654</c:v>
                </c:pt>
                <c:pt idx="1">
                  <c:v>0.47808641975308641</c:v>
                </c:pt>
                <c:pt idx="2">
                  <c:v>0.34958847736625509</c:v>
                </c:pt>
                <c:pt idx="3">
                  <c:v>0.35462962962962963</c:v>
                </c:pt>
                <c:pt idx="4">
                  <c:v>0.36395061728395062</c:v>
                </c:pt>
                <c:pt idx="5">
                  <c:v>0.36491769547325104</c:v>
                </c:pt>
                <c:pt idx="6">
                  <c:v>0.33919753086419752</c:v>
                </c:pt>
                <c:pt idx="7">
                  <c:v>0.33148148148148149</c:v>
                </c:pt>
                <c:pt idx="8">
                  <c:v>0.3771262002743484</c:v>
                </c:pt>
                <c:pt idx="9">
                  <c:v>0.33941358024691359</c:v>
                </c:pt>
                <c:pt idx="10">
                  <c:v>0.38987093153759822</c:v>
                </c:pt>
                <c:pt idx="11">
                  <c:v>0.43447016460905352</c:v>
                </c:pt>
                <c:pt idx="12">
                  <c:v>0.43903608736942074</c:v>
                </c:pt>
                <c:pt idx="13">
                  <c:v>0.480379188712522</c:v>
                </c:pt>
                <c:pt idx="14">
                  <c:v>0.46481893004115227</c:v>
                </c:pt>
                <c:pt idx="15">
                  <c:v>0.45887731481481481</c:v>
                </c:pt>
                <c:pt idx="16">
                  <c:v>0.47542120551924477</c:v>
                </c:pt>
                <c:pt idx="17">
                  <c:v>0.50334705075445818</c:v>
                </c:pt>
                <c:pt idx="18">
                  <c:v>0.4982488628979857</c:v>
                </c:pt>
                <c:pt idx="19">
                  <c:v>0.51807407407407402</c:v>
                </c:pt>
              </c:numCache>
            </c:numRef>
          </c:val>
        </c:ser>
        <c:ser>
          <c:idx val="2"/>
          <c:order val="4"/>
          <c:tx>
            <c:strRef>
              <c:f>'Month - May 2012'!$B$45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2012'!$F$45:$Y$45</c:f>
              <c:numCache>
                <c:formatCode>0.0%</c:formatCode>
                <c:ptCount val="20"/>
                <c:pt idx="0">
                  <c:v>0.53920454545454544</c:v>
                </c:pt>
                <c:pt idx="1">
                  <c:v>0.69687500000000002</c:v>
                </c:pt>
                <c:pt idx="2">
                  <c:v>0.57803030303030312</c:v>
                </c:pt>
                <c:pt idx="3">
                  <c:v>0.5625</c:v>
                </c:pt>
                <c:pt idx="4">
                  <c:v>0.73204545454545455</c:v>
                </c:pt>
                <c:pt idx="5">
                  <c:v>0.64318181818181819</c:v>
                </c:pt>
                <c:pt idx="6">
                  <c:v>0.68271103896103902</c:v>
                </c:pt>
                <c:pt idx="7">
                  <c:v>0.59737215909090913</c:v>
                </c:pt>
                <c:pt idx="8">
                  <c:v>0.60675505050505052</c:v>
                </c:pt>
                <c:pt idx="9">
                  <c:v>0.64818181818181819</c:v>
                </c:pt>
                <c:pt idx="10">
                  <c:v>0.70325413223140498</c:v>
                </c:pt>
                <c:pt idx="11">
                  <c:v>0.6730113636363636</c:v>
                </c:pt>
                <c:pt idx="12">
                  <c:v>0.62124125874125879</c:v>
                </c:pt>
                <c:pt idx="13">
                  <c:v>0.66205357142857135</c:v>
                </c:pt>
                <c:pt idx="14">
                  <c:v>0.6822348484848485</c:v>
                </c:pt>
                <c:pt idx="15">
                  <c:v>0.6395951704545455</c:v>
                </c:pt>
                <c:pt idx="16">
                  <c:v>0.62533422459893051</c:v>
                </c:pt>
                <c:pt idx="17">
                  <c:v>0.61424242424242415</c:v>
                </c:pt>
                <c:pt idx="18">
                  <c:v>0.58191387559808605</c:v>
                </c:pt>
                <c:pt idx="19">
                  <c:v>0.58429545454545451</c:v>
                </c:pt>
              </c:numCache>
            </c:numRef>
          </c:val>
        </c:ser>
        <c:ser>
          <c:idx val="5"/>
          <c:order val="5"/>
          <c:tx>
            <c:strRef>
              <c:f>'Month - May 2012'!$B$46</c:f>
              <c:strCache>
                <c:ptCount val="1"/>
                <c:pt idx="0">
                  <c:v>Mumbai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2012'!$F$46:$Y$46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1.6233766233766236E-2</c:v>
                </c:pt>
                <c:pt idx="7">
                  <c:v>3.2443181818181815E-2</c:v>
                </c:pt>
                <c:pt idx="8">
                  <c:v>3.1022727272727271E-2</c:v>
                </c:pt>
                <c:pt idx="9">
                  <c:v>2.7920454545454547E-2</c:v>
                </c:pt>
                <c:pt idx="10">
                  <c:v>7.3150826446281E-2</c:v>
                </c:pt>
                <c:pt idx="11">
                  <c:v>6.7054924242424249E-2</c:v>
                </c:pt>
                <c:pt idx="12">
                  <c:v>8.4353146853146849E-2</c:v>
                </c:pt>
                <c:pt idx="13">
                  <c:v>0.11478896103896102</c:v>
                </c:pt>
                <c:pt idx="14">
                  <c:v>0.10713636363636364</c:v>
                </c:pt>
                <c:pt idx="15">
                  <c:v>0.1004403409090909</c:v>
                </c:pt>
                <c:pt idx="16">
                  <c:v>0.10884358288770053</c:v>
                </c:pt>
                <c:pt idx="17">
                  <c:v>0.10279671717171718</c:v>
                </c:pt>
                <c:pt idx="18">
                  <c:v>8.5179425837320563E-2</c:v>
                </c:pt>
                <c:pt idx="19">
                  <c:v>8.0920454545454545E-2</c:v>
                </c:pt>
              </c:numCache>
            </c:numRef>
          </c:val>
        </c:ser>
        <c:ser>
          <c:idx val="3"/>
          <c:order val="6"/>
          <c:tx>
            <c:strRef>
              <c:f>'Month - May 2012'!$B$47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2012'!$F$47:$Y$47</c:f>
              <c:numCache>
                <c:formatCode>0.0%</c:formatCode>
                <c:ptCount val="20"/>
                <c:pt idx="0">
                  <c:v>0.74486956521739134</c:v>
                </c:pt>
                <c:pt idx="1">
                  <c:v>0.37243478260869567</c:v>
                </c:pt>
                <c:pt idx="2">
                  <c:v>0.51389371980676324</c:v>
                </c:pt>
                <c:pt idx="3">
                  <c:v>0.46578260869565219</c:v>
                </c:pt>
                <c:pt idx="4">
                  <c:v>0.59729855072463767</c:v>
                </c:pt>
                <c:pt idx="5">
                  <c:v>0.49774879227053137</c:v>
                </c:pt>
                <c:pt idx="6">
                  <c:v>0.5951387163561076</c:v>
                </c:pt>
                <c:pt idx="7">
                  <c:v>0.61991304347826082</c:v>
                </c:pt>
                <c:pt idx="8">
                  <c:v>0.58970048309178746</c:v>
                </c:pt>
                <c:pt idx="9">
                  <c:v>0.63061449275362313</c:v>
                </c:pt>
                <c:pt idx="10">
                  <c:v>0.6751936758893281</c:v>
                </c:pt>
                <c:pt idx="11">
                  <c:v>0.68641062801932373</c:v>
                </c:pt>
                <c:pt idx="12">
                  <c:v>0.72572129319955414</c:v>
                </c:pt>
                <c:pt idx="13">
                  <c:v>0.73268737060041411</c:v>
                </c:pt>
                <c:pt idx="14">
                  <c:v>0.78640772946859894</c:v>
                </c:pt>
                <c:pt idx="15">
                  <c:v>0.79472826086956527</c:v>
                </c:pt>
                <c:pt idx="16">
                  <c:v>0.81850980392156869</c:v>
                </c:pt>
                <c:pt idx="17">
                  <c:v>0.81385185185185183</c:v>
                </c:pt>
                <c:pt idx="18">
                  <c:v>0.81249733028222737</c:v>
                </c:pt>
                <c:pt idx="19">
                  <c:v>0.85743478260869566</c:v>
                </c:pt>
              </c:numCache>
            </c:numRef>
          </c:val>
        </c:ser>
        <c:ser>
          <c:idx val="4"/>
          <c:order val="7"/>
          <c:tx>
            <c:strRef>
              <c:f>'Month - May 2012'!$B$48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May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May 2012'!$F$48:$Y$48</c:f>
              <c:numCache>
                <c:formatCode>0.0%</c:formatCode>
                <c:ptCount val="20"/>
                <c:pt idx="0">
                  <c:v>0.46695495495495498</c:v>
                </c:pt>
                <c:pt idx="1">
                  <c:v>0.41197597597597596</c:v>
                </c:pt>
                <c:pt idx="2">
                  <c:v>0.50377977977977972</c:v>
                </c:pt>
                <c:pt idx="3">
                  <c:v>0.48522222222222222</c:v>
                </c:pt>
                <c:pt idx="4">
                  <c:v>0.55996636636636632</c:v>
                </c:pt>
                <c:pt idx="5">
                  <c:v>0.51917317317317313</c:v>
                </c:pt>
                <c:pt idx="6">
                  <c:v>0.51273788073788074</c:v>
                </c:pt>
                <c:pt idx="7">
                  <c:v>0.51268318318318318</c:v>
                </c:pt>
                <c:pt idx="8">
                  <c:v>0.50408808808808814</c:v>
                </c:pt>
                <c:pt idx="9">
                  <c:v>0.51780060060060062</c:v>
                </c:pt>
                <c:pt idx="10">
                  <c:v>0.53889707889707894</c:v>
                </c:pt>
                <c:pt idx="11">
                  <c:v>0.54282782782782779</c:v>
                </c:pt>
                <c:pt idx="12">
                  <c:v>0.55367521367521366</c:v>
                </c:pt>
                <c:pt idx="13">
                  <c:v>0.57783526383526373</c:v>
                </c:pt>
                <c:pt idx="14">
                  <c:v>0.60486246246246245</c:v>
                </c:pt>
                <c:pt idx="15">
                  <c:v>0.59696621621621626</c:v>
                </c:pt>
                <c:pt idx="16">
                  <c:v>0.60045433668963089</c:v>
                </c:pt>
                <c:pt idx="17">
                  <c:v>0.60053853853853856</c:v>
                </c:pt>
                <c:pt idx="18">
                  <c:v>0.5953602023075707</c:v>
                </c:pt>
                <c:pt idx="19">
                  <c:v>0.60977777777777775</c:v>
                </c:pt>
              </c:numCache>
            </c:numRef>
          </c:val>
        </c:ser>
        <c:marker val="1"/>
        <c:axId val="140605312"/>
        <c:axId val="140606848"/>
      </c:lineChart>
      <c:catAx>
        <c:axId val="1406053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606848"/>
        <c:crosses val="autoZero"/>
        <c:auto val="1"/>
        <c:lblAlgn val="ctr"/>
        <c:lblOffset val="100"/>
      </c:catAx>
      <c:valAx>
        <c:axId val="14060684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60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June 2012'!$B$52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2012'!$F$52,'Month - June 2012'!$G$52:$Y$52)</c:f>
              <c:numCache>
                <c:formatCode>0</c:formatCode>
                <c:ptCount val="20"/>
                <c:pt idx="0">
                  <c:v>808600</c:v>
                </c:pt>
                <c:pt idx="1">
                  <c:v>587700</c:v>
                </c:pt>
                <c:pt idx="2">
                  <c:v>446260</c:v>
                </c:pt>
                <c:pt idx="3">
                  <c:v>395665</c:v>
                </c:pt>
                <c:pt idx="4">
                  <c:v>440132</c:v>
                </c:pt>
                <c:pt idx="5">
                  <c:v>428093.33333333337</c:v>
                </c:pt>
                <c:pt idx="6">
                  <c:v>427928.57142857148</c:v>
                </c:pt>
                <c:pt idx="7">
                  <c:v>397362.5</c:v>
                </c:pt>
                <c:pt idx="8">
                  <c:v>379588.88888888888</c:v>
                </c:pt>
                <c:pt idx="9">
                  <c:v>365370</c:v>
                </c:pt>
                <c:pt idx="10">
                  <c:v>332154.54545454541</c:v>
                </c:pt>
                <c:pt idx="11">
                  <c:v>324095</c:v>
                </c:pt>
                <c:pt idx="12">
                  <c:v>329790.76923076925</c:v>
                </c:pt>
                <c:pt idx="13">
                  <c:v>335025.71428571426</c:v>
                </c:pt>
                <c:pt idx="14">
                  <c:v>346216</c:v>
                </c:pt>
                <c:pt idx="15">
                  <c:v>338795</c:v>
                </c:pt>
                <c:pt idx="16">
                  <c:v>339818.82352941175</c:v>
                </c:pt>
                <c:pt idx="17">
                  <c:v>334128.88888888888</c:v>
                </c:pt>
                <c:pt idx="18">
                  <c:v>328337.89473684214</c:v>
                </c:pt>
                <c:pt idx="19">
                  <c:v>326451</c:v>
                </c:pt>
              </c:numCache>
            </c:numRef>
          </c:val>
        </c:ser>
        <c:ser>
          <c:idx val="1"/>
          <c:order val="1"/>
          <c:tx>
            <c:strRef>
              <c:f>'Month - June 2012'!$B$53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2012'!$F$53,'Month - June 2012'!$G$53:$Y$53)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17966.666666666668</c:v>
                </c:pt>
                <c:pt idx="3">
                  <c:v>13475</c:v>
                </c:pt>
                <c:pt idx="4">
                  <c:v>19940</c:v>
                </c:pt>
                <c:pt idx="5">
                  <c:v>16616.666666666668</c:v>
                </c:pt>
                <c:pt idx="6">
                  <c:v>33371.428571428572</c:v>
                </c:pt>
                <c:pt idx="7">
                  <c:v>29200</c:v>
                </c:pt>
                <c:pt idx="8">
                  <c:v>25955.555555555555</c:v>
                </c:pt>
                <c:pt idx="9">
                  <c:v>23360</c:v>
                </c:pt>
                <c:pt idx="10">
                  <c:v>21236.363636363636</c:v>
                </c:pt>
                <c:pt idx="11">
                  <c:v>32941.666666666664</c:v>
                </c:pt>
                <c:pt idx="12">
                  <c:v>30407.692307692309</c:v>
                </c:pt>
                <c:pt idx="13">
                  <c:v>28235.714285714283</c:v>
                </c:pt>
                <c:pt idx="14">
                  <c:v>26353.333333333336</c:v>
                </c:pt>
                <c:pt idx="15">
                  <c:v>40331.25</c:v>
                </c:pt>
                <c:pt idx="16">
                  <c:v>41129.411764705881</c:v>
                </c:pt>
                <c:pt idx="17">
                  <c:v>38844.444444444445</c:v>
                </c:pt>
                <c:pt idx="18">
                  <c:v>36800</c:v>
                </c:pt>
                <c:pt idx="19">
                  <c:v>45855</c:v>
                </c:pt>
              </c:numCache>
            </c:numRef>
          </c:val>
        </c:ser>
        <c:ser>
          <c:idx val="2"/>
          <c:order val="2"/>
          <c:tx>
            <c:strRef>
              <c:f>'Month - June 2012'!$B$54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2012'!$F$54,'Month - June 2012'!$G$54:$Y$54)</c:f>
              <c:numCache>
                <c:formatCode>0</c:formatCode>
                <c:ptCount val="20"/>
                <c:pt idx="0">
                  <c:v>0</c:v>
                </c:pt>
                <c:pt idx="1">
                  <c:v>25000</c:v>
                </c:pt>
                <c:pt idx="2">
                  <c:v>16666.666666666668</c:v>
                </c:pt>
                <c:pt idx="3">
                  <c:v>12500</c:v>
                </c:pt>
                <c:pt idx="4">
                  <c:v>34720</c:v>
                </c:pt>
                <c:pt idx="5">
                  <c:v>28933.333333333336</c:v>
                </c:pt>
                <c:pt idx="6">
                  <c:v>24800</c:v>
                </c:pt>
                <c:pt idx="7">
                  <c:v>33687.5</c:v>
                </c:pt>
                <c:pt idx="8">
                  <c:v>29944.444444444445</c:v>
                </c:pt>
                <c:pt idx="9">
                  <c:v>26950</c:v>
                </c:pt>
                <c:pt idx="10">
                  <c:v>24500</c:v>
                </c:pt>
                <c:pt idx="11">
                  <c:v>26950</c:v>
                </c:pt>
                <c:pt idx="12">
                  <c:v>32553.846153846152</c:v>
                </c:pt>
                <c:pt idx="13">
                  <c:v>34078.571428571428</c:v>
                </c:pt>
                <c:pt idx="14">
                  <c:v>55060</c:v>
                </c:pt>
                <c:pt idx="15">
                  <c:v>55993.75</c:v>
                </c:pt>
                <c:pt idx="16">
                  <c:v>47058.823529411762</c:v>
                </c:pt>
                <c:pt idx="17">
                  <c:v>44444.444444444445</c:v>
                </c:pt>
                <c:pt idx="18">
                  <c:v>42105.263157894733</c:v>
                </c:pt>
                <c:pt idx="19">
                  <c:v>55655</c:v>
                </c:pt>
              </c:numCache>
            </c:numRef>
          </c:val>
        </c:ser>
        <c:ser>
          <c:idx val="3"/>
          <c:order val="3"/>
          <c:tx>
            <c:strRef>
              <c:f>'Month - June 2012'!$B$55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2012'!$F$55,'Month - June 2012'!$G$55:$Y$55)</c:f>
              <c:numCache>
                <c:formatCode>0</c:formatCode>
                <c:ptCount val="20"/>
                <c:pt idx="0">
                  <c:v>313700</c:v>
                </c:pt>
                <c:pt idx="1">
                  <c:v>256550</c:v>
                </c:pt>
                <c:pt idx="2">
                  <c:v>317933.33333333331</c:v>
                </c:pt>
                <c:pt idx="3">
                  <c:v>401725</c:v>
                </c:pt>
                <c:pt idx="4">
                  <c:v>329380</c:v>
                </c:pt>
                <c:pt idx="5">
                  <c:v>331966.66666666663</c:v>
                </c:pt>
                <c:pt idx="6">
                  <c:v>293100</c:v>
                </c:pt>
                <c:pt idx="7">
                  <c:v>285175</c:v>
                </c:pt>
                <c:pt idx="8">
                  <c:v>271266.66666666669</c:v>
                </c:pt>
                <c:pt idx="9">
                  <c:v>271100</c:v>
                </c:pt>
                <c:pt idx="10">
                  <c:v>227854.54545454544</c:v>
                </c:pt>
                <c:pt idx="11">
                  <c:v>215950</c:v>
                </c:pt>
                <c:pt idx="12">
                  <c:v>223923.07692307691</c:v>
                </c:pt>
                <c:pt idx="13">
                  <c:v>212214.28571428574</c:v>
                </c:pt>
                <c:pt idx="14">
                  <c:v>213240</c:v>
                </c:pt>
                <c:pt idx="15">
                  <c:v>209831.25</c:v>
                </c:pt>
                <c:pt idx="16">
                  <c:v>213241.17647058825</c:v>
                </c:pt>
                <c:pt idx="17">
                  <c:v>211938.88888888891</c:v>
                </c:pt>
                <c:pt idx="18">
                  <c:v>197636.84210526317</c:v>
                </c:pt>
                <c:pt idx="19">
                  <c:v>196850</c:v>
                </c:pt>
              </c:numCache>
            </c:numRef>
          </c:val>
        </c:ser>
        <c:ser>
          <c:idx val="4"/>
          <c:order val="4"/>
          <c:tx>
            <c:strRef>
              <c:f>'Month - June 2012'!$B$56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2012'!$F$56,'Month - June 2012'!$G$56:$Y$56)</c:f>
              <c:numCache>
                <c:formatCode>0</c:formatCode>
                <c:ptCount val="20"/>
                <c:pt idx="0">
                  <c:v>0</c:v>
                </c:pt>
                <c:pt idx="1">
                  <c:v>45000</c:v>
                </c:pt>
                <c:pt idx="2">
                  <c:v>86633.333333333343</c:v>
                </c:pt>
                <c:pt idx="3">
                  <c:v>112400</c:v>
                </c:pt>
                <c:pt idx="4">
                  <c:v>101900</c:v>
                </c:pt>
                <c:pt idx="5">
                  <c:v>92903.333333333343</c:v>
                </c:pt>
                <c:pt idx="6">
                  <c:v>92474.28571428571</c:v>
                </c:pt>
                <c:pt idx="7">
                  <c:v>126042.5</c:v>
                </c:pt>
                <c:pt idx="8">
                  <c:v>124248.88888888889</c:v>
                </c:pt>
                <c:pt idx="9">
                  <c:v>111824</c:v>
                </c:pt>
                <c:pt idx="10">
                  <c:v>109912.72727272728</c:v>
                </c:pt>
                <c:pt idx="11">
                  <c:v>100753.33333333334</c:v>
                </c:pt>
                <c:pt idx="12">
                  <c:v>103452.30769230769</c:v>
                </c:pt>
                <c:pt idx="13">
                  <c:v>96062.85714285713</c:v>
                </c:pt>
                <c:pt idx="14">
                  <c:v>104978.66666666667</c:v>
                </c:pt>
                <c:pt idx="15">
                  <c:v>98417.5</c:v>
                </c:pt>
                <c:pt idx="16">
                  <c:v>92628.235294117636</c:v>
                </c:pt>
                <c:pt idx="17">
                  <c:v>87482.222222222219</c:v>
                </c:pt>
                <c:pt idx="18">
                  <c:v>86035.789473684214</c:v>
                </c:pt>
                <c:pt idx="19">
                  <c:v>48853</c:v>
                </c:pt>
              </c:numCache>
            </c:numRef>
          </c:val>
        </c:ser>
        <c:ser>
          <c:idx val="5"/>
          <c:order val="5"/>
          <c:tx>
            <c:strRef>
              <c:f>'Month - June 2012'!$B$57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2012'!$F$57,'Month - June 2012'!$G$57:$Y$57)</c:f>
              <c:numCache>
                <c:formatCode>0</c:formatCode>
                <c:ptCount val="20"/>
                <c:pt idx="0">
                  <c:v>38460</c:v>
                </c:pt>
                <c:pt idx="1">
                  <c:v>38460</c:v>
                </c:pt>
                <c:pt idx="2">
                  <c:v>25640</c:v>
                </c:pt>
                <c:pt idx="3">
                  <c:v>19230</c:v>
                </c:pt>
                <c:pt idx="4">
                  <c:v>33344</c:v>
                </c:pt>
                <c:pt idx="5">
                  <c:v>31120</c:v>
                </c:pt>
                <c:pt idx="6">
                  <c:v>48854.285714285717</c:v>
                </c:pt>
                <c:pt idx="7">
                  <c:v>42747.5</c:v>
                </c:pt>
                <c:pt idx="8">
                  <c:v>45820</c:v>
                </c:pt>
                <c:pt idx="9">
                  <c:v>41238</c:v>
                </c:pt>
                <c:pt idx="10">
                  <c:v>40125.454545454544</c:v>
                </c:pt>
                <c:pt idx="11">
                  <c:v>43290</c:v>
                </c:pt>
                <c:pt idx="12">
                  <c:v>46321.538461538454</c:v>
                </c:pt>
                <c:pt idx="13">
                  <c:v>43012.857142857145</c:v>
                </c:pt>
                <c:pt idx="14">
                  <c:v>42453.333333333328</c:v>
                </c:pt>
                <c:pt idx="15">
                  <c:v>41535</c:v>
                </c:pt>
                <c:pt idx="16">
                  <c:v>39091.76470588235</c:v>
                </c:pt>
                <c:pt idx="17">
                  <c:v>41514.444444444445</c:v>
                </c:pt>
                <c:pt idx="18">
                  <c:v>39329.473684210527</c:v>
                </c:pt>
                <c:pt idx="19">
                  <c:v>37363</c:v>
                </c:pt>
              </c:numCache>
            </c:numRef>
          </c:val>
        </c:ser>
        <c:ser>
          <c:idx val="6"/>
          <c:order val="6"/>
          <c:tx>
            <c:strRef>
              <c:f>'Month - June 2012'!$B$58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June 2012'!$F$51,'Month - June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June 2012'!$F$58,'Month - June 2012'!$G$58:$Y$58)</c:f>
              <c:numCache>
                <c:formatCode>0</c:formatCode>
                <c:ptCount val="20"/>
                <c:pt idx="0">
                  <c:v>264780</c:v>
                </c:pt>
                <c:pt idx="1">
                  <c:v>274250</c:v>
                </c:pt>
                <c:pt idx="2">
                  <c:v>315213.33333333331</c:v>
                </c:pt>
                <c:pt idx="3">
                  <c:v>322315</c:v>
                </c:pt>
                <c:pt idx="4">
                  <c:v>316156</c:v>
                </c:pt>
                <c:pt idx="5">
                  <c:v>263463.33333333331</c:v>
                </c:pt>
                <c:pt idx="6">
                  <c:v>225825.71428571426</c:v>
                </c:pt>
                <c:pt idx="7">
                  <c:v>260890</c:v>
                </c:pt>
                <c:pt idx="8">
                  <c:v>243433.33333333331</c:v>
                </c:pt>
                <c:pt idx="9">
                  <c:v>241656</c:v>
                </c:pt>
                <c:pt idx="10">
                  <c:v>228930.90909090909</c:v>
                </c:pt>
                <c:pt idx="11">
                  <c:v>232726.66666666669</c:v>
                </c:pt>
                <c:pt idx="12">
                  <c:v>220880</c:v>
                </c:pt>
                <c:pt idx="13">
                  <c:v>226064.28571428574</c:v>
                </c:pt>
                <c:pt idx="14">
                  <c:v>237696</c:v>
                </c:pt>
                <c:pt idx="15">
                  <c:v>233556.25</c:v>
                </c:pt>
                <c:pt idx="16">
                  <c:v>238115.29411764705</c:v>
                </c:pt>
                <c:pt idx="17">
                  <c:v>244434.44444444444</c:v>
                </c:pt>
                <c:pt idx="18">
                  <c:v>246634.73684210528</c:v>
                </c:pt>
                <c:pt idx="19">
                  <c:v>263083</c:v>
                </c:pt>
              </c:numCache>
            </c:numRef>
          </c:val>
        </c:ser>
        <c:marker val="1"/>
        <c:axId val="140563584"/>
        <c:axId val="140565120"/>
      </c:lineChart>
      <c:catAx>
        <c:axId val="1405635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565120"/>
        <c:crosses val="autoZero"/>
        <c:auto val="1"/>
        <c:lblAlgn val="ctr"/>
        <c:lblOffset val="100"/>
      </c:catAx>
      <c:valAx>
        <c:axId val="14056512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56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2256999489040834E-2"/>
          <c:y val="7.2916901012374524E-2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2012'!$F$36:$Y$36</c:f>
              <c:numCache>
                <c:formatCode>0</c:formatCode>
                <c:ptCount val="20"/>
                <c:pt idx="0">
                  <c:v>71277</c:v>
                </c:pt>
                <c:pt idx="1">
                  <c:v>122696</c:v>
                </c:pt>
                <c:pt idx="2">
                  <c:v>183947</c:v>
                </c:pt>
                <c:pt idx="3">
                  <c:v>255462</c:v>
                </c:pt>
                <c:pt idx="4">
                  <c:v>318893</c:v>
                </c:pt>
                <c:pt idx="5">
                  <c:v>357929</c:v>
                </c:pt>
                <c:pt idx="6">
                  <c:v>401224</c:v>
                </c:pt>
                <c:pt idx="7">
                  <c:v>470042</c:v>
                </c:pt>
                <c:pt idx="8">
                  <c:v>504116</c:v>
                </c:pt>
                <c:pt idx="9">
                  <c:v>540749</c:v>
                </c:pt>
                <c:pt idx="10">
                  <c:v>541593</c:v>
                </c:pt>
                <c:pt idx="11">
                  <c:v>586024</c:v>
                </c:pt>
                <c:pt idx="12">
                  <c:v>641764</c:v>
                </c:pt>
                <c:pt idx="13">
                  <c:v>682286</c:v>
                </c:pt>
                <c:pt idx="14">
                  <c:v>769498</c:v>
                </c:pt>
                <c:pt idx="15">
                  <c:v>814768</c:v>
                </c:pt>
                <c:pt idx="16">
                  <c:v>859421</c:v>
                </c:pt>
                <c:pt idx="17">
                  <c:v>902509</c:v>
                </c:pt>
                <c:pt idx="18">
                  <c:v>928036</c:v>
                </c:pt>
                <c:pt idx="19">
                  <c:v>974110</c:v>
                </c:pt>
              </c:numCache>
            </c:numRef>
          </c:val>
        </c:ser>
        <c:ser>
          <c:idx val="0"/>
          <c:order val="1"/>
          <c:tx>
            <c:strRef>
              <c:f>'Month - June 2012'!$C$60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June 2012'!$F$62:$Y$62</c:f>
              <c:numCache>
                <c:formatCode>0</c:formatCode>
                <c:ptCount val="20"/>
                <c:pt idx="0">
                  <c:v>85300</c:v>
                </c:pt>
                <c:pt idx="1">
                  <c:v>170600</c:v>
                </c:pt>
                <c:pt idx="2">
                  <c:v>255900</c:v>
                </c:pt>
                <c:pt idx="3">
                  <c:v>341200</c:v>
                </c:pt>
                <c:pt idx="4">
                  <c:v>426500</c:v>
                </c:pt>
                <c:pt idx="5">
                  <c:v>511800</c:v>
                </c:pt>
                <c:pt idx="6">
                  <c:v>597100</c:v>
                </c:pt>
                <c:pt idx="7">
                  <c:v>682400</c:v>
                </c:pt>
                <c:pt idx="8">
                  <c:v>767700</c:v>
                </c:pt>
                <c:pt idx="9">
                  <c:v>853000</c:v>
                </c:pt>
                <c:pt idx="10">
                  <c:v>938300</c:v>
                </c:pt>
                <c:pt idx="11">
                  <c:v>1023600</c:v>
                </c:pt>
                <c:pt idx="12">
                  <c:v>1108900</c:v>
                </c:pt>
                <c:pt idx="13">
                  <c:v>1194200</c:v>
                </c:pt>
                <c:pt idx="14">
                  <c:v>1279500</c:v>
                </c:pt>
                <c:pt idx="15">
                  <c:v>1364800</c:v>
                </c:pt>
                <c:pt idx="16">
                  <c:v>1450100</c:v>
                </c:pt>
                <c:pt idx="17">
                  <c:v>1535400</c:v>
                </c:pt>
                <c:pt idx="18">
                  <c:v>1620700</c:v>
                </c:pt>
                <c:pt idx="19">
                  <c:v>1706000</c:v>
                </c:pt>
              </c:numCache>
            </c:numRef>
          </c:val>
        </c:ser>
        <c:marker val="1"/>
        <c:axId val="140798976"/>
        <c:axId val="140821248"/>
      </c:lineChart>
      <c:catAx>
        <c:axId val="1407989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0821248"/>
        <c:crosses val="autoZero"/>
        <c:auto val="1"/>
        <c:lblAlgn val="ctr"/>
        <c:lblOffset val="100"/>
      </c:catAx>
      <c:valAx>
        <c:axId val="1408212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0798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March 2010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6613255644573907E-2"/>
          <c:y val="8.3871143882610744E-2"/>
          <c:w val="0.93299344501092496"/>
          <c:h val="0.73548541558598546"/>
        </c:manualLayout>
      </c:layout>
      <c:lineChart>
        <c:grouping val="standard"/>
        <c:ser>
          <c:idx val="0"/>
          <c:order val="0"/>
          <c:tx>
            <c:strRef>
              <c:f>'Mar 10'!$B$32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10'!$F$32:$Y$32</c:f>
              <c:numCache>
                <c:formatCode>0.0%</c:formatCode>
                <c:ptCount val="20"/>
                <c:pt idx="0">
                  <c:v>2.3709600000000002</c:v>
                </c:pt>
                <c:pt idx="1">
                  <c:v>1.68696</c:v>
                </c:pt>
                <c:pt idx="2">
                  <c:v>1.1989066666666668</c:v>
                </c:pt>
                <c:pt idx="3">
                  <c:v>1.42842</c:v>
                </c:pt>
                <c:pt idx="4">
                  <c:v>1.383008</c:v>
                </c:pt>
                <c:pt idx="5">
                  <c:v>1.3963733333333335</c:v>
                </c:pt>
                <c:pt idx="6">
                  <c:v>1.278297142857143</c:v>
                </c:pt>
                <c:pt idx="7">
                  <c:v>1.24854</c:v>
                </c:pt>
                <c:pt idx="8">
                  <c:v>1.3221955555555556</c:v>
                </c:pt>
                <c:pt idx="9">
                  <c:v>1.2413920000000001</c:v>
                </c:pt>
                <c:pt idx="10">
                  <c:v>1.2535781818181817</c:v>
                </c:pt>
                <c:pt idx="11">
                  <c:v>1.2856399999999999</c:v>
                </c:pt>
                <c:pt idx="12">
                  <c:v>1.2162523076923077</c:v>
                </c:pt>
                <c:pt idx="13">
                  <c:v>1.214</c:v>
                </c:pt>
                <c:pt idx="14">
                  <c:v>1.222208</c:v>
                </c:pt>
                <c:pt idx="15">
                  <c:v>1.2629950000000001</c:v>
                </c:pt>
                <c:pt idx="16">
                  <c:v>1.2230964705882352</c:v>
                </c:pt>
                <c:pt idx="17">
                  <c:v>1.1794800000000001</c:v>
                </c:pt>
                <c:pt idx="18">
                  <c:v>1.2406778947368422</c:v>
                </c:pt>
                <c:pt idx="19">
                  <c:v>1.2015400000000001</c:v>
                </c:pt>
              </c:numCache>
            </c:numRef>
          </c:val>
        </c:ser>
        <c:ser>
          <c:idx val="1"/>
          <c:order val="1"/>
          <c:tx>
            <c:strRef>
              <c:f>'Mar 10'!$B$33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10'!$F$33:$Y$33</c:f>
              <c:numCache>
                <c:formatCode>0.0%</c:formatCode>
                <c:ptCount val="20"/>
                <c:pt idx="0">
                  <c:v>0.44266666666666665</c:v>
                </c:pt>
                <c:pt idx="1">
                  <c:v>0.31116666666666665</c:v>
                </c:pt>
                <c:pt idx="2">
                  <c:v>0.42080000000000001</c:v>
                </c:pt>
                <c:pt idx="3">
                  <c:v>0.43368333333333331</c:v>
                </c:pt>
                <c:pt idx="4">
                  <c:v>0.57174666666666663</c:v>
                </c:pt>
                <c:pt idx="5">
                  <c:v>0.55306666666666671</c:v>
                </c:pt>
                <c:pt idx="6">
                  <c:v>0.5502476190476191</c:v>
                </c:pt>
                <c:pt idx="7">
                  <c:v>0.58796666666666664</c:v>
                </c:pt>
                <c:pt idx="8">
                  <c:v>0.53745185185185185</c:v>
                </c:pt>
                <c:pt idx="9">
                  <c:v>0.5016733333333333</c:v>
                </c:pt>
                <c:pt idx="10">
                  <c:v>0.52476363636363632</c:v>
                </c:pt>
                <c:pt idx="11">
                  <c:v>0.50433888888888889</c:v>
                </c:pt>
                <c:pt idx="12">
                  <c:v>0.46554358974358967</c:v>
                </c:pt>
                <c:pt idx="13">
                  <c:v>0.49105714285714291</c:v>
                </c:pt>
                <c:pt idx="14">
                  <c:v>0.47832000000000002</c:v>
                </c:pt>
                <c:pt idx="15">
                  <c:v>0.46840416666666668</c:v>
                </c:pt>
                <c:pt idx="16">
                  <c:v>0.48606666666666665</c:v>
                </c:pt>
                <c:pt idx="17">
                  <c:v>0.49580370370370375</c:v>
                </c:pt>
                <c:pt idx="18">
                  <c:v>0.50753333333333328</c:v>
                </c:pt>
                <c:pt idx="19">
                  <c:v>0.52151000000000003</c:v>
                </c:pt>
              </c:numCache>
            </c:numRef>
          </c:val>
        </c:ser>
        <c:ser>
          <c:idx val="2"/>
          <c:order val="2"/>
          <c:tx>
            <c:strRef>
              <c:f>'Mar 10'!$B$34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10'!$F$34:$Y$34</c:f>
              <c:numCache>
                <c:formatCode>0.0%</c:formatCode>
                <c:ptCount val="20"/>
                <c:pt idx="0">
                  <c:v>1.3924324324324324</c:v>
                </c:pt>
                <c:pt idx="1">
                  <c:v>0.69621621621621621</c:v>
                </c:pt>
                <c:pt idx="2">
                  <c:v>0.95009009009009004</c:v>
                </c:pt>
                <c:pt idx="3">
                  <c:v>0.78540540540540538</c:v>
                </c:pt>
                <c:pt idx="4">
                  <c:v>0.92854054054054058</c:v>
                </c:pt>
                <c:pt idx="5">
                  <c:v>1.0563963963963965</c:v>
                </c:pt>
                <c:pt idx="6">
                  <c:v>1.0565250965250965</c:v>
                </c:pt>
                <c:pt idx="7">
                  <c:v>1.0608783783783784</c:v>
                </c:pt>
                <c:pt idx="8">
                  <c:v>1.0077477477477477</c:v>
                </c:pt>
                <c:pt idx="9">
                  <c:v>1.042918918918919</c:v>
                </c:pt>
                <c:pt idx="10">
                  <c:v>1.1235380835380835</c:v>
                </c:pt>
                <c:pt idx="11">
                  <c:v>1.0604504504504504</c:v>
                </c:pt>
                <c:pt idx="12">
                  <c:v>1.0478586278586277</c:v>
                </c:pt>
                <c:pt idx="13">
                  <c:v>1.0656370656370655</c:v>
                </c:pt>
                <c:pt idx="14">
                  <c:v>1.0054054054054054</c:v>
                </c:pt>
                <c:pt idx="15">
                  <c:v>1.0458243243243246</c:v>
                </c:pt>
                <c:pt idx="16">
                  <c:v>1.0732082670906202</c:v>
                </c:pt>
                <c:pt idx="17">
                  <c:v>1.0640360360360361</c:v>
                </c:pt>
                <c:pt idx="18">
                  <c:v>1.0597553342816501</c:v>
                </c:pt>
                <c:pt idx="19">
                  <c:v>1.075075075075075</c:v>
                </c:pt>
              </c:numCache>
            </c:numRef>
          </c:val>
        </c:ser>
        <c:ser>
          <c:idx val="3"/>
          <c:order val="3"/>
          <c:tx>
            <c:strRef>
              <c:f>'Mar 10'!$B$35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10'!$F$35:$Y$35</c:f>
              <c:numCache>
                <c:formatCode>0.0%</c:formatCode>
                <c:ptCount val="20"/>
                <c:pt idx="0">
                  <c:v>3.1483636363636358</c:v>
                </c:pt>
                <c:pt idx="1">
                  <c:v>1.8812727272727272</c:v>
                </c:pt>
                <c:pt idx="2">
                  <c:v>2.1806969696969696</c:v>
                </c:pt>
                <c:pt idx="3">
                  <c:v>1.7985909090909091</c:v>
                </c:pt>
                <c:pt idx="4">
                  <c:v>1.6625636363636362</c:v>
                </c:pt>
                <c:pt idx="5">
                  <c:v>1.5641969696969695</c:v>
                </c:pt>
                <c:pt idx="6">
                  <c:v>1.4032857142857142</c:v>
                </c:pt>
                <c:pt idx="7">
                  <c:v>1.2892727272727271</c:v>
                </c:pt>
                <c:pt idx="8">
                  <c:v>1.222040404040404</c:v>
                </c:pt>
                <c:pt idx="9">
                  <c:v>1.3712181818181817</c:v>
                </c:pt>
                <c:pt idx="10">
                  <c:v>1.3704049586776859</c:v>
                </c:pt>
                <c:pt idx="11">
                  <c:v>1.3215681818181817</c:v>
                </c:pt>
                <c:pt idx="12">
                  <c:v>1.2925874125874126</c:v>
                </c:pt>
                <c:pt idx="13">
                  <c:v>1.3766233766233766</c:v>
                </c:pt>
                <c:pt idx="14">
                  <c:v>1.4074909090909089</c:v>
                </c:pt>
                <c:pt idx="15">
                  <c:v>1.3400511363636363</c:v>
                </c:pt>
                <c:pt idx="16">
                  <c:v>1.303620320855615</c:v>
                </c:pt>
                <c:pt idx="17">
                  <c:v>1.2652272727272726</c:v>
                </c:pt>
                <c:pt idx="18">
                  <c:v>1.2174593301435406</c:v>
                </c:pt>
                <c:pt idx="19">
                  <c:v>1.1739181818181819</c:v>
                </c:pt>
              </c:numCache>
            </c:numRef>
          </c:val>
        </c:ser>
        <c:ser>
          <c:idx val="4"/>
          <c:order val="4"/>
          <c:tx>
            <c:strRef>
              <c:f>'Mar 10'!$B$36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'Mar 10'!$F$31:$Y$31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'Mar 10'!$F$36:$Y$36</c:f>
              <c:numCache>
                <c:formatCode>0.0%</c:formatCode>
                <c:ptCount val="20"/>
                <c:pt idx="0">
                  <c:v>1.9431073981249418</c:v>
                </c:pt>
                <c:pt idx="1">
                  <c:v>1.2157924440731458</c:v>
                </c:pt>
                <c:pt idx="2">
                  <c:v>1.2725815774002909</c:v>
                </c:pt>
                <c:pt idx="3">
                  <c:v>1.1760063120764876</c:v>
                </c:pt>
                <c:pt idx="4">
                  <c:v>1.1804798663324978</c:v>
                </c:pt>
                <c:pt idx="5">
                  <c:v>1.1651959528450757</c:v>
                </c:pt>
                <c:pt idx="6">
                  <c:v>1.0831388524220604</c:v>
                </c:pt>
                <c:pt idx="7">
                  <c:v>1.0492257031467558</c:v>
                </c:pt>
                <c:pt idx="8">
                  <c:v>1.0215229019049683</c:v>
                </c:pt>
                <c:pt idx="9">
                  <c:v>1.0482052538754294</c:v>
                </c:pt>
                <c:pt idx="10">
                  <c:v>1.0696508274052134</c:v>
                </c:pt>
                <c:pt idx="11">
                  <c:v>1.0452970079519786</c:v>
                </c:pt>
                <c:pt idx="12">
                  <c:v>1.0067392127041248</c:v>
                </c:pt>
                <c:pt idx="13">
                  <c:v>1.0442137088753631</c:v>
                </c:pt>
                <c:pt idx="14">
                  <c:v>1.0436004084284787</c:v>
                </c:pt>
                <c:pt idx="15">
                  <c:v>1.0339647266313932</c:v>
                </c:pt>
                <c:pt idx="16">
                  <c:v>1.0216555331684329</c:v>
                </c:pt>
                <c:pt idx="17">
                  <c:v>0.99996947100260936</c:v>
                </c:pt>
                <c:pt idx="18">
                  <c:v>1.0007779292285293</c:v>
                </c:pt>
                <c:pt idx="19">
                  <c:v>0.98337295089575782</c:v>
                </c:pt>
              </c:numCache>
            </c:numRef>
          </c:val>
        </c:ser>
        <c:marker val="1"/>
        <c:axId val="109833600"/>
        <c:axId val="109843584"/>
      </c:lineChart>
      <c:catAx>
        <c:axId val="1098336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843584"/>
        <c:crosses val="autoZero"/>
        <c:auto val="1"/>
        <c:lblAlgn val="ctr"/>
        <c:lblOffset val="100"/>
      </c:catAx>
      <c:valAx>
        <c:axId val="1098435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983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847778587037146"/>
          <c:y val="0.92258267716535358"/>
          <c:w val="0.32119446467590096"/>
          <c:h val="4.301075268817197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765" l="0.70000000000000362" r="0.70000000000000362" t="0.750000000000017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June 2012'!$B$41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2012'!$F$41:$Y$41</c:f>
              <c:numCache>
                <c:formatCode>0.0%</c:formatCode>
                <c:ptCount val="20"/>
                <c:pt idx="0">
                  <c:v>2.1278947368421051</c:v>
                </c:pt>
                <c:pt idx="1">
                  <c:v>1.5465789473684211</c:v>
                </c:pt>
                <c:pt idx="2">
                  <c:v>1.1743684210526315</c:v>
                </c:pt>
                <c:pt idx="3">
                  <c:v>1.0412236842105262</c:v>
                </c:pt>
                <c:pt idx="4">
                  <c:v>1.158242105263158</c:v>
                </c:pt>
                <c:pt idx="5">
                  <c:v>1.1265614035087721</c:v>
                </c:pt>
                <c:pt idx="6">
                  <c:v>1.1261278195488724</c:v>
                </c:pt>
                <c:pt idx="7">
                  <c:v>1.0456907894736842</c:v>
                </c:pt>
                <c:pt idx="8">
                  <c:v>0.99891812865497076</c:v>
                </c:pt>
                <c:pt idx="9">
                  <c:v>0.96150000000000002</c:v>
                </c:pt>
                <c:pt idx="10">
                  <c:v>0.87409090909090903</c:v>
                </c:pt>
                <c:pt idx="11">
                  <c:v>0.85288157894736838</c:v>
                </c:pt>
                <c:pt idx="12">
                  <c:v>0.8678704453441296</c:v>
                </c:pt>
                <c:pt idx="13">
                  <c:v>0.88164661654135335</c:v>
                </c:pt>
                <c:pt idx="14">
                  <c:v>0.91109473684210529</c:v>
                </c:pt>
                <c:pt idx="15">
                  <c:v>0.89156578947368426</c:v>
                </c:pt>
                <c:pt idx="16">
                  <c:v>0.89426006191950458</c:v>
                </c:pt>
                <c:pt idx="17">
                  <c:v>0.87928654970760234</c:v>
                </c:pt>
                <c:pt idx="18">
                  <c:v>0.8640470914127425</c:v>
                </c:pt>
                <c:pt idx="19">
                  <c:v>0.85908157894736847</c:v>
                </c:pt>
              </c:numCache>
            </c:numRef>
          </c:val>
        </c:ser>
        <c:ser>
          <c:idx val="6"/>
          <c:order val="1"/>
          <c:tx>
            <c:strRef>
              <c:f>'Month - June 2012'!$B$42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9.9814814814814828E-2</c:v>
                </c:pt>
                <c:pt idx="3">
                  <c:v>7.4861111111111114E-2</c:v>
                </c:pt>
                <c:pt idx="4">
                  <c:v>0.11077777777777778</c:v>
                </c:pt>
                <c:pt idx="5">
                  <c:v>9.2314814814814822E-2</c:v>
                </c:pt>
                <c:pt idx="6">
                  <c:v>0.18539682539682539</c:v>
                </c:pt>
                <c:pt idx="7">
                  <c:v>0.16222222222222221</c:v>
                </c:pt>
                <c:pt idx="8">
                  <c:v>0.14419753086419754</c:v>
                </c:pt>
                <c:pt idx="9">
                  <c:v>0.12977777777777777</c:v>
                </c:pt>
                <c:pt idx="10">
                  <c:v>0.11797979797979798</c:v>
                </c:pt>
                <c:pt idx="11">
                  <c:v>0.18300925925925923</c:v>
                </c:pt>
                <c:pt idx="12">
                  <c:v>0.16893162393162395</c:v>
                </c:pt>
                <c:pt idx="13">
                  <c:v>0.15686507936507935</c:v>
                </c:pt>
                <c:pt idx="14">
                  <c:v>0.14640740740740743</c:v>
                </c:pt>
                <c:pt idx="15">
                  <c:v>0.2240625</c:v>
                </c:pt>
                <c:pt idx="16">
                  <c:v>0.22849673202614379</c:v>
                </c:pt>
                <c:pt idx="17">
                  <c:v>0.21580246913580248</c:v>
                </c:pt>
                <c:pt idx="18">
                  <c:v>0.20444444444444446</c:v>
                </c:pt>
                <c:pt idx="19">
                  <c:v>0.25474999999999998</c:v>
                </c:pt>
              </c:numCache>
            </c:numRef>
          </c:val>
        </c:ser>
        <c:ser>
          <c:idx val="1"/>
          <c:order val="2"/>
          <c:tx>
            <c:strRef>
              <c:f>'Month - June 2012'!$B$43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2012'!$F$43:$Y$43</c:f>
              <c:numCache>
                <c:formatCode>0.0%</c:formatCode>
                <c:ptCount val="20"/>
                <c:pt idx="0">
                  <c:v>0</c:v>
                </c:pt>
                <c:pt idx="1">
                  <c:v>0.1388888888888889</c:v>
                </c:pt>
                <c:pt idx="2">
                  <c:v>9.2592592592592601E-2</c:v>
                </c:pt>
                <c:pt idx="3">
                  <c:v>6.9444444444444448E-2</c:v>
                </c:pt>
                <c:pt idx="4">
                  <c:v>0.19288888888888889</c:v>
                </c:pt>
                <c:pt idx="5">
                  <c:v>0.16074074074074077</c:v>
                </c:pt>
                <c:pt idx="6">
                  <c:v>0.13777777777777778</c:v>
                </c:pt>
                <c:pt idx="7">
                  <c:v>0.18715277777777778</c:v>
                </c:pt>
                <c:pt idx="8">
                  <c:v>0.16635802469135802</c:v>
                </c:pt>
                <c:pt idx="9">
                  <c:v>0.14972222222222223</c:v>
                </c:pt>
                <c:pt idx="10">
                  <c:v>0.1361111111111111</c:v>
                </c:pt>
                <c:pt idx="11">
                  <c:v>0.14972222222222223</c:v>
                </c:pt>
                <c:pt idx="12">
                  <c:v>0.18085470085470085</c:v>
                </c:pt>
                <c:pt idx="13">
                  <c:v>0.18932539682539681</c:v>
                </c:pt>
                <c:pt idx="14">
                  <c:v>0.30588888888888888</c:v>
                </c:pt>
                <c:pt idx="15">
                  <c:v>0.31107638888888889</c:v>
                </c:pt>
                <c:pt idx="16">
                  <c:v>0.26143790849673199</c:v>
                </c:pt>
                <c:pt idx="17">
                  <c:v>0.24691358024691359</c:v>
                </c:pt>
                <c:pt idx="18">
                  <c:v>0.23391812865497075</c:v>
                </c:pt>
                <c:pt idx="19">
                  <c:v>0.30919444444444444</c:v>
                </c:pt>
              </c:numCache>
            </c:numRef>
          </c:val>
        </c:ser>
        <c:ser>
          <c:idx val="7"/>
          <c:order val="3"/>
          <c:tx>
            <c:strRef>
              <c:f>'Month - June 2012'!$B$44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2012'!$F$44:$Y$44</c:f>
              <c:numCache>
                <c:formatCode>0.0%</c:formatCode>
                <c:ptCount val="20"/>
                <c:pt idx="0">
                  <c:v>0.96820987654320989</c:v>
                </c:pt>
                <c:pt idx="1">
                  <c:v>0.79182098765432096</c:v>
                </c:pt>
                <c:pt idx="2">
                  <c:v>0.98127572016460896</c:v>
                </c:pt>
                <c:pt idx="3">
                  <c:v>1.2398919753086419</c:v>
                </c:pt>
                <c:pt idx="4">
                  <c:v>1.0166049382716049</c:v>
                </c:pt>
                <c:pt idx="5">
                  <c:v>1.024588477366255</c:v>
                </c:pt>
                <c:pt idx="6">
                  <c:v>0.90462962962962967</c:v>
                </c:pt>
                <c:pt idx="7">
                  <c:v>0.88016975308641976</c:v>
                </c:pt>
                <c:pt idx="8">
                  <c:v>0.83724279835390958</c:v>
                </c:pt>
                <c:pt idx="9">
                  <c:v>0.83672839506172836</c:v>
                </c:pt>
                <c:pt idx="10">
                  <c:v>0.70325476992143654</c:v>
                </c:pt>
                <c:pt idx="11">
                  <c:v>0.6665123456790123</c:v>
                </c:pt>
                <c:pt idx="12">
                  <c:v>0.69112060778727435</c:v>
                </c:pt>
                <c:pt idx="13">
                  <c:v>0.6549823633156967</c:v>
                </c:pt>
                <c:pt idx="14">
                  <c:v>0.65814814814814815</c:v>
                </c:pt>
                <c:pt idx="15">
                  <c:v>0.64762731481481484</c:v>
                </c:pt>
                <c:pt idx="16">
                  <c:v>0.65815177923021062</c:v>
                </c:pt>
                <c:pt idx="17">
                  <c:v>0.65413237311385464</c:v>
                </c:pt>
                <c:pt idx="18">
                  <c:v>0.60999025341130608</c:v>
                </c:pt>
                <c:pt idx="19">
                  <c:v>0.60756172839506173</c:v>
                </c:pt>
              </c:numCache>
            </c:numRef>
          </c:val>
        </c:ser>
        <c:ser>
          <c:idx val="2"/>
          <c:order val="4"/>
          <c:tx>
            <c:strRef>
              <c:f>'Month - June 2012'!$B$45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2012'!$F$45:$Y$45</c:f>
              <c:numCache>
                <c:formatCode>0.0%</c:formatCode>
                <c:ptCount val="20"/>
                <c:pt idx="0">
                  <c:v>0</c:v>
                </c:pt>
                <c:pt idx="1">
                  <c:v>0.234375</c:v>
                </c:pt>
                <c:pt idx="2">
                  <c:v>0.45121527777777781</c:v>
                </c:pt>
                <c:pt idx="3">
                  <c:v>0.5854166666666667</c:v>
                </c:pt>
                <c:pt idx="4">
                  <c:v>0.5307291666666667</c:v>
                </c:pt>
                <c:pt idx="5">
                  <c:v>0.48387152777777781</c:v>
                </c:pt>
                <c:pt idx="6">
                  <c:v>0.48163690476190474</c:v>
                </c:pt>
                <c:pt idx="7">
                  <c:v>0.65647135416666669</c:v>
                </c:pt>
                <c:pt idx="8">
                  <c:v>0.64712962962962961</c:v>
                </c:pt>
                <c:pt idx="9">
                  <c:v>0.58241666666666669</c:v>
                </c:pt>
                <c:pt idx="10">
                  <c:v>0.57246212121212126</c:v>
                </c:pt>
                <c:pt idx="11">
                  <c:v>0.52475694444444454</c:v>
                </c:pt>
                <c:pt idx="12">
                  <c:v>0.53881410256410256</c:v>
                </c:pt>
                <c:pt idx="13">
                  <c:v>0.50032738095238094</c:v>
                </c:pt>
                <c:pt idx="14">
                  <c:v>0.54676388888888894</c:v>
                </c:pt>
                <c:pt idx="15">
                  <c:v>0.51259114583333332</c:v>
                </c:pt>
                <c:pt idx="16">
                  <c:v>0.48243872549019601</c:v>
                </c:pt>
                <c:pt idx="17">
                  <c:v>0.45563657407407404</c:v>
                </c:pt>
                <c:pt idx="18">
                  <c:v>0.4481030701754386</c:v>
                </c:pt>
                <c:pt idx="19">
                  <c:v>0.25444270833333332</c:v>
                </c:pt>
              </c:numCache>
            </c:numRef>
          </c:val>
        </c:ser>
        <c:ser>
          <c:idx val="5"/>
          <c:order val="5"/>
          <c:tx>
            <c:strRef>
              <c:f>'Month - June 2012'!$B$46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2012'!$F$46:$Y$46</c:f>
              <c:numCache>
                <c:formatCode>0.0%</c:formatCode>
                <c:ptCount val="20"/>
                <c:pt idx="0">
                  <c:v>0.2003125</c:v>
                </c:pt>
                <c:pt idx="1">
                  <c:v>0.2003125</c:v>
                </c:pt>
                <c:pt idx="2">
                  <c:v>0.13354166666666667</c:v>
                </c:pt>
                <c:pt idx="3">
                  <c:v>0.10015625</c:v>
                </c:pt>
                <c:pt idx="4">
                  <c:v>0.17366666666666666</c:v>
                </c:pt>
                <c:pt idx="5">
                  <c:v>0.16208333333333333</c:v>
                </c:pt>
                <c:pt idx="6">
                  <c:v>0.25444940476190475</c:v>
                </c:pt>
                <c:pt idx="7">
                  <c:v>0.22264322916666668</c:v>
                </c:pt>
                <c:pt idx="8">
                  <c:v>0.23864583333333333</c:v>
                </c:pt>
                <c:pt idx="9">
                  <c:v>0.21478125000000001</c:v>
                </c:pt>
                <c:pt idx="10">
                  <c:v>0.20898674242424242</c:v>
                </c:pt>
                <c:pt idx="11">
                  <c:v>0.22546875</c:v>
                </c:pt>
                <c:pt idx="12">
                  <c:v>0.24125801282051279</c:v>
                </c:pt>
                <c:pt idx="13">
                  <c:v>0.22402529761904763</c:v>
                </c:pt>
                <c:pt idx="14">
                  <c:v>0.22111111111111109</c:v>
                </c:pt>
                <c:pt idx="15">
                  <c:v>0.21632812500000001</c:v>
                </c:pt>
                <c:pt idx="16">
                  <c:v>0.20360294117647057</c:v>
                </c:pt>
                <c:pt idx="17">
                  <c:v>0.21622106481481482</c:v>
                </c:pt>
                <c:pt idx="18">
                  <c:v>0.20484100877192982</c:v>
                </c:pt>
                <c:pt idx="19">
                  <c:v>0.19459895833333332</c:v>
                </c:pt>
              </c:numCache>
            </c:numRef>
          </c:val>
        </c:ser>
        <c:ser>
          <c:idx val="3"/>
          <c:order val="6"/>
          <c:tx>
            <c:strRef>
              <c:f>'Month - June 2012'!$B$47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2012'!$F$47:$Y$47</c:f>
              <c:numCache>
                <c:formatCode>0.0%</c:formatCode>
                <c:ptCount val="20"/>
                <c:pt idx="0">
                  <c:v>0.76747826086956517</c:v>
                </c:pt>
                <c:pt idx="1">
                  <c:v>0.79492753623188406</c:v>
                </c:pt>
                <c:pt idx="2">
                  <c:v>0.91366183574879223</c:v>
                </c:pt>
                <c:pt idx="3">
                  <c:v>0.93424637681159417</c:v>
                </c:pt>
                <c:pt idx="4">
                  <c:v>0.91639420289855067</c:v>
                </c:pt>
                <c:pt idx="5">
                  <c:v>0.76366183574879221</c:v>
                </c:pt>
                <c:pt idx="6">
                  <c:v>0.65456728778467899</c:v>
                </c:pt>
                <c:pt idx="7">
                  <c:v>0.75620289855072464</c:v>
                </c:pt>
                <c:pt idx="8">
                  <c:v>0.70560386473429948</c:v>
                </c:pt>
                <c:pt idx="9">
                  <c:v>0.70045217391304349</c:v>
                </c:pt>
                <c:pt idx="10">
                  <c:v>0.66356785243741767</c:v>
                </c:pt>
                <c:pt idx="11">
                  <c:v>0.67457004830917877</c:v>
                </c:pt>
                <c:pt idx="12">
                  <c:v>0.64023188405797105</c:v>
                </c:pt>
                <c:pt idx="13">
                  <c:v>0.65525879917184271</c:v>
                </c:pt>
                <c:pt idx="14">
                  <c:v>0.68897391304347821</c:v>
                </c:pt>
                <c:pt idx="15">
                  <c:v>0.6769746376811594</c:v>
                </c:pt>
                <c:pt idx="16">
                  <c:v>0.69018925831202038</c:v>
                </c:pt>
                <c:pt idx="17">
                  <c:v>0.70850563607085348</c:v>
                </c:pt>
                <c:pt idx="18">
                  <c:v>0.71488329519450811</c:v>
                </c:pt>
                <c:pt idx="19">
                  <c:v>0.76255942028985513</c:v>
                </c:pt>
              </c:numCache>
            </c:numRef>
          </c:val>
        </c:ser>
        <c:ser>
          <c:idx val="4"/>
          <c:order val="7"/>
          <c:tx>
            <c:strRef>
              <c:f>'Month - June 2012'!$B$48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June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June 2012'!$F$48:$Y$48</c:f>
              <c:numCache>
                <c:formatCode>0.0%</c:formatCode>
                <c:ptCount val="20"/>
                <c:pt idx="0">
                  <c:v>0.83560375146541621</c:v>
                </c:pt>
                <c:pt idx="1">
                  <c:v>0.71920281359906213</c:v>
                </c:pt>
                <c:pt idx="2">
                  <c:v>0.7188237592809692</c:v>
                </c:pt>
                <c:pt idx="3">
                  <c:v>0.74871629542790152</c:v>
                </c:pt>
                <c:pt idx="4">
                  <c:v>0.74769753810082062</c:v>
                </c:pt>
                <c:pt idx="5">
                  <c:v>0.69935326299335687</c:v>
                </c:pt>
                <c:pt idx="6">
                  <c:v>0.67195444649137492</c:v>
                </c:pt>
                <c:pt idx="7">
                  <c:v>0.6888071512309496</c:v>
                </c:pt>
                <c:pt idx="8">
                  <c:v>0.65665754852155789</c:v>
                </c:pt>
                <c:pt idx="9">
                  <c:v>0.63393786635404459</c:v>
                </c:pt>
                <c:pt idx="10">
                  <c:v>0.57720665032505591</c:v>
                </c:pt>
                <c:pt idx="11">
                  <c:v>0.57251270027354439</c:v>
                </c:pt>
                <c:pt idx="12">
                  <c:v>0.57873929118946699</c:v>
                </c:pt>
                <c:pt idx="13">
                  <c:v>0.57133311003182041</c:v>
                </c:pt>
                <c:pt idx="14">
                  <c:v>0.60140523642047672</c:v>
                </c:pt>
                <c:pt idx="15">
                  <c:v>0.59698710433763191</c:v>
                </c:pt>
                <c:pt idx="16">
                  <c:v>0.59266326460244112</c:v>
                </c:pt>
                <c:pt idx="17">
                  <c:v>0.58780057314054968</c:v>
                </c:pt>
                <c:pt idx="18">
                  <c:v>0.57261430246189926</c:v>
                </c:pt>
                <c:pt idx="19">
                  <c:v>0.5709906213364595</c:v>
                </c:pt>
              </c:numCache>
            </c:numRef>
          </c:val>
        </c:ser>
        <c:marker val="1"/>
        <c:axId val="140941184"/>
        <c:axId val="140942720"/>
      </c:lineChart>
      <c:catAx>
        <c:axId val="1409411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942720"/>
        <c:crosses val="autoZero"/>
        <c:auto val="1"/>
        <c:lblAlgn val="ctr"/>
        <c:lblOffset val="100"/>
      </c:catAx>
      <c:valAx>
        <c:axId val="140942720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94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July 2012'!$B$52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2012'!$F$52,'Month - July 2012'!$G$52:$Y$52)</c:f>
              <c:numCache>
                <c:formatCode>0</c:formatCode>
                <c:ptCount val="20"/>
                <c:pt idx="0">
                  <c:v>64700</c:v>
                </c:pt>
                <c:pt idx="1">
                  <c:v>151050</c:v>
                </c:pt>
                <c:pt idx="2">
                  <c:v>122300</c:v>
                </c:pt>
                <c:pt idx="3">
                  <c:v>105470</c:v>
                </c:pt>
                <c:pt idx="4">
                  <c:v>149316</c:v>
                </c:pt>
                <c:pt idx="5">
                  <c:v>144213.33333333334</c:v>
                </c:pt>
                <c:pt idx="6">
                  <c:v>155982.85714285713</c:v>
                </c:pt>
                <c:pt idx="7">
                  <c:v>151322.5</c:v>
                </c:pt>
                <c:pt idx="8">
                  <c:v>134508.88888888888</c:v>
                </c:pt>
                <c:pt idx="9">
                  <c:v>156358</c:v>
                </c:pt>
                <c:pt idx="10">
                  <c:v>157289.09090909091</c:v>
                </c:pt>
                <c:pt idx="11">
                  <c:v>149573.33333333334</c:v>
                </c:pt>
                <c:pt idx="12">
                  <c:v>146367.69230769231</c:v>
                </c:pt>
                <c:pt idx="13">
                  <c:v>140535.71428571429</c:v>
                </c:pt>
                <c:pt idx="14">
                  <c:v>111025.33333333333</c:v>
                </c:pt>
                <c:pt idx="15">
                  <c:v>112173.75</c:v>
                </c:pt>
                <c:pt idx="16">
                  <c:v>117940</c:v>
                </c:pt>
                <c:pt idx="17">
                  <c:v>130038.88888888889</c:v>
                </c:pt>
                <c:pt idx="18">
                  <c:v>135105.26315789472</c:v>
                </c:pt>
                <c:pt idx="19">
                  <c:v>130489</c:v>
                </c:pt>
              </c:numCache>
            </c:numRef>
          </c:val>
        </c:ser>
        <c:ser>
          <c:idx val="1"/>
          <c:order val="1"/>
          <c:tx>
            <c:strRef>
              <c:f>'Month - July 2012'!$B$53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2012'!$F$53,'Month - July 2012'!$G$53:$Y$53)</c:f>
              <c:numCache>
                <c:formatCode>0</c:formatCode>
                <c:ptCount val="20"/>
                <c:pt idx="0">
                  <c:v>64000</c:v>
                </c:pt>
                <c:pt idx="1">
                  <c:v>32000</c:v>
                </c:pt>
                <c:pt idx="2">
                  <c:v>21333.333333333336</c:v>
                </c:pt>
                <c:pt idx="3">
                  <c:v>16000</c:v>
                </c:pt>
                <c:pt idx="4">
                  <c:v>12800</c:v>
                </c:pt>
                <c:pt idx="5">
                  <c:v>5000</c:v>
                </c:pt>
                <c:pt idx="6">
                  <c:v>12857.142857142859</c:v>
                </c:pt>
                <c:pt idx="7">
                  <c:v>11250</c:v>
                </c:pt>
                <c:pt idx="8">
                  <c:v>10000</c:v>
                </c:pt>
                <c:pt idx="9">
                  <c:v>15400</c:v>
                </c:pt>
                <c:pt idx="10">
                  <c:v>31618.18181818182</c:v>
                </c:pt>
                <c:pt idx="11">
                  <c:v>28983.333333333336</c:v>
                </c:pt>
                <c:pt idx="12">
                  <c:v>26753.846153846152</c:v>
                </c:pt>
                <c:pt idx="13">
                  <c:v>28692.857142857141</c:v>
                </c:pt>
                <c:pt idx="14">
                  <c:v>26780</c:v>
                </c:pt>
                <c:pt idx="15">
                  <c:v>28475</c:v>
                </c:pt>
                <c:pt idx="16">
                  <c:v>26800</c:v>
                </c:pt>
                <c:pt idx="17">
                  <c:v>25311.111111111113</c:v>
                </c:pt>
                <c:pt idx="18">
                  <c:v>23978.947368421053</c:v>
                </c:pt>
                <c:pt idx="19">
                  <c:v>21480</c:v>
                </c:pt>
              </c:numCache>
            </c:numRef>
          </c:val>
        </c:ser>
        <c:ser>
          <c:idx val="2"/>
          <c:order val="2"/>
          <c:tx>
            <c:strRef>
              <c:f>'Month - July 2012'!$B$54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2012'!$F$54,'Month - July 2012'!$G$54:$Y$54)</c:f>
              <c:numCache>
                <c:formatCode>0</c:formatCode>
                <c:ptCount val="20"/>
                <c:pt idx="0">
                  <c:v>198300</c:v>
                </c:pt>
                <c:pt idx="1">
                  <c:v>180850</c:v>
                </c:pt>
                <c:pt idx="2">
                  <c:v>120566.66666666666</c:v>
                </c:pt>
                <c:pt idx="3">
                  <c:v>121400</c:v>
                </c:pt>
                <c:pt idx="4">
                  <c:v>121120</c:v>
                </c:pt>
                <c:pt idx="5">
                  <c:v>109916.66666666666</c:v>
                </c:pt>
                <c:pt idx="6">
                  <c:v>121385.71428571429</c:v>
                </c:pt>
                <c:pt idx="7">
                  <c:v>106212.5</c:v>
                </c:pt>
                <c:pt idx="8">
                  <c:v>121066.66666666666</c:v>
                </c:pt>
                <c:pt idx="9">
                  <c:v>123140</c:v>
                </c:pt>
                <c:pt idx="10">
                  <c:v>111945.45454545454</c:v>
                </c:pt>
                <c:pt idx="11">
                  <c:v>102616.66666666666</c:v>
                </c:pt>
                <c:pt idx="12">
                  <c:v>98869.230769230766</c:v>
                </c:pt>
                <c:pt idx="13">
                  <c:v>95657.14285714287</c:v>
                </c:pt>
                <c:pt idx="14">
                  <c:v>92873.333333333343</c:v>
                </c:pt>
                <c:pt idx="15">
                  <c:v>87068.75</c:v>
                </c:pt>
                <c:pt idx="16">
                  <c:v>89094.117647058825</c:v>
                </c:pt>
                <c:pt idx="17">
                  <c:v>80727.777777777781</c:v>
                </c:pt>
                <c:pt idx="18">
                  <c:v>72515.789473684214</c:v>
                </c:pt>
                <c:pt idx="19">
                  <c:v>63020</c:v>
                </c:pt>
              </c:numCache>
            </c:numRef>
          </c:val>
        </c:ser>
        <c:ser>
          <c:idx val="3"/>
          <c:order val="3"/>
          <c:tx>
            <c:strRef>
              <c:f>'Month - July 2012'!$B$55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2012'!$F$55,'Month - July 2012'!$G$55:$Y$55)</c:f>
              <c:numCache>
                <c:formatCode>0</c:formatCode>
                <c:ptCount val="20"/>
                <c:pt idx="0">
                  <c:v>144700</c:v>
                </c:pt>
                <c:pt idx="1">
                  <c:v>152300</c:v>
                </c:pt>
                <c:pt idx="2">
                  <c:v>121566.66666666666</c:v>
                </c:pt>
                <c:pt idx="3">
                  <c:v>141625</c:v>
                </c:pt>
                <c:pt idx="4">
                  <c:v>152280</c:v>
                </c:pt>
                <c:pt idx="5">
                  <c:v>175550</c:v>
                </c:pt>
                <c:pt idx="6">
                  <c:v>173571.42857142858</c:v>
                </c:pt>
                <c:pt idx="7">
                  <c:v>151875</c:v>
                </c:pt>
                <c:pt idx="8">
                  <c:v>143888.88888888888</c:v>
                </c:pt>
                <c:pt idx="9">
                  <c:v>139490</c:v>
                </c:pt>
                <c:pt idx="10">
                  <c:v>137700</c:v>
                </c:pt>
                <c:pt idx="11">
                  <c:v>126225</c:v>
                </c:pt>
                <c:pt idx="12">
                  <c:v>124969.23076923077</c:v>
                </c:pt>
                <c:pt idx="13">
                  <c:v>126992.85714285713</c:v>
                </c:pt>
                <c:pt idx="14">
                  <c:v>138986.66666666666</c:v>
                </c:pt>
                <c:pt idx="15">
                  <c:v>130300</c:v>
                </c:pt>
                <c:pt idx="16">
                  <c:v>133511.76470588235</c:v>
                </c:pt>
                <c:pt idx="17">
                  <c:v>124427.77777777778</c:v>
                </c:pt>
                <c:pt idx="18">
                  <c:v>117878.94736842105</c:v>
                </c:pt>
                <c:pt idx="19">
                  <c:v>113475</c:v>
                </c:pt>
              </c:numCache>
            </c:numRef>
          </c:val>
        </c:ser>
        <c:ser>
          <c:idx val="4"/>
          <c:order val="4"/>
          <c:tx>
            <c:strRef>
              <c:f>'Month - July 2012'!$B$56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2012'!$F$56,'Month - July 2012'!$G$56:$Y$56)</c:f>
              <c:numCache>
                <c:formatCode>0</c:formatCode>
                <c:ptCount val="20"/>
                <c:pt idx="0">
                  <c:v>59900</c:v>
                </c:pt>
                <c:pt idx="1">
                  <c:v>59900</c:v>
                </c:pt>
                <c:pt idx="2">
                  <c:v>39933.333333333336</c:v>
                </c:pt>
                <c:pt idx="3">
                  <c:v>69900</c:v>
                </c:pt>
                <c:pt idx="4">
                  <c:v>55920</c:v>
                </c:pt>
                <c:pt idx="5">
                  <c:v>46600</c:v>
                </c:pt>
                <c:pt idx="6">
                  <c:v>39942.857142857145</c:v>
                </c:pt>
                <c:pt idx="7">
                  <c:v>38700</c:v>
                </c:pt>
                <c:pt idx="8">
                  <c:v>38288.888888888891</c:v>
                </c:pt>
                <c:pt idx="9">
                  <c:v>60440</c:v>
                </c:pt>
                <c:pt idx="10">
                  <c:v>70381.818181818177</c:v>
                </c:pt>
                <c:pt idx="11">
                  <c:v>73675</c:v>
                </c:pt>
                <c:pt idx="12">
                  <c:v>68007.692307692312</c:v>
                </c:pt>
                <c:pt idx="13">
                  <c:v>63150</c:v>
                </c:pt>
                <c:pt idx="14">
                  <c:v>63600</c:v>
                </c:pt>
                <c:pt idx="15">
                  <c:v>56630</c:v>
                </c:pt>
                <c:pt idx="16">
                  <c:v>53298.823529411762</c:v>
                </c:pt>
                <c:pt idx="17">
                  <c:v>52554.444444444445</c:v>
                </c:pt>
                <c:pt idx="18">
                  <c:v>49788.421052631573</c:v>
                </c:pt>
                <c:pt idx="19">
                  <c:v>60794</c:v>
                </c:pt>
              </c:numCache>
            </c:numRef>
          </c:val>
        </c:ser>
        <c:ser>
          <c:idx val="5"/>
          <c:order val="5"/>
          <c:tx>
            <c:strRef>
              <c:f>'Month - July 2012'!$B$57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2012'!$F$57,'Month - July 2012'!$G$57:$Y$57)</c:f>
              <c:numCache>
                <c:formatCode>0</c:formatCode>
                <c:ptCount val="20"/>
                <c:pt idx="0">
                  <c:v>46480</c:v>
                </c:pt>
                <c:pt idx="1">
                  <c:v>23240</c:v>
                </c:pt>
                <c:pt idx="2">
                  <c:v>22160</c:v>
                </c:pt>
                <c:pt idx="3">
                  <c:v>16620</c:v>
                </c:pt>
                <c:pt idx="4">
                  <c:v>13296</c:v>
                </c:pt>
                <c:pt idx="5">
                  <c:v>17080</c:v>
                </c:pt>
                <c:pt idx="6">
                  <c:v>14640</c:v>
                </c:pt>
                <c:pt idx="7">
                  <c:v>12810</c:v>
                </c:pt>
                <c:pt idx="8">
                  <c:v>11386.666666666668</c:v>
                </c:pt>
                <c:pt idx="9">
                  <c:v>17288</c:v>
                </c:pt>
                <c:pt idx="10">
                  <c:v>15716.363636363638</c:v>
                </c:pt>
                <c:pt idx="11">
                  <c:v>14406.666666666668</c:v>
                </c:pt>
                <c:pt idx="12">
                  <c:v>17115.384615384613</c:v>
                </c:pt>
                <c:pt idx="13">
                  <c:v>17678.571428571428</c:v>
                </c:pt>
                <c:pt idx="14">
                  <c:v>16500</c:v>
                </c:pt>
                <c:pt idx="15">
                  <c:v>17647.5</c:v>
                </c:pt>
                <c:pt idx="16">
                  <c:v>16609.411764705881</c:v>
                </c:pt>
                <c:pt idx="17">
                  <c:v>15686.666666666668</c:v>
                </c:pt>
                <c:pt idx="18">
                  <c:v>14861.052631578948</c:v>
                </c:pt>
                <c:pt idx="19">
                  <c:v>14118</c:v>
                </c:pt>
              </c:numCache>
            </c:numRef>
          </c:val>
        </c:ser>
        <c:ser>
          <c:idx val="6"/>
          <c:order val="6"/>
          <c:tx>
            <c:strRef>
              <c:f>'Month - July 2012'!$B$58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July 2012'!$F$51,'Month - July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July 2012'!$F$58,'Month - July 2012'!$G$58:$Y$58)</c:f>
              <c:numCache>
                <c:formatCode>0</c:formatCode>
                <c:ptCount val="20"/>
                <c:pt idx="0">
                  <c:v>440520</c:v>
                </c:pt>
                <c:pt idx="1">
                  <c:v>362340</c:v>
                </c:pt>
                <c:pt idx="2">
                  <c:v>339533.33333333337</c:v>
                </c:pt>
                <c:pt idx="3">
                  <c:v>318510</c:v>
                </c:pt>
                <c:pt idx="4">
                  <c:v>359104</c:v>
                </c:pt>
                <c:pt idx="5">
                  <c:v>348603.33333333337</c:v>
                </c:pt>
                <c:pt idx="6">
                  <c:v>348568.57142857148</c:v>
                </c:pt>
                <c:pt idx="7">
                  <c:v>341435</c:v>
                </c:pt>
                <c:pt idx="8">
                  <c:v>337933.33333333337</c:v>
                </c:pt>
                <c:pt idx="9">
                  <c:v>356618</c:v>
                </c:pt>
                <c:pt idx="10">
                  <c:v>354821.81818181818</c:v>
                </c:pt>
                <c:pt idx="11">
                  <c:v>336866.66666666663</c:v>
                </c:pt>
                <c:pt idx="12">
                  <c:v>347641.53846153844</c:v>
                </c:pt>
                <c:pt idx="13">
                  <c:v>332652.85714285716</c:v>
                </c:pt>
                <c:pt idx="14">
                  <c:v>336184</c:v>
                </c:pt>
                <c:pt idx="15">
                  <c:v>323811.25</c:v>
                </c:pt>
                <c:pt idx="16">
                  <c:v>324102.35294117645</c:v>
                </c:pt>
                <c:pt idx="17">
                  <c:v>326131.11111111112</c:v>
                </c:pt>
                <c:pt idx="18">
                  <c:v>318349.47368421056</c:v>
                </c:pt>
                <c:pt idx="19">
                  <c:v>301305</c:v>
                </c:pt>
              </c:numCache>
            </c:numRef>
          </c:val>
        </c:ser>
        <c:marker val="1"/>
        <c:axId val="140891264"/>
        <c:axId val="140892800"/>
      </c:lineChart>
      <c:catAx>
        <c:axId val="1408912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892800"/>
        <c:crosses val="autoZero"/>
        <c:auto val="1"/>
        <c:lblAlgn val="ctr"/>
        <c:lblOffset val="100"/>
      </c:catAx>
      <c:valAx>
        <c:axId val="14089280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89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2256999489040834E-2"/>
          <c:y val="7.2916901012374524E-2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2012'!$F$36:$Y$36</c:f>
              <c:numCache>
                <c:formatCode>0</c:formatCode>
                <c:ptCount val="20"/>
                <c:pt idx="0">
                  <c:v>50930</c:v>
                </c:pt>
                <c:pt idx="1">
                  <c:v>96168</c:v>
                </c:pt>
                <c:pt idx="2">
                  <c:v>118109</c:v>
                </c:pt>
                <c:pt idx="3">
                  <c:v>157905</c:v>
                </c:pt>
                <c:pt idx="4">
                  <c:v>215959</c:v>
                </c:pt>
                <c:pt idx="5">
                  <c:v>254089</c:v>
                </c:pt>
                <c:pt idx="6">
                  <c:v>303432</c:v>
                </c:pt>
                <c:pt idx="7">
                  <c:v>325442</c:v>
                </c:pt>
                <c:pt idx="8">
                  <c:v>358683</c:v>
                </c:pt>
                <c:pt idx="9">
                  <c:v>434367</c:v>
                </c:pt>
                <c:pt idx="10">
                  <c:v>483710</c:v>
                </c:pt>
                <c:pt idx="11">
                  <c:v>499408</c:v>
                </c:pt>
                <c:pt idx="12">
                  <c:v>539321</c:v>
                </c:pt>
                <c:pt idx="13">
                  <c:v>563752</c:v>
                </c:pt>
                <c:pt idx="14">
                  <c:v>589462</c:v>
                </c:pt>
                <c:pt idx="15">
                  <c:v>604885</c:v>
                </c:pt>
                <c:pt idx="16">
                  <c:v>647153</c:v>
                </c:pt>
                <c:pt idx="17">
                  <c:v>679390</c:v>
                </c:pt>
                <c:pt idx="18">
                  <c:v>695854</c:v>
                </c:pt>
                <c:pt idx="19">
                  <c:v>704681</c:v>
                </c:pt>
              </c:numCache>
            </c:numRef>
          </c:val>
        </c:ser>
        <c:ser>
          <c:idx val="0"/>
          <c:order val="1"/>
          <c:tx>
            <c:strRef>
              <c:f>'Month - July 2012'!$C$60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July 2012'!$F$62:$Y$62</c:f>
              <c:numCache>
                <c:formatCode>0</c:formatCode>
                <c:ptCount val="20"/>
                <c:pt idx="0">
                  <c:v>74700</c:v>
                </c:pt>
                <c:pt idx="1">
                  <c:v>149400</c:v>
                </c:pt>
                <c:pt idx="2">
                  <c:v>224100</c:v>
                </c:pt>
                <c:pt idx="3">
                  <c:v>298800</c:v>
                </c:pt>
                <c:pt idx="4">
                  <c:v>373500</c:v>
                </c:pt>
                <c:pt idx="5">
                  <c:v>448200</c:v>
                </c:pt>
                <c:pt idx="6">
                  <c:v>522900</c:v>
                </c:pt>
                <c:pt idx="7">
                  <c:v>597600</c:v>
                </c:pt>
                <c:pt idx="8">
                  <c:v>672300</c:v>
                </c:pt>
                <c:pt idx="9">
                  <c:v>747000</c:v>
                </c:pt>
                <c:pt idx="10">
                  <c:v>821700</c:v>
                </c:pt>
                <c:pt idx="11">
                  <c:v>896400</c:v>
                </c:pt>
                <c:pt idx="12">
                  <c:v>971100</c:v>
                </c:pt>
                <c:pt idx="13">
                  <c:v>1045800</c:v>
                </c:pt>
                <c:pt idx="14">
                  <c:v>1120500</c:v>
                </c:pt>
                <c:pt idx="15">
                  <c:v>1195200</c:v>
                </c:pt>
                <c:pt idx="16">
                  <c:v>1269900</c:v>
                </c:pt>
                <c:pt idx="17">
                  <c:v>1344600</c:v>
                </c:pt>
                <c:pt idx="18">
                  <c:v>1419300</c:v>
                </c:pt>
                <c:pt idx="19">
                  <c:v>1494000</c:v>
                </c:pt>
              </c:numCache>
            </c:numRef>
          </c:val>
        </c:ser>
        <c:marker val="1"/>
        <c:axId val="141077504"/>
        <c:axId val="141079296"/>
      </c:lineChart>
      <c:catAx>
        <c:axId val="141077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079296"/>
        <c:crosses val="autoZero"/>
        <c:auto val="1"/>
        <c:lblAlgn val="ctr"/>
        <c:lblOffset val="100"/>
      </c:catAx>
      <c:valAx>
        <c:axId val="1410792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077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July 2012'!$B$41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2012'!$F$41:$Y$41</c:f>
              <c:numCache>
                <c:formatCode>0.0%</c:formatCode>
                <c:ptCount val="20"/>
                <c:pt idx="0">
                  <c:v>0.20218749999999999</c:v>
                </c:pt>
                <c:pt idx="1">
                  <c:v>0.47203125000000001</c:v>
                </c:pt>
                <c:pt idx="2">
                  <c:v>0.38218750000000001</c:v>
                </c:pt>
                <c:pt idx="3">
                  <c:v>0.32959375000000002</c:v>
                </c:pt>
                <c:pt idx="4">
                  <c:v>0.46661249999999999</c:v>
                </c:pt>
                <c:pt idx="5">
                  <c:v>0.45066666666666672</c:v>
                </c:pt>
                <c:pt idx="6">
                  <c:v>0.48744642857142856</c:v>
                </c:pt>
                <c:pt idx="7">
                  <c:v>0.47288281250000003</c:v>
                </c:pt>
                <c:pt idx="8">
                  <c:v>0.42034027777777772</c:v>
                </c:pt>
                <c:pt idx="9">
                  <c:v>0.48861874999999999</c:v>
                </c:pt>
                <c:pt idx="10">
                  <c:v>0.49152840909090911</c:v>
                </c:pt>
                <c:pt idx="11">
                  <c:v>0.4674166666666667</c:v>
                </c:pt>
                <c:pt idx="12">
                  <c:v>0.45739903846153845</c:v>
                </c:pt>
                <c:pt idx="13">
                  <c:v>0.43917410714285715</c:v>
                </c:pt>
                <c:pt idx="14">
                  <c:v>0.34695416666666667</c:v>
                </c:pt>
                <c:pt idx="15">
                  <c:v>0.35054296875000002</c:v>
                </c:pt>
                <c:pt idx="16">
                  <c:v>0.36856250000000002</c:v>
                </c:pt>
                <c:pt idx="17">
                  <c:v>0.4063715277777778</c:v>
                </c:pt>
                <c:pt idx="18">
                  <c:v>0.42220394736842098</c:v>
                </c:pt>
                <c:pt idx="19">
                  <c:v>0.40777812499999999</c:v>
                </c:pt>
              </c:numCache>
            </c:numRef>
          </c:val>
        </c:ser>
        <c:ser>
          <c:idx val="6"/>
          <c:order val="1"/>
          <c:tx>
            <c:strRef>
              <c:f>'Month - July 2012'!$B$42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2012'!$F$42:$Y$42</c:f>
              <c:numCache>
                <c:formatCode>0.0%</c:formatCode>
                <c:ptCount val="20"/>
                <c:pt idx="0">
                  <c:v>0.39506172839506171</c:v>
                </c:pt>
                <c:pt idx="1">
                  <c:v>0.19753086419753085</c:v>
                </c:pt>
                <c:pt idx="2">
                  <c:v>0.13168724279835392</c:v>
                </c:pt>
                <c:pt idx="3">
                  <c:v>9.8765432098765427E-2</c:v>
                </c:pt>
                <c:pt idx="4">
                  <c:v>7.9012345679012344E-2</c:v>
                </c:pt>
                <c:pt idx="5">
                  <c:v>3.0864197530864196E-2</c:v>
                </c:pt>
                <c:pt idx="6">
                  <c:v>7.9365079365079375E-2</c:v>
                </c:pt>
                <c:pt idx="7">
                  <c:v>6.9444444444444448E-2</c:v>
                </c:pt>
                <c:pt idx="8">
                  <c:v>6.1728395061728392E-2</c:v>
                </c:pt>
                <c:pt idx="9">
                  <c:v>9.5061728395061731E-2</c:v>
                </c:pt>
                <c:pt idx="10">
                  <c:v>0.19517396184062852</c:v>
                </c:pt>
                <c:pt idx="11">
                  <c:v>0.17890946502057614</c:v>
                </c:pt>
                <c:pt idx="12">
                  <c:v>0.1651471984805318</c:v>
                </c:pt>
                <c:pt idx="13">
                  <c:v>0.17711640211640212</c:v>
                </c:pt>
                <c:pt idx="14">
                  <c:v>0.16530864197530865</c:v>
                </c:pt>
                <c:pt idx="15">
                  <c:v>0.1757716049382716</c:v>
                </c:pt>
                <c:pt idx="16">
                  <c:v>0.16543209876543211</c:v>
                </c:pt>
                <c:pt idx="17">
                  <c:v>0.15624142661179699</c:v>
                </c:pt>
                <c:pt idx="18">
                  <c:v>0.14801819363222873</c:v>
                </c:pt>
                <c:pt idx="19">
                  <c:v>0.1325925925925926</c:v>
                </c:pt>
              </c:numCache>
            </c:numRef>
          </c:val>
        </c:ser>
        <c:ser>
          <c:idx val="1"/>
          <c:order val="2"/>
          <c:tx>
            <c:strRef>
              <c:f>'Month - July 2012'!$B$43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2012'!$F$43:$Y$43</c:f>
              <c:numCache>
                <c:formatCode>0.0%</c:formatCode>
                <c:ptCount val="20"/>
                <c:pt idx="0">
                  <c:v>1.2240740740740741</c:v>
                </c:pt>
                <c:pt idx="1">
                  <c:v>1.116358024691358</c:v>
                </c:pt>
                <c:pt idx="2">
                  <c:v>0.74423868312757191</c:v>
                </c:pt>
                <c:pt idx="3">
                  <c:v>0.74938271604938267</c:v>
                </c:pt>
                <c:pt idx="4">
                  <c:v>0.74765432098765428</c:v>
                </c:pt>
                <c:pt idx="5">
                  <c:v>0.67849794238683125</c:v>
                </c:pt>
                <c:pt idx="6">
                  <c:v>0.74929453262786594</c:v>
                </c:pt>
                <c:pt idx="7">
                  <c:v>0.65563271604938267</c:v>
                </c:pt>
                <c:pt idx="8">
                  <c:v>0.74732510288065834</c:v>
                </c:pt>
                <c:pt idx="9">
                  <c:v>0.7601234567901235</c:v>
                </c:pt>
                <c:pt idx="10">
                  <c:v>0.69102132435465768</c:v>
                </c:pt>
                <c:pt idx="11">
                  <c:v>0.63343621399176953</c:v>
                </c:pt>
                <c:pt idx="12">
                  <c:v>0.61030389363722692</c:v>
                </c:pt>
                <c:pt idx="13">
                  <c:v>0.5904761904761906</c:v>
                </c:pt>
                <c:pt idx="14">
                  <c:v>0.57329218106995894</c:v>
                </c:pt>
                <c:pt idx="15">
                  <c:v>0.53746141975308637</c:v>
                </c:pt>
                <c:pt idx="16">
                  <c:v>0.54996368917937544</c:v>
                </c:pt>
                <c:pt idx="17">
                  <c:v>0.49831961591220852</c:v>
                </c:pt>
                <c:pt idx="18">
                  <c:v>0.44762833008447045</c:v>
                </c:pt>
                <c:pt idx="19">
                  <c:v>0.38901234567901233</c:v>
                </c:pt>
              </c:numCache>
            </c:numRef>
          </c:val>
        </c:ser>
        <c:ser>
          <c:idx val="7"/>
          <c:order val="3"/>
          <c:tx>
            <c:strRef>
              <c:f>'Month - July 2012'!$B$44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2012'!$F$44:$Y$44</c:f>
              <c:numCache>
                <c:formatCode>0.0%</c:formatCode>
                <c:ptCount val="20"/>
                <c:pt idx="0">
                  <c:v>0.53592592592592592</c:v>
                </c:pt>
                <c:pt idx="1">
                  <c:v>0.56407407407407406</c:v>
                </c:pt>
                <c:pt idx="2">
                  <c:v>0.45024691358024688</c:v>
                </c:pt>
                <c:pt idx="3">
                  <c:v>0.52453703703703702</c:v>
                </c:pt>
                <c:pt idx="4">
                  <c:v>0.56399999999999995</c:v>
                </c:pt>
                <c:pt idx="5">
                  <c:v>0.6501851851851852</c:v>
                </c:pt>
                <c:pt idx="6">
                  <c:v>0.6428571428571429</c:v>
                </c:pt>
                <c:pt idx="7">
                  <c:v>0.5625</c:v>
                </c:pt>
                <c:pt idx="8">
                  <c:v>0.53292181069958844</c:v>
                </c:pt>
                <c:pt idx="9">
                  <c:v>0.51662962962962966</c:v>
                </c:pt>
                <c:pt idx="10">
                  <c:v>0.51</c:v>
                </c:pt>
                <c:pt idx="11">
                  <c:v>0.46750000000000003</c:v>
                </c:pt>
                <c:pt idx="12">
                  <c:v>0.46284900284900282</c:v>
                </c:pt>
                <c:pt idx="13">
                  <c:v>0.47034391534391529</c:v>
                </c:pt>
                <c:pt idx="14">
                  <c:v>0.51476543209876535</c:v>
                </c:pt>
                <c:pt idx="15">
                  <c:v>0.48259259259259257</c:v>
                </c:pt>
                <c:pt idx="16">
                  <c:v>0.4944880174291939</c:v>
                </c:pt>
                <c:pt idx="17">
                  <c:v>0.46084362139917695</c:v>
                </c:pt>
                <c:pt idx="18">
                  <c:v>0.43658869395711503</c:v>
                </c:pt>
                <c:pt idx="19">
                  <c:v>0.42027777777777775</c:v>
                </c:pt>
              </c:numCache>
            </c:numRef>
          </c:val>
        </c:ser>
        <c:ser>
          <c:idx val="2"/>
          <c:order val="4"/>
          <c:tx>
            <c:strRef>
              <c:f>'Month - July 2012'!$B$45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2012'!$F$45:$Y$45</c:f>
              <c:numCache>
                <c:formatCode>0.0%</c:formatCode>
                <c:ptCount val="20"/>
                <c:pt idx="0">
                  <c:v>0.37437500000000001</c:v>
                </c:pt>
                <c:pt idx="1">
                  <c:v>0.37437500000000001</c:v>
                </c:pt>
                <c:pt idx="2">
                  <c:v>0.24958333333333335</c:v>
                </c:pt>
                <c:pt idx="3">
                  <c:v>0.43687500000000001</c:v>
                </c:pt>
                <c:pt idx="4">
                  <c:v>0.34949999999999998</c:v>
                </c:pt>
                <c:pt idx="5">
                  <c:v>0.29125000000000001</c:v>
                </c:pt>
                <c:pt idx="6">
                  <c:v>0.24964285714285717</c:v>
                </c:pt>
                <c:pt idx="7">
                  <c:v>0.24187500000000001</c:v>
                </c:pt>
                <c:pt idx="8">
                  <c:v>0.23930555555555558</c:v>
                </c:pt>
                <c:pt idx="9">
                  <c:v>0.37774999999999997</c:v>
                </c:pt>
                <c:pt idx="10">
                  <c:v>0.43988636363636363</c:v>
                </c:pt>
                <c:pt idx="11">
                  <c:v>0.46046874999999998</c:v>
                </c:pt>
                <c:pt idx="12">
                  <c:v>0.42504807692307695</c:v>
                </c:pt>
                <c:pt idx="13">
                  <c:v>0.39468750000000002</c:v>
                </c:pt>
                <c:pt idx="14">
                  <c:v>0.39750000000000002</c:v>
                </c:pt>
                <c:pt idx="15">
                  <c:v>0.35393750000000002</c:v>
                </c:pt>
                <c:pt idx="16">
                  <c:v>0.33311764705882352</c:v>
                </c:pt>
                <c:pt idx="17">
                  <c:v>0.32846527777777779</c:v>
                </c:pt>
                <c:pt idx="18">
                  <c:v>0.31117763157894734</c:v>
                </c:pt>
                <c:pt idx="19">
                  <c:v>0.37996249999999998</c:v>
                </c:pt>
              </c:numCache>
            </c:numRef>
          </c:val>
        </c:ser>
        <c:ser>
          <c:idx val="5"/>
          <c:order val="5"/>
          <c:tx>
            <c:strRef>
              <c:f>'Month - July 2012'!$B$46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2012'!$F$46:$Y$46</c:f>
              <c:numCache>
                <c:formatCode>0.0%</c:formatCode>
                <c:ptCount val="20"/>
                <c:pt idx="0">
                  <c:v>0.29049999999999998</c:v>
                </c:pt>
                <c:pt idx="1">
                  <c:v>0.14524999999999999</c:v>
                </c:pt>
                <c:pt idx="2">
                  <c:v>0.13850000000000001</c:v>
                </c:pt>
                <c:pt idx="3">
                  <c:v>0.103875</c:v>
                </c:pt>
                <c:pt idx="4">
                  <c:v>8.3099999999999993E-2</c:v>
                </c:pt>
                <c:pt idx="5">
                  <c:v>0.10675</c:v>
                </c:pt>
                <c:pt idx="6">
                  <c:v>9.1499999999999998E-2</c:v>
                </c:pt>
                <c:pt idx="7">
                  <c:v>8.0062499999999995E-2</c:v>
                </c:pt>
                <c:pt idx="8">
                  <c:v>7.116666666666667E-2</c:v>
                </c:pt>
                <c:pt idx="9">
                  <c:v>0.10804999999999999</c:v>
                </c:pt>
                <c:pt idx="10">
                  <c:v>9.8227272727272733E-2</c:v>
                </c:pt>
                <c:pt idx="11">
                  <c:v>9.0041666666666673E-2</c:v>
                </c:pt>
                <c:pt idx="12">
                  <c:v>0.10697115384615384</c:v>
                </c:pt>
                <c:pt idx="13">
                  <c:v>0.11049107142857142</c:v>
                </c:pt>
                <c:pt idx="14">
                  <c:v>0.10312499999999999</c:v>
                </c:pt>
                <c:pt idx="15">
                  <c:v>0.110296875</c:v>
                </c:pt>
                <c:pt idx="16">
                  <c:v>0.10380882352941176</c:v>
                </c:pt>
                <c:pt idx="17">
                  <c:v>9.804166666666668E-2</c:v>
                </c:pt>
                <c:pt idx="18">
                  <c:v>9.2881578947368426E-2</c:v>
                </c:pt>
                <c:pt idx="19">
                  <c:v>8.8237499999999996E-2</c:v>
                </c:pt>
              </c:numCache>
            </c:numRef>
          </c:val>
        </c:ser>
        <c:ser>
          <c:idx val="3"/>
          <c:order val="6"/>
          <c:tx>
            <c:strRef>
              <c:f>'Month - July 2012'!$B$47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2012'!$F$47:$Y$47</c:f>
              <c:numCache>
                <c:formatCode>0.0%</c:formatCode>
                <c:ptCount val="20"/>
                <c:pt idx="0">
                  <c:v>1.4683999999999999</c:v>
                </c:pt>
                <c:pt idx="1">
                  <c:v>1.2078</c:v>
                </c:pt>
                <c:pt idx="2">
                  <c:v>1.131777777777778</c:v>
                </c:pt>
                <c:pt idx="3">
                  <c:v>1.0617000000000001</c:v>
                </c:pt>
                <c:pt idx="4">
                  <c:v>1.1970133333333333</c:v>
                </c:pt>
                <c:pt idx="5">
                  <c:v>1.1620111111111113</c:v>
                </c:pt>
                <c:pt idx="6">
                  <c:v>1.1618952380952383</c:v>
                </c:pt>
                <c:pt idx="7">
                  <c:v>1.1381166666666667</c:v>
                </c:pt>
                <c:pt idx="8">
                  <c:v>1.1264444444444446</c:v>
                </c:pt>
                <c:pt idx="9">
                  <c:v>1.1887266666666667</c:v>
                </c:pt>
                <c:pt idx="10">
                  <c:v>1.182739393939394</c:v>
                </c:pt>
                <c:pt idx="11">
                  <c:v>1.1228888888888888</c:v>
                </c:pt>
                <c:pt idx="12">
                  <c:v>1.1588051282051282</c:v>
                </c:pt>
                <c:pt idx="13">
                  <c:v>1.1088428571428572</c:v>
                </c:pt>
                <c:pt idx="14">
                  <c:v>1.1206133333333332</c:v>
                </c:pt>
                <c:pt idx="15">
                  <c:v>1.0793708333333334</c:v>
                </c:pt>
                <c:pt idx="16">
                  <c:v>1.0803411764705881</c:v>
                </c:pt>
                <c:pt idx="17">
                  <c:v>1.0871037037037037</c:v>
                </c:pt>
                <c:pt idx="18">
                  <c:v>1.0611649122807019</c:v>
                </c:pt>
                <c:pt idx="19">
                  <c:v>1.0043500000000001</c:v>
                </c:pt>
              </c:numCache>
            </c:numRef>
          </c:val>
        </c:ser>
        <c:ser>
          <c:idx val="4"/>
          <c:order val="7"/>
          <c:tx>
            <c:strRef>
              <c:f>'Month - July 2012'!$B$48</c:f>
              <c:strCache>
                <c:ptCount val="1"/>
                <c:pt idx="0">
                  <c:v>Group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July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July 2012'!$F$48:$Y$48</c:f>
              <c:numCache>
                <c:formatCode>0.0%</c:formatCode>
                <c:ptCount val="20"/>
                <c:pt idx="0">
                  <c:v>0.68179384203480586</c:v>
                </c:pt>
                <c:pt idx="1">
                  <c:v>0.64369477911646589</c:v>
                </c:pt>
                <c:pt idx="2">
                  <c:v>0.52703703703703697</c:v>
                </c:pt>
                <c:pt idx="3">
                  <c:v>0.52846385542168672</c:v>
                </c:pt>
                <c:pt idx="4">
                  <c:v>0.57820348058902271</c:v>
                </c:pt>
                <c:pt idx="5">
                  <c:v>0.56690986166889779</c:v>
                </c:pt>
                <c:pt idx="6">
                  <c:v>0.58028686173264499</c:v>
                </c:pt>
                <c:pt idx="7">
                  <c:v>0.54458165997322627</c:v>
                </c:pt>
                <c:pt idx="8">
                  <c:v>0.53351628737170897</c:v>
                </c:pt>
                <c:pt idx="9">
                  <c:v>0.58148192771084339</c:v>
                </c:pt>
                <c:pt idx="10">
                  <c:v>0.58866983083850555</c:v>
                </c:pt>
                <c:pt idx="11">
                  <c:v>0.55712628290941546</c:v>
                </c:pt>
                <c:pt idx="12">
                  <c:v>0.55537122850375864</c:v>
                </c:pt>
                <c:pt idx="13">
                  <c:v>0.53906291834002673</c:v>
                </c:pt>
                <c:pt idx="14">
                  <c:v>0.52607050423917889</c:v>
                </c:pt>
                <c:pt idx="15">
                  <c:v>0.50609521419009373</c:v>
                </c:pt>
                <c:pt idx="16">
                  <c:v>0.50960941806441451</c:v>
                </c:pt>
                <c:pt idx="17">
                  <c:v>0.50527294362635722</c:v>
                </c:pt>
                <c:pt idx="18">
                  <c:v>0.49027971535263865</c:v>
                </c:pt>
                <c:pt idx="19">
                  <c:v>0.4716740294511379</c:v>
                </c:pt>
              </c:numCache>
            </c:numRef>
          </c:val>
        </c:ser>
        <c:marker val="1"/>
        <c:axId val="141219712"/>
        <c:axId val="141221248"/>
      </c:lineChart>
      <c:catAx>
        <c:axId val="141219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221248"/>
        <c:crosses val="autoZero"/>
        <c:auto val="1"/>
        <c:lblAlgn val="ctr"/>
        <c:lblOffset val="100"/>
      </c:catAx>
      <c:valAx>
        <c:axId val="141221248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219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0.52642857142858634"/>
          <c:h val="5.161290322580692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tx>
            <c:strRef>
              <c:f>'Month - Aug 2012'!$B$52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2012'!$F$52,'Month - Aug 2012'!$G$52:$Y$52)</c:f>
              <c:numCache>
                <c:formatCode>0</c:formatCode>
                <c:ptCount val="20"/>
                <c:pt idx="0">
                  <c:v>248800</c:v>
                </c:pt>
                <c:pt idx="1">
                  <c:v>233450</c:v>
                </c:pt>
                <c:pt idx="2">
                  <c:v>259153.33333333331</c:v>
                </c:pt>
                <c:pt idx="3">
                  <c:v>262150</c:v>
                </c:pt>
                <c:pt idx="4">
                  <c:v>247140</c:v>
                </c:pt>
                <c:pt idx="5">
                  <c:v>263083.33333333331</c:v>
                </c:pt>
                <c:pt idx="6">
                  <c:v>254591.42857142858</c:v>
                </c:pt>
                <c:pt idx="7">
                  <c:v>248530</c:v>
                </c:pt>
                <c:pt idx="8">
                  <c:v>272806.66666666669</c:v>
                </c:pt>
                <c:pt idx="9">
                  <c:v>279454</c:v>
                </c:pt>
                <c:pt idx="10">
                  <c:v>259821.81818181821</c:v>
                </c:pt>
                <c:pt idx="11">
                  <c:v>269486.66666666669</c:v>
                </c:pt>
                <c:pt idx="12">
                  <c:v>252507.69230769231</c:v>
                </c:pt>
                <c:pt idx="13">
                  <c:v>254892.85714285713</c:v>
                </c:pt>
                <c:pt idx="14">
                  <c:v>267030.66666666663</c:v>
                </c:pt>
                <c:pt idx="15">
                  <c:v>263813.75</c:v>
                </c:pt>
                <c:pt idx="16">
                  <c:v>262618.82352941175</c:v>
                </c:pt>
                <c:pt idx="17">
                  <c:v>267434.44444444444</c:v>
                </c:pt>
                <c:pt idx="18">
                  <c:v>263953.68421052629</c:v>
                </c:pt>
                <c:pt idx="19">
                  <c:v>285003</c:v>
                </c:pt>
              </c:numCache>
            </c:numRef>
          </c:val>
        </c:ser>
        <c:ser>
          <c:idx val="1"/>
          <c:order val="1"/>
          <c:tx>
            <c:strRef>
              <c:f>'Month - Aug 2012'!$B$53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2012'!$F$53,'Month - Aug 2012'!$G$53:$Y$53)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21333.333333333336</c:v>
                </c:pt>
                <c:pt idx="3">
                  <c:v>16000</c:v>
                </c:pt>
                <c:pt idx="4">
                  <c:v>56560</c:v>
                </c:pt>
                <c:pt idx="5">
                  <c:v>47133.333333333328</c:v>
                </c:pt>
                <c:pt idx="6">
                  <c:v>59528.571428571435</c:v>
                </c:pt>
                <c:pt idx="7">
                  <c:v>59587.5</c:v>
                </c:pt>
                <c:pt idx="8">
                  <c:v>52966.666666666672</c:v>
                </c:pt>
                <c:pt idx="9">
                  <c:v>47670</c:v>
                </c:pt>
                <c:pt idx="10">
                  <c:v>46518.181818181823</c:v>
                </c:pt>
                <c:pt idx="11">
                  <c:v>42641.666666666672</c:v>
                </c:pt>
                <c:pt idx="12">
                  <c:v>54269.230769230773</c:v>
                </c:pt>
                <c:pt idx="13">
                  <c:v>50392.857142857145</c:v>
                </c:pt>
                <c:pt idx="14">
                  <c:v>47033.333333333328</c:v>
                </c:pt>
                <c:pt idx="15">
                  <c:v>47462.5</c:v>
                </c:pt>
                <c:pt idx="16">
                  <c:v>44670.588235294119</c:v>
                </c:pt>
                <c:pt idx="17">
                  <c:v>45183.333333333328</c:v>
                </c:pt>
                <c:pt idx="18">
                  <c:v>42805.263157894733</c:v>
                </c:pt>
                <c:pt idx="19">
                  <c:v>40665</c:v>
                </c:pt>
              </c:numCache>
            </c:numRef>
          </c:val>
        </c:ser>
        <c:ser>
          <c:idx val="2"/>
          <c:order val="2"/>
          <c:tx>
            <c:strRef>
              <c:f>'Month - Aug 2012'!$B$54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2012'!$F$54,'Month - Aug 2012'!$G$54:$Y$54)</c:f>
              <c:numCache>
                <c:formatCode>0</c:formatCode>
                <c:ptCount val="20"/>
                <c:pt idx="0">
                  <c:v>305500</c:v>
                </c:pt>
                <c:pt idx="1">
                  <c:v>152750</c:v>
                </c:pt>
                <c:pt idx="2">
                  <c:v>119800</c:v>
                </c:pt>
                <c:pt idx="3">
                  <c:v>135525</c:v>
                </c:pt>
                <c:pt idx="4">
                  <c:v>138380</c:v>
                </c:pt>
                <c:pt idx="5">
                  <c:v>115316.66666666666</c:v>
                </c:pt>
                <c:pt idx="6">
                  <c:v>93128.571428571435</c:v>
                </c:pt>
                <c:pt idx="7">
                  <c:v>116312.5</c:v>
                </c:pt>
                <c:pt idx="8">
                  <c:v>129588.88888888889</c:v>
                </c:pt>
                <c:pt idx="9">
                  <c:v>116630</c:v>
                </c:pt>
                <c:pt idx="10">
                  <c:v>104118.18181818182</c:v>
                </c:pt>
                <c:pt idx="11">
                  <c:v>111350</c:v>
                </c:pt>
                <c:pt idx="12">
                  <c:v>110007.69230769231</c:v>
                </c:pt>
                <c:pt idx="13">
                  <c:v>110714.28571428571</c:v>
                </c:pt>
                <c:pt idx="14">
                  <c:v>128180</c:v>
                </c:pt>
                <c:pt idx="15">
                  <c:v>132000</c:v>
                </c:pt>
                <c:pt idx="16">
                  <c:v>140452.9411764706</c:v>
                </c:pt>
                <c:pt idx="17">
                  <c:v>132650</c:v>
                </c:pt>
                <c:pt idx="18">
                  <c:v>138278.94736842104</c:v>
                </c:pt>
                <c:pt idx="19">
                  <c:v>164110</c:v>
                </c:pt>
              </c:numCache>
            </c:numRef>
          </c:val>
        </c:ser>
        <c:ser>
          <c:idx val="3"/>
          <c:order val="3"/>
          <c:tx>
            <c:strRef>
              <c:f>'Month - Aug 2012'!$B$55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2012'!$F$55,'Month - Aug 2012'!$G$55:$Y$55)</c:f>
              <c:numCache>
                <c:formatCode>0</c:formatCode>
                <c:ptCount val="20"/>
                <c:pt idx="0">
                  <c:v>439600</c:v>
                </c:pt>
                <c:pt idx="1">
                  <c:v>269750</c:v>
                </c:pt>
                <c:pt idx="2">
                  <c:v>249733.33333333331</c:v>
                </c:pt>
                <c:pt idx="3">
                  <c:v>246000</c:v>
                </c:pt>
                <c:pt idx="4">
                  <c:v>239460</c:v>
                </c:pt>
                <c:pt idx="5">
                  <c:v>232866.66666666669</c:v>
                </c:pt>
                <c:pt idx="6">
                  <c:v>229557.14285714287</c:v>
                </c:pt>
                <c:pt idx="7">
                  <c:v>215850</c:v>
                </c:pt>
                <c:pt idx="8">
                  <c:v>212966.66666666669</c:v>
                </c:pt>
                <c:pt idx="9">
                  <c:v>220000</c:v>
                </c:pt>
                <c:pt idx="10">
                  <c:v>214627.27272727271</c:v>
                </c:pt>
                <c:pt idx="11">
                  <c:v>219883.33333333331</c:v>
                </c:pt>
                <c:pt idx="12">
                  <c:v>214500</c:v>
                </c:pt>
                <c:pt idx="13">
                  <c:v>227014.28571428574</c:v>
                </c:pt>
                <c:pt idx="14">
                  <c:v>219206.66666666669</c:v>
                </c:pt>
                <c:pt idx="15">
                  <c:v>225493.75</c:v>
                </c:pt>
                <c:pt idx="16">
                  <c:v>212229.41176470587</c:v>
                </c:pt>
                <c:pt idx="17">
                  <c:v>226583.33333333331</c:v>
                </c:pt>
                <c:pt idx="18">
                  <c:v>209873.68421052629</c:v>
                </c:pt>
                <c:pt idx="19">
                  <c:v>222805</c:v>
                </c:pt>
              </c:numCache>
            </c:numRef>
          </c:val>
        </c:ser>
        <c:ser>
          <c:idx val="4"/>
          <c:order val="4"/>
          <c:tx>
            <c:strRef>
              <c:f>'Month - Aug 2012'!$B$56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2012'!$F$56,'Month - Aug 2012'!$G$56:$Y$56)</c:f>
              <c:numCache>
                <c:formatCode>0</c:formatCode>
                <c:ptCount val="20"/>
                <c:pt idx="0">
                  <c:v>0</c:v>
                </c:pt>
                <c:pt idx="1">
                  <c:v>59900</c:v>
                </c:pt>
                <c:pt idx="2">
                  <c:v>39933.333333333336</c:v>
                </c:pt>
                <c:pt idx="3">
                  <c:v>84900</c:v>
                </c:pt>
                <c:pt idx="4">
                  <c:v>93880</c:v>
                </c:pt>
                <c:pt idx="5">
                  <c:v>90733.333333333343</c:v>
                </c:pt>
                <c:pt idx="6">
                  <c:v>109171.42857142857</c:v>
                </c:pt>
                <c:pt idx="7">
                  <c:v>103012.5</c:v>
                </c:pt>
                <c:pt idx="8">
                  <c:v>110433.33333333334</c:v>
                </c:pt>
                <c:pt idx="9">
                  <c:v>124380</c:v>
                </c:pt>
                <c:pt idx="10">
                  <c:v>113072.72727272728</c:v>
                </c:pt>
                <c:pt idx="11">
                  <c:v>117018.33333333334</c:v>
                </c:pt>
                <c:pt idx="12">
                  <c:v>121855.38461538461</c:v>
                </c:pt>
                <c:pt idx="13">
                  <c:v>124572.85714285713</c:v>
                </c:pt>
                <c:pt idx="14">
                  <c:v>128994.66666666667</c:v>
                </c:pt>
                <c:pt idx="15">
                  <c:v>120932.5</c:v>
                </c:pt>
                <c:pt idx="16">
                  <c:v>122307.0588235294</c:v>
                </c:pt>
                <c:pt idx="17">
                  <c:v>115512.22222222222</c:v>
                </c:pt>
                <c:pt idx="18">
                  <c:v>108906.31578947368</c:v>
                </c:pt>
                <c:pt idx="19">
                  <c:v>125441</c:v>
                </c:pt>
              </c:numCache>
            </c:numRef>
          </c:val>
        </c:ser>
        <c:ser>
          <c:idx val="5"/>
          <c:order val="5"/>
          <c:tx>
            <c:strRef>
              <c:f>'Month - Aug 2012'!$B$57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2012'!$F$57,'Month - Aug 2012'!$G$57:$Y$57)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5392</c:v>
                </c:pt>
                <c:pt idx="5">
                  <c:v>4493.333333333333</c:v>
                </c:pt>
                <c:pt idx="6">
                  <c:v>15822.857142857141</c:v>
                </c:pt>
                <c:pt idx="7">
                  <c:v>20582.5</c:v>
                </c:pt>
                <c:pt idx="8">
                  <c:v>18295.555555555555</c:v>
                </c:pt>
                <c:pt idx="9">
                  <c:v>16466</c:v>
                </c:pt>
                <c:pt idx="10">
                  <c:v>14969.09090909091</c:v>
                </c:pt>
                <c:pt idx="11">
                  <c:v>16221.666666666668</c:v>
                </c:pt>
                <c:pt idx="12">
                  <c:v>16512.307692307691</c:v>
                </c:pt>
                <c:pt idx="13">
                  <c:v>15332.857142857141</c:v>
                </c:pt>
                <c:pt idx="14">
                  <c:v>15644</c:v>
                </c:pt>
                <c:pt idx="15">
                  <c:v>22685</c:v>
                </c:pt>
                <c:pt idx="16">
                  <c:v>24768.23529411765</c:v>
                </c:pt>
                <c:pt idx="17">
                  <c:v>23392.222222222223</c:v>
                </c:pt>
                <c:pt idx="18">
                  <c:v>26295.789473684214</c:v>
                </c:pt>
                <c:pt idx="19">
                  <c:v>24981</c:v>
                </c:pt>
              </c:numCache>
            </c:numRef>
          </c:val>
        </c:ser>
        <c:ser>
          <c:idx val="6"/>
          <c:order val="6"/>
          <c:tx>
            <c:strRef>
              <c:f>'Month - Aug 2012'!$B$58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('Month - Aug 2012'!$F$51,'Month - Aug 2012'!$G$51:$Y$51)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('Month - Aug 2012'!$F$58,'Month - Aug 2012'!$G$58:$Y$58)</c:f>
              <c:numCache>
                <c:formatCode>0</c:formatCode>
                <c:ptCount val="20"/>
                <c:pt idx="0">
                  <c:v>464840</c:v>
                </c:pt>
                <c:pt idx="1">
                  <c:v>435780</c:v>
                </c:pt>
                <c:pt idx="2">
                  <c:v>406546.66666666663</c:v>
                </c:pt>
                <c:pt idx="3">
                  <c:v>357425</c:v>
                </c:pt>
                <c:pt idx="4">
                  <c:v>494476</c:v>
                </c:pt>
                <c:pt idx="5">
                  <c:v>457193.33333333337</c:v>
                </c:pt>
                <c:pt idx="6">
                  <c:v>434108.57142857148</c:v>
                </c:pt>
                <c:pt idx="7">
                  <c:v>421187.5</c:v>
                </c:pt>
                <c:pt idx="8">
                  <c:v>405544.44444444444</c:v>
                </c:pt>
                <c:pt idx="9">
                  <c:v>418366</c:v>
                </c:pt>
                <c:pt idx="10">
                  <c:v>415783.63636363641</c:v>
                </c:pt>
                <c:pt idx="11">
                  <c:v>392948.33333333337</c:v>
                </c:pt>
                <c:pt idx="12">
                  <c:v>379590.76923076925</c:v>
                </c:pt>
                <c:pt idx="13">
                  <c:v>374507.14285714284</c:v>
                </c:pt>
                <c:pt idx="14">
                  <c:v>364276</c:v>
                </c:pt>
                <c:pt idx="15">
                  <c:v>345118.75</c:v>
                </c:pt>
                <c:pt idx="16">
                  <c:v>339721.17647058825</c:v>
                </c:pt>
                <c:pt idx="17">
                  <c:v>334082.22222222219</c:v>
                </c:pt>
                <c:pt idx="18">
                  <c:v>316498.94736842107</c:v>
                </c:pt>
                <c:pt idx="19">
                  <c:v>305464</c:v>
                </c:pt>
              </c:numCache>
            </c:numRef>
          </c:val>
        </c:ser>
        <c:marker val="1"/>
        <c:axId val="141399168"/>
        <c:axId val="141400704"/>
      </c:lineChart>
      <c:catAx>
        <c:axId val="1413991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400704"/>
        <c:crosses val="autoZero"/>
        <c:auto val="1"/>
        <c:lblAlgn val="ctr"/>
        <c:lblOffset val="100"/>
      </c:catAx>
      <c:valAx>
        <c:axId val="141400704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399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0.47383542648566801"/>
          <c:h val="5.21739130434785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4834180454643472E-2"/>
          <c:y val="7.0139107611548596E-2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Nov 2011 '!$F$37:$Y$37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2012'!$F$36:$Y$36</c:f>
              <c:numCache>
                <c:formatCode>0</c:formatCode>
                <c:ptCount val="20"/>
                <c:pt idx="0">
                  <c:v>72937</c:v>
                </c:pt>
                <c:pt idx="1">
                  <c:v>115163</c:v>
                </c:pt>
                <c:pt idx="2">
                  <c:v>164475</c:v>
                </c:pt>
                <c:pt idx="3">
                  <c:v>220400</c:v>
                </c:pt>
                <c:pt idx="4">
                  <c:v>318822</c:v>
                </c:pt>
                <c:pt idx="5">
                  <c:v>363246</c:v>
                </c:pt>
                <c:pt idx="6">
                  <c:v>418568</c:v>
                </c:pt>
                <c:pt idx="7">
                  <c:v>474025</c:v>
                </c:pt>
                <c:pt idx="8">
                  <c:v>541171</c:v>
                </c:pt>
                <c:pt idx="9">
                  <c:v>611483</c:v>
                </c:pt>
                <c:pt idx="10">
                  <c:v>642901</c:v>
                </c:pt>
                <c:pt idx="11">
                  <c:v>701730</c:v>
                </c:pt>
                <c:pt idx="12">
                  <c:v>747008</c:v>
                </c:pt>
                <c:pt idx="13">
                  <c:v>810199</c:v>
                </c:pt>
                <c:pt idx="14">
                  <c:v>877774</c:v>
                </c:pt>
                <c:pt idx="15">
                  <c:v>926005</c:v>
                </c:pt>
                <c:pt idx="16">
                  <c:v>974753</c:v>
                </c:pt>
                <c:pt idx="17">
                  <c:v>1030354</c:v>
                </c:pt>
                <c:pt idx="18">
                  <c:v>1051282</c:v>
                </c:pt>
                <c:pt idx="19">
                  <c:v>1168469</c:v>
                </c:pt>
              </c:numCache>
            </c:numRef>
          </c:val>
        </c:ser>
        <c:ser>
          <c:idx val="0"/>
          <c:order val="1"/>
          <c:tx>
            <c:strRef>
              <c:f>'Month - Aug 2012'!$C$60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'Month - Aug 2012'!$F$62:$Y$62</c:f>
              <c:numCache>
                <c:formatCode>0</c:formatCode>
                <c:ptCount val="20"/>
                <c:pt idx="0">
                  <c:v>74950</c:v>
                </c:pt>
                <c:pt idx="1">
                  <c:v>149900</c:v>
                </c:pt>
                <c:pt idx="2">
                  <c:v>224850</c:v>
                </c:pt>
                <c:pt idx="3">
                  <c:v>299800</c:v>
                </c:pt>
                <c:pt idx="4">
                  <c:v>374750</c:v>
                </c:pt>
                <c:pt idx="5">
                  <c:v>449700</c:v>
                </c:pt>
                <c:pt idx="6">
                  <c:v>524650</c:v>
                </c:pt>
                <c:pt idx="7">
                  <c:v>599600</c:v>
                </c:pt>
                <c:pt idx="8">
                  <c:v>674550</c:v>
                </c:pt>
                <c:pt idx="9">
                  <c:v>749500</c:v>
                </c:pt>
                <c:pt idx="10">
                  <c:v>824450</c:v>
                </c:pt>
                <c:pt idx="11">
                  <c:v>899400</c:v>
                </c:pt>
                <c:pt idx="12">
                  <c:v>974350</c:v>
                </c:pt>
                <c:pt idx="13">
                  <c:v>1049300</c:v>
                </c:pt>
                <c:pt idx="14">
                  <c:v>1124250</c:v>
                </c:pt>
                <c:pt idx="15">
                  <c:v>1199200</c:v>
                </c:pt>
                <c:pt idx="16">
                  <c:v>1274150</c:v>
                </c:pt>
                <c:pt idx="17">
                  <c:v>1349100</c:v>
                </c:pt>
                <c:pt idx="18">
                  <c:v>1424050</c:v>
                </c:pt>
                <c:pt idx="19">
                  <c:v>1499000</c:v>
                </c:pt>
              </c:numCache>
            </c:numRef>
          </c:val>
        </c:ser>
        <c:marker val="1"/>
        <c:axId val="141302784"/>
        <c:axId val="141304576"/>
      </c:lineChart>
      <c:catAx>
        <c:axId val="141302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304576"/>
        <c:crosses val="autoZero"/>
        <c:auto val="1"/>
        <c:lblAlgn val="ctr"/>
        <c:lblOffset val="100"/>
      </c:catAx>
      <c:valAx>
        <c:axId val="1413045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302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Aug 2012'!$B$41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2012'!$F$41:$Y$41</c:f>
              <c:numCache>
                <c:formatCode>0.0%</c:formatCode>
                <c:ptCount val="20"/>
                <c:pt idx="0">
                  <c:v>0.77749999999999997</c:v>
                </c:pt>
                <c:pt idx="1">
                  <c:v>0.72953124999999996</c:v>
                </c:pt>
                <c:pt idx="2">
                  <c:v>0.80985416666666665</c:v>
                </c:pt>
                <c:pt idx="3">
                  <c:v>0.81921875</c:v>
                </c:pt>
                <c:pt idx="4">
                  <c:v>0.77231249999999996</c:v>
                </c:pt>
                <c:pt idx="5">
                  <c:v>0.82213541666666656</c:v>
                </c:pt>
                <c:pt idx="6">
                  <c:v>0.79559821428571431</c:v>
                </c:pt>
                <c:pt idx="7">
                  <c:v>0.77665625000000005</c:v>
                </c:pt>
                <c:pt idx="8">
                  <c:v>0.85252083333333339</c:v>
                </c:pt>
                <c:pt idx="9">
                  <c:v>0.87329374999999998</c:v>
                </c:pt>
                <c:pt idx="10">
                  <c:v>0.81194318181818192</c:v>
                </c:pt>
                <c:pt idx="11">
                  <c:v>0.84214583333333337</c:v>
                </c:pt>
                <c:pt idx="12">
                  <c:v>0.78908653846153842</c:v>
                </c:pt>
                <c:pt idx="13">
                  <c:v>0.79654017857142856</c:v>
                </c:pt>
                <c:pt idx="14">
                  <c:v>0.83447083333333316</c:v>
                </c:pt>
                <c:pt idx="15">
                  <c:v>0.82441796874999995</c:v>
                </c:pt>
                <c:pt idx="16">
                  <c:v>0.82068382352941172</c:v>
                </c:pt>
                <c:pt idx="17">
                  <c:v>0.83573263888888882</c:v>
                </c:pt>
                <c:pt idx="18">
                  <c:v>0.8248552631578947</c:v>
                </c:pt>
                <c:pt idx="19">
                  <c:v>0.89063437499999998</c:v>
                </c:pt>
              </c:numCache>
            </c:numRef>
          </c:val>
        </c:ser>
        <c:ser>
          <c:idx val="6"/>
          <c:order val="1"/>
          <c:tx>
            <c:strRef>
              <c:f>'Month - Aug 2012'!$B$42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2012'!$F$42:$Y$42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0.13168724279835392</c:v>
                </c:pt>
                <c:pt idx="3">
                  <c:v>9.8765432098765427E-2</c:v>
                </c:pt>
                <c:pt idx="4">
                  <c:v>0.34913580246913578</c:v>
                </c:pt>
                <c:pt idx="5">
                  <c:v>0.29094650205761313</c:v>
                </c:pt>
                <c:pt idx="6">
                  <c:v>0.36746031746031749</c:v>
                </c:pt>
                <c:pt idx="7">
                  <c:v>0.36782407407407408</c:v>
                </c:pt>
                <c:pt idx="8">
                  <c:v>0.32695473251028812</c:v>
                </c:pt>
                <c:pt idx="9">
                  <c:v>0.29425925925925928</c:v>
                </c:pt>
                <c:pt idx="10">
                  <c:v>0.28714927048260386</c:v>
                </c:pt>
                <c:pt idx="11">
                  <c:v>0.26322016460905351</c:v>
                </c:pt>
                <c:pt idx="12">
                  <c:v>0.33499525166191835</c:v>
                </c:pt>
                <c:pt idx="13">
                  <c:v>0.31106701940035275</c:v>
                </c:pt>
                <c:pt idx="14">
                  <c:v>0.29032921810699586</c:v>
                </c:pt>
                <c:pt idx="15">
                  <c:v>0.2929783950617284</c:v>
                </c:pt>
                <c:pt idx="16">
                  <c:v>0.2757443718228032</c:v>
                </c:pt>
                <c:pt idx="17">
                  <c:v>0.27890946502057612</c:v>
                </c:pt>
                <c:pt idx="18">
                  <c:v>0.26423001949317737</c:v>
                </c:pt>
                <c:pt idx="19">
                  <c:v>0.25101851851851853</c:v>
                </c:pt>
              </c:numCache>
            </c:numRef>
          </c:val>
        </c:ser>
        <c:ser>
          <c:idx val="1"/>
          <c:order val="2"/>
          <c:tx>
            <c:strRef>
              <c:f>'Month - Aug 2012'!$B$43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2012'!$F$43:$Y$43</c:f>
              <c:numCache>
                <c:formatCode>0.0%</c:formatCode>
                <c:ptCount val="20"/>
                <c:pt idx="0">
                  <c:v>1.8858024691358024</c:v>
                </c:pt>
                <c:pt idx="1">
                  <c:v>0.9429012345679012</c:v>
                </c:pt>
                <c:pt idx="2">
                  <c:v>0.73950617283950615</c:v>
                </c:pt>
                <c:pt idx="3">
                  <c:v>0.83657407407407403</c:v>
                </c:pt>
                <c:pt idx="4">
                  <c:v>0.85419753086419759</c:v>
                </c:pt>
                <c:pt idx="5">
                  <c:v>0.71183127572016458</c:v>
                </c:pt>
                <c:pt idx="6">
                  <c:v>0.57486772486772486</c:v>
                </c:pt>
                <c:pt idx="7">
                  <c:v>0.71797839506172845</c:v>
                </c:pt>
                <c:pt idx="8">
                  <c:v>0.79993141289437586</c:v>
                </c:pt>
                <c:pt idx="9">
                  <c:v>0.71993827160493828</c:v>
                </c:pt>
                <c:pt idx="10">
                  <c:v>0.64270482603815937</c:v>
                </c:pt>
                <c:pt idx="11">
                  <c:v>0.68734567901234567</c:v>
                </c:pt>
                <c:pt idx="12">
                  <c:v>0.67905982905982909</c:v>
                </c:pt>
                <c:pt idx="13">
                  <c:v>0.68342151675485008</c:v>
                </c:pt>
                <c:pt idx="14">
                  <c:v>0.79123456790123459</c:v>
                </c:pt>
                <c:pt idx="15">
                  <c:v>0.81481481481481477</c:v>
                </c:pt>
                <c:pt idx="16">
                  <c:v>0.86699346405228772</c:v>
                </c:pt>
                <c:pt idx="17">
                  <c:v>0.8188271604938272</c:v>
                </c:pt>
                <c:pt idx="18">
                  <c:v>0.85357374918778417</c:v>
                </c:pt>
                <c:pt idx="19">
                  <c:v>1.0130246913580248</c:v>
                </c:pt>
              </c:numCache>
            </c:numRef>
          </c:val>
        </c:ser>
        <c:ser>
          <c:idx val="7"/>
          <c:order val="3"/>
          <c:tx>
            <c:strRef>
              <c:f>'Month - Aug 2012'!$B$44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2012'!$F$44:$Y$44</c:f>
              <c:numCache>
                <c:formatCode>0.0%</c:formatCode>
                <c:ptCount val="20"/>
                <c:pt idx="0">
                  <c:v>1.5985454545454545</c:v>
                </c:pt>
                <c:pt idx="1">
                  <c:v>0.98090909090909095</c:v>
                </c:pt>
                <c:pt idx="2">
                  <c:v>0.908121212121212</c:v>
                </c:pt>
                <c:pt idx="3">
                  <c:v>0.89454545454545453</c:v>
                </c:pt>
                <c:pt idx="4">
                  <c:v>0.87076363636363641</c:v>
                </c:pt>
                <c:pt idx="5">
                  <c:v>0.84678787878787887</c:v>
                </c:pt>
                <c:pt idx="6">
                  <c:v>0.8347532467532468</c:v>
                </c:pt>
                <c:pt idx="7">
                  <c:v>0.78490909090909089</c:v>
                </c:pt>
                <c:pt idx="8">
                  <c:v>0.77442424242424246</c:v>
                </c:pt>
                <c:pt idx="9">
                  <c:v>0.8</c:v>
                </c:pt>
                <c:pt idx="10">
                  <c:v>0.78046280991735528</c:v>
                </c:pt>
                <c:pt idx="11">
                  <c:v>0.7995757575757575</c:v>
                </c:pt>
                <c:pt idx="12">
                  <c:v>0.78</c:v>
                </c:pt>
                <c:pt idx="13">
                  <c:v>0.82550649350649363</c:v>
                </c:pt>
                <c:pt idx="14">
                  <c:v>0.79711515151515155</c:v>
                </c:pt>
                <c:pt idx="15">
                  <c:v>0.81997727272727272</c:v>
                </c:pt>
                <c:pt idx="16">
                  <c:v>0.77174331550802133</c:v>
                </c:pt>
                <c:pt idx="17">
                  <c:v>0.82393939393939386</c:v>
                </c:pt>
                <c:pt idx="18">
                  <c:v>0.76317703349282284</c:v>
                </c:pt>
                <c:pt idx="19">
                  <c:v>0.81020000000000003</c:v>
                </c:pt>
              </c:numCache>
            </c:numRef>
          </c:val>
        </c:ser>
        <c:ser>
          <c:idx val="2"/>
          <c:order val="4"/>
          <c:tx>
            <c:strRef>
              <c:f>'Month - Aug 2012'!$B$45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2012'!$F$45:$Y$45</c:f>
              <c:numCache>
                <c:formatCode>0.0%</c:formatCode>
                <c:ptCount val="20"/>
                <c:pt idx="0">
                  <c:v>0</c:v>
                </c:pt>
                <c:pt idx="1">
                  <c:v>0.37437500000000001</c:v>
                </c:pt>
                <c:pt idx="2">
                  <c:v>0.24958333333333335</c:v>
                </c:pt>
                <c:pt idx="3">
                  <c:v>0.53062500000000001</c:v>
                </c:pt>
                <c:pt idx="4">
                  <c:v>0.58674999999999999</c:v>
                </c:pt>
                <c:pt idx="5">
                  <c:v>0.56708333333333338</c:v>
                </c:pt>
                <c:pt idx="6">
                  <c:v>0.68232142857142852</c:v>
                </c:pt>
                <c:pt idx="7">
                  <c:v>0.64382812499999997</c:v>
                </c:pt>
                <c:pt idx="8">
                  <c:v>0.69020833333333342</c:v>
                </c:pt>
                <c:pt idx="9">
                  <c:v>0.77737500000000004</c:v>
                </c:pt>
                <c:pt idx="10">
                  <c:v>0.70670454545454553</c:v>
                </c:pt>
                <c:pt idx="11">
                  <c:v>0.73136458333333343</c:v>
                </c:pt>
                <c:pt idx="12">
                  <c:v>0.76159615384615376</c:v>
                </c:pt>
                <c:pt idx="13">
                  <c:v>0.77858035714285712</c:v>
                </c:pt>
                <c:pt idx="14">
                  <c:v>0.80621666666666669</c:v>
                </c:pt>
                <c:pt idx="15">
                  <c:v>0.75582812499999996</c:v>
                </c:pt>
                <c:pt idx="16">
                  <c:v>0.76441911764705872</c:v>
                </c:pt>
                <c:pt idx="17">
                  <c:v>0.72195138888888888</c:v>
                </c:pt>
                <c:pt idx="18">
                  <c:v>0.68066447368421046</c:v>
                </c:pt>
                <c:pt idx="19">
                  <c:v>0.78400625000000002</c:v>
                </c:pt>
              </c:numCache>
            </c:numRef>
          </c:val>
        </c:ser>
        <c:ser>
          <c:idx val="5"/>
          <c:order val="5"/>
          <c:tx>
            <c:strRef>
              <c:f>'Month - Aug 2012'!$B$46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2012'!$F$46:$Y$46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3.3700000000000001E-2</c:v>
                </c:pt>
                <c:pt idx="5">
                  <c:v>2.8083333333333332E-2</c:v>
                </c:pt>
                <c:pt idx="6">
                  <c:v>9.889285714285713E-2</c:v>
                </c:pt>
                <c:pt idx="7">
                  <c:v>0.12864062500000001</c:v>
                </c:pt>
                <c:pt idx="8">
                  <c:v>0.11434722222222221</c:v>
                </c:pt>
                <c:pt idx="9">
                  <c:v>0.1029125</c:v>
                </c:pt>
                <c:pt idx="10">
                  <c:v>9.3556818181818185E-2</c:v>
                </c:pt>
                <c:pt idx="11">
                  <c:v>0.10138541666666667</c:v>
                </c:pt>
                <c:pt idx="12">
                  <c:v>0.10320192307692307</c:v>
                </c:pt>
                <c:pt idx="13">
                  <c:v>9.5830357142857134E-2</c:v>
                </c:pt>
                <c:pt idx="14">
                  <c:v>9.7775000000000001E-2</c:v>
                </c:pt>
                <c:pt idx="15">
                  <c:v>0.14178125</c:v>
                </c:pt>
                <c:pt idx="16">
                  <c:v>0.15480147058823532</c:v>
                </c:pt>
                <c:pt idx="17">
                  <c:v>0.14620138888888889</c:v>
                </c:pt>
                <c:pt idx="18">
                  <c:v>0.16434868421052634</c:v>
                </c:pt>
                <c:pt idx="19">
                  <c:v>0.15613125</c:v>
                </c:pt>
              </c:numCache>
            </c:numRef>
          </c:val>
        </c:ser>
        <c:ser>
          <c:idx val="3"/>
          <c:order val="6"/>
          <c:tx>
            <c:strRef>
              <c:f>'Month - Aug 2012'!$B$47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2012'!$F$47:$Y$47</c:f>
              <c:numCache>
                <c:formatCode>0.0%</c:formatCode>
                <c:ptCount val="20"/>
                <c:pt idx="0">
                  <c:v>1.5494666666666668</c:v>
                </c:pt>
                <c:pt idx="1">
                  <c:v>1.4525999999999999</c:v>
                </c:pt>
                <c:pt idx="2">
                  <c:v>1.3551555555555554</c:v>
                </c:pt>
                <c:pt idx="3">
                  <c:v>1.1914166666666666</c:v>
                </c:pt>
                <c:pt idx="4">
                  <c:v>1.6482533333333333</c:v>
                </c:pt>
                <c:pt idx="5">
                  <c:v>1.5239777777777779</c:v>
                </c:pt>
                <c:pt idx="6">
                  <c:v>1.4470285714285716</c:v>
                </c:pt>
                <c:pt idx="7">
                  <c:v>1.4039583333333334</c:v>
                </c:pt>
                <c:pt idx="8">
                  <c:v>1.3518148148148148</c:v>
                </c:pt>
                <c:pt idx="9">
                  <c:v>1.3945533333333333</c:v>
                </c:pt>
                <c:pt idx="10">
                  <c:v>1.3859454545454548</c:v>
                </c:pt>
                <c:pt idx="11">
                  <c:v>1.3098277777777778</c:v>
                </c:pt>
                <c:pt idx="12">
                  <c:v>1.2653025641025641</c:v>
                </c:pt>
                <c:pt idx="13">
                  <c:v>1.2483571428571427</c:v>
                </c:pt>
                <c:pt idx="14">
                  <c:v>1.2142533333333334</c:v>
                </c:pt>
                <c:pt idx="15">
                  <c:v>1.1503958333333333</c:v>
                </c:pt>
                <c:pt idx="16">
                  <c:v>1.1324039215686275</c:v>
                </c:pt>
                <c:pt idx="17">
                  <c:v>1.1136074074074074</c:v>
                </c:pt>
                <c:pt idx="18">
                  <c:v>1.0549964912280703</c:v>
                </c:pt>
                <c:pt idx="19">
                  <c:v>1.0182133333333334</c:v>
                </c:pt>
              </c:numCache>
            </c:numRef>
          </c:val>
        </c:ser>
        <c:ser>
          <c:idx val="4"/>
          <c:order val="7"/>
          <c:tx>
            <c:strRef>
              <c:f>'Month - Aug 2012'!$B$48</c:f>
              <c:strCache>
                <c:ptCount val="1"/>
                <c:pt idx="0">
                  <c:v>Group</c:v>
                </c:pt>
              </c:strCache>
            </c:strRef>
          </c:tx>
          <c:marker>
            <c:symbol val="none"/>
          </c:marker>
          <c:cat>
            <c:strRef>
              <c:f>'Month - Aug 2012'!$F$40:$Y$40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'Month - Aug 2012'!$F$48:$Y$48</c:f>
              <c:numCache>
                <c:formatCode>0.0%</c:formatCode>
                <c:ptCount val="20"/>
                <c:pt idx="0">
                  <c:v>0.97314209472981983</c:v>
                </c:pt>
                <c:pt idx="1">
                  <c:v>0.76826551034022683</c:v>
                </c:pt>
                <c:pt idx="2">
                  <c:v>0.73148765843895935</c:v>
                </c:pt>
                <c:pt idx="3">
                  <c:v>0.73515677118078715</c:v>
                </c:pt>
                <c:pt idx="4">
                  <c:v>0.85075917278185453</c:v>
                </c:pt>
                <c:pt idx="5">
                  <c:v>0.8077518345563709</c:v>
                </c:pt>
                <c:pt idx="6">
                  <c:v>0.79780425045268266</c:v>
                </c:pt>
                <c:pt idx="7">
                  <c:v>0.79056871247498328</c:v>
                </c:pt>
                <c:pt idx="8">
                  <c:v>0.80226966125565191</c:v>
                </c:pt>
                <c:pt idx="9">
                  <c:v>0.81585456971314207</c:v>
                </c:pt>
                <c:pt idx="10">
                  <c:v>0.77979380192855852</c:v>
                </c:pt>
                <c:pt idx="11">
                  <c:v>0.78022014676450968</c:v>
                </c:pt>
                <c:pt idx="12">
                  <c:v>0.76667316672653574</c:v>
                </c:pt>
                <c:pt idx="13">
                  <c:v>0.77213285047174296</c:v>
                </c:pt>
                <c:pt idx="14">
                  <c:v>0.78076406493217698</c:v>
                </c:pt>
                <c:pt idx="15">
                  <c:v>0.77218562374916611</c:v>
                </c:pt>
                <c:pt idx="16">
                  <c:v>0.76502217164384101</c:v>
                </c:pt>
                <c:pt idx="17">
                  <c:v>0.76373434141279373</c:v>
                </c:pt>
                <c:pt idx="18">
                  <c:v>0.73823391032618235</c:v>
                </c:pt>
                <c:pt idx="19">
                  <c:v>0.77949899933288858</c:v>
                </c:pt>
              </c:numCache>
            </c:numRef>
          </c:val>
        </c:ser>
        <c:marker val="1"/>
        <c:axId val="141518720"/>
        <c:axId val="141520256"/>
      </c:lineChart>
      <c:catAx>
        <c:axId val="1415187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520256"/>
        <c:crosses val="autoZero"/>
        <c:auto val="1"/>
        <c:lblAlgn val="ctr"/>
        <c:lblOffset val="100"/>
      </c:catAx>
      <c:valAx>
        <c:axId val="141520256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51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7.6680303186141816E-2"/>
          <c:h val="9.462184968814579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Monthly Revenue Prediction 2011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064556776823491E-2"/>
          <c:y val="0.14130449781812823"/>
          <c:w val="0.84946296025352797"/>
          <c:h val="0.79130518778148851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2012'!$F$52:$AD$52</c:f>
              <c:numCache>
                <c:formatCode>0</c:formatCode>
                <c:ptCount val="25"/>
                <c:pt idx="0">
                  <c:v>63500</c:v>
                </c:pt>
                <c:pt idx="1">
                  <c:v>63200</c:v>
                </c:pt>
                <c:pt idx="2">
                  <c:v>119100</c:v>
                </c:pt>
                <c:pt idx="3">
                  <c:v>120775</c:v>
                </c:pt>
                <c:pt idx="4">
                  <c:v>160640</c:v>
                </c:pt>
                <c:pt idx="5">
                  <c:v>172333.33333333331</c:v>
                </c:pt>
                <c:pt idx="6">
                  <c:v>202014.28571428574</c:v>
                </c:pt>
                <c:pt idx="7">
                  <c:v>364390</c:v>
                </c:pt>
                <c:pt idx="8">
                  <c:v>158473.33333333334</c:v>
                </c:pt>
                <c:pt idx="9">
                  <c:v>205012</c:v>
                </c:pt>
                <c:pt idx="10">
                  <c:v>335790.90909090912</c:v>
                </c:pt>
                <c:pt idx="11">
                  <c:v>221935</c:v>
                </c:pt>
                <c:pt idx="12">
                  <c:v>224240</c:v>
                </c:pt>
                <c:pt idx="13">
                  <c:v>208222.85714285713</c:v>
                </c:pt>
                <c:pt idx="14">
                  <c:v>215728</c:v>
                </c:pt>
                <c:pt idx="15">
                  <c:v>230856.25</c:v>
                </c:pt>
                <c:pt idx="16">
                  <c:v>234552.9411764706</c:v>
                </c:pt>
                <c:pt idx="17">
                  <c:v>221522.22222222222</c:v>
                </c:pt>
                <c:pt idx="18">
                  <c:v>213429.47368421053</c:v>
                </c:pt>
                <c:pt idx="19">
                  <c:v>224083</c:v>
                </c:pt>
                <c:pt idx="20">
                  <c:v>224769.52380952382</c:v>
                </c:pt>
                <c:pt idx="21">
                  <c:v>221416.36363636365</c:v>
                </c:pt>
                <c:pt idx="22">
                  <c:v>224341.73913043481</c:v>
                </c:pt>
                <c:pt idx="23">
                  <c:v>215890</c:v>
                </c:pt>
                <c:pt idx="24">
                  <c:v>214503.2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2012'!$F$53:$AD$53</c:f>
              <c:numCache>
                <c:formatCode>0</c:formatCode>
                <c:ptCount val="25"/>
                <c:pt idx="0">
                  <c:v>0</c:v>
                </c:pt>
                <c:pt idx="1">
                  <c:v>57950</c:v>
                </c:pt>
                <c:pt idx="2">
                  <c:v>38633.333333333336</c:v>
                </c:pt>
                <c:pt idx="3">
                  <c:v>42450</c:v>
                </c:pt>
                <c:pt idx="4">
                  <c:v>49960</c:v>
                </c:pt>
                <c:pt idx="5">
                  <c:v>74966.666666666672</c:v>
                </c:pt>
                <c:pt idx="6">
                  <c:v>64257.142857142855</c:v>
                </c:pt>
                <c:pt idx="7">
                  <c:v>88425</c:v>
                </c:pt>
                <c:pt idx="8">
                  <c:v>274693.33333333331</c:v>
                </c:pt>
                <c:pt idx="9">
                  <c:v>55760</c:v>
                </c:pt>
                <c:pt idx="10">
                  <c:v>86827.272727272721</c:v>
                </c:pt>
                <c:pt idx="11">
                  <c:v>50958.333333333328</c:v>
                </c:pt>
                <c:pt idx="12">
                  <c:v>54415.384615384617</c:v>
                </c:pt>
                <c:pt idx="13">
                  <c:v>50528.571428571435</c:v>
                </c:pt>
                <c:pt idx="14">
                  <c:v>60080</c:v>
                </c:pt>
                <c:pt idx="15">
                  <c:v>59693.75</c:v>
                </c:pt>
                <c:pt idx="16">
                  <c:v>67941.176470588238</c:v>
                </c:pt>
                <c:pt idx="17">
                  <c:v>64166.666666666672</c:v>
                </c:pt>
                <c:pt idx="18">
                  <c:v>60789.473684210527</c:v>
                </c:pt>
                <c:pt idx="19">
                  <c:v>57750</c:v>
                </c:pt>
                <c:pt idx="20">
                  <c:v>57566.666666666672</c:v>
                </c:pt>
                <c:pt idx="21">
                  <c:v>59309.090909090912</c:v>
                </c:pt>
                <c:pt idx="22">
                  <c:v>56730.434782608703</c:v>
                </c:pt>
                <c:pt idx="23">
                  <c:v>55616.666666666672</c:v>
                </c:pt>
                <c:pt idx="24">
                  <c:v>53392</c:v>
                </c:pt>
              </c:numCache>
            </c:numRef>
          </c:val>
        </c:ser>
        <c:ser>
          <c:idx val="2"/>
          <c:order val="2"/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2012'!$F$54:$AD$54</c:f>
              <c:numCache>
                <c:formatCode>0</c:formatCode>
                <c:ptCount val="25"/>
                <c:pt idx="0">
                  <c:v>121040</c:v>
                </c:pt>
                <c:pt idx="1">
                  <c:v>78520</c:v>
                </c:pt>
                <c:pt idx="2">
                  <c:v>52346.666666666672</c:v>
                </c:pt>
                <c:pt idx="3">
                  <c:v>50035</c:v>
                </c:pt>
                <c:pt idx="4">
                  <c:v>91948</c:v>
                </c:pt>
                <c:pt idx="5">
                  <c:v>92273.333333333343</c:v>
                </c:pt>
                <c:pt idx="6">
                  <c:v>76457.142857142855</c:v>
                </c:pt>
                <c:pt idx="7">
                  <c:v>154452.5</c:v>
                </c:pt>
                <c:pt idx="8">
                  <c:v>17386.666666666668</c:v>
                </c:pt>
                <c:pt idx="9">
                  <c:v>101252</c:v>
                </c:pt>
                <c:pt idx="10">
                  <c:v>142829.09090909091</c:v>
                </c:pt>
                <c:pt idx="11">
                  <c:v>99151.666666666657</c:v>
                </c:pt>
                <c:pt idx="12">
                  <c:v>95047.692307692312</c:v>
                </c:pt>
                <c:pt idx="13">
                  <c:v>98958.571428571435</c:v>
                </c:pt>
                <c:pt idx="14">
                  <c:v>92361.333333333328</c:v>
                </c:pt>
                <c:pt idx="15">
                  <c:v>98195</c:v>
                </c:pt>
                <c:pt idx="16">
                  <c:v>98301.176470588238</c:v>
                </c:pt>
                <c:pt idx="17">
                  <c:v>92840</c:v>
                </c:pt>
                <c:pt idx="18">
                  <c:v>107680</c:v>
                </c:pt>
                <c:pt idx="19">
                  <c:v>107849</c:v>
                </c:pt>
                <c:pt idx="20">
                  <c:v>99060</c:v>
                </c:pt>
                <c:pt idx="21">
                  <c:v>105570.9090909091</c:v>
                </c:pt>
                <c:pt idx="22">
                  <c:v>104237.39130434782</c:v>
                </c:pt>
                <c:pt idx="23">
                  <c:v>104060.83333333334</c:v>
                </c:pt>
                <c:pt idx="24">
                  <c:v>102125.59999999999</c:v>
                </c:pt>
              </c:numCache>
            </c:numRef>
          </c:val>
        </c:ser>
        <c:ser>
          <c:idx val="3"/>
          <c:order val="3"/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2012'!$F$55:$AD$55</c:f>
              <c:numCache>
                <c:formatCode>0</c:formatCode>
                <c:ptCount val="25"/>
                <c:pt idx="0">
                  <c:v>102000</c:v>
                </c:pt>
                <c:pt idx="1">
                  <c:v>221300</c:v>
                </c:pt>
                <c:pt idx="2">
                  <c:v>307400</c:v>
                </c:pt>
                <c:pt idx="3">
                  <c:v>322950</c:v>
                </c:pt>
                <c:pt idx="4">
                  <c:v>290340</c:v>
                </c:pt>
                <c:pt idx="5">
                  <c:v>280266.66666666669</c:v>
                </c:pt>
                <c:pt idx="6">
                  <c:v>284057.14285714284</c:v>
                </c:pt>
                <c:pt idx="7">
                  <c:v>446432.5</c:v>
                </c:pt>
                <c:pt idx="8">
                  <c:v>27433.333333333336</c:v>
                </c:pt>
                <c:pt idx="9">
                  <c:v>296066</c:v>
                </c:pt>
                <c:pt idx="10">
                  <c:v>369187.27272727271</c:v>
                </c:pt>
                <c:pt idx="11">
                  <c:v>275138.33333333331</c:v>
                </c:pt>
                <c:pt idx="12">
                  <c:v>274727.69230769231</c:v>
                </c:pt>
                <c:pt idx="13">
                  <c:v>267232.85714285716</c:v>
                </c:pt>
                <c:pt idx="14">
                  <c:v>266730.66666666663</c:v>
                </c:pt>
                <c:pt idx="15">
                  <c:v>253816.25</c:v>
                </c:pt>
                <c:pt idx="16">
                  <c:v>238885.8823529412</c:v>
                </c:pt>
                <c:pt idx="17">
                  <c:v>247186.66666666669</c:v>
                </c:pt>
                <c:pt idx="18">
                  <c:v>241850.52631578947</c:v>
                </c:pt>
                <c:pt idx="19">
                  <c:v>246753</c:v>
                </c:pt>
                <c:pt idx="20">
                  <c:v>241188.57142857142</c:v>
                </c:pt>
                <c:pt idx="21">
                  <c:v>240220.90909090909</c:v>
                </c:pt>
                <c:pt idx="22">
                  <c:v>234989.56521739133</c:v>
                </c:pt>
                <c:pt idx="23">
                  <c:v>228981.66666666669</c:v>
                </c:pt>
                <c:pt idx="24">
                  <c:v>219822.40000000002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2012'!$F$56:$AD$56</c:f>
              <c:numCache>
                <c:formatCode>0</c:formatCode>
                <c:ptCount val="25"/>
                <c:pt idx="0">
                  <c:v>0</c:v>
                </c:pt>
                <c:pt idx="1">
                  <c:v>109900</c:v>
                </c:pt>
                <c:pt idx="2">
                  <c:v>86566.666666666657</c:v>
                </c:pt>
                <c:pt idx="3">
                  <c:v>99630</c:v>
                </c:pt>
                <c:pt idx="4">
                  <c:v>137684</c:v>
                </c:pt>
                <c:pt idx="5">
                  <c:v>169686.66666666669</c:v>
                </c:pt>
                <c:pt idx="6">
                  <c:v>142937.14285714287</c:v>
                </c:pt>
                <c:pt idx="7">
                  <c:v>178957.5</c:v>
                </c:pt>
                <c:pt idx="8">
                  <c:v>49675.555555555555</c:v>
                </c:pt>
                <c:pt idx="9">
                  <c:v>118952</c:v>
                </c:pt>
                <c:pt idx="10">
                  <c:v>176061.81818181821</c:v>
                </c:pt>
                <c:pt idx="11">
                  <c:v>104343.33333333334</c:v>
                </c:pt>
                <c:pt idx="12">
                  <c:v>115924.61538461539</c:v>
                </c:pt>
                <c:pt idx="13">
                  <c:v>130265.71428571429</c:v>
                </c:pt>
                <c:pt idx="14">
                  <c:v>135908</c:v>
                </c:pt>
                <c:pt idx="15">
                  <c:v>121042.5</c:v>
                </c:pt>
                <c:pt idx="16">
                  <c:v>119142.35294117648</c:v>
                </c:pt>
                <c:pt idx="17">
                  <c:v>118445.55555555555</c:v>
                </c:pt>
                <c:pt idx="18">
                  <c:v>114311.57894736841</c:v>
                </c:pt>
                <c:pt idx="19">
                  <c:v>108596</c:v>
                </c:pt>
                <c:pt idx="20">
                  <c:v>109086.66666666666</c:v>
                </c:pt>
                <c:pt idx="21">
                  <c:v>111173.63636363635</c:v>
                </c:pt>
                <c:pt idx="22">
                  <c:v>111118.26086956522</c:v>
                </c:pt>
                <c:pt idx="23">
                  <c:v>108984.16666666666</c:v>
                </c:pt>
                <c:pt idx="24">
                  <c:v>111212.8</c:v>
                </c:pt>
              </c:numCache>
            </c:numRef>
          </c:val>
        </c:ser>
        <c:ser>
          <c:idx val="5"/>
          <c:order val="5"/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2012'!$F$57:$AD$57</c:f>
              <c:numCache>
                <c:formatCode>0</c:formatCode>
                <c:ptCount val="25"/>
                <c:pt idx="0">
                  <c:v>0</c:v>
                </c:pt>
                <c:pt idx="1">
                  <c:v>76950</c:v>
                </c:pt>
                <c:pt idx="2">
                  <c:v>51300</c:v>
                </c:pt>
                <c:pt idx="3">
                  <c:v>51950</c:v>
                </c:pt>
                <c:pt idx="4">
                  <c:v>41560</c:v>
                </c:pt>
                <c:pt idx="5">
                  <c:v>34633.333333333336</c:v>
                </c:pt>
                <c:pt idx="6">
                  <c:v>29685.714285714283</c:v>
                </c:pt>
                <c:pt idx="7">
                  <c:v>29725</c:v>
                </c:pt>
                <c:pt idx="8">
                  <c:v>136080</c:v>
                </c:pt>
                <c:pt idx="9">
                  <c:v>20780</c:v>
                </c:pt>
                <c:pt idx="10">
                  <c:v>26372.727272727276</c:v>
                </c:pt>
                <c:pt idx="11">
                  <c:v>19816.666666666668</c:v>
                </c:pt>
                <c:pt idx="12">
                  <c:v>18292.307692307691</c:v>
                </c:pt>
                <c:pt idx="13">
                  <c:v>16985.714285714286</c:v>
                </c:pt>
                <c:pt idx="14">
                  <c:v>19340</c:v>
                </c:pt>
                <c:pt idx="15">
                  <c:v>18131.25</c:v>
                </c:pt>
                <c:pt idx="16">
                  <c:v>17064.705882352941</c:v>
                </c:pt>
                <c:pt idx="17">
                  <c:v>16116.666666666668</c:v>
                </c:pt>
                <c:pt idx="18">
                  <c:v>19621.052631578947</c:v>
                </c:pt>
                <c:pt idx="19">
                  <c:v>18640</c:v>
                </c:pt>
                <c:pt idx="20">
                  <c:v>18704.761904761905</c:v>
                </c:pt>
                <c:pt idx="21">
                  <c:v>17854.545454545456</c:v>
                </c:pt>
                <c:pt idx="22">
                  <c:v>17078.260869565216</c:v>
                </c:pt>
                <c:pt idx="23">
                  <c:v>16366.666666666668</c:v>
                </c:pt>
                <c:pt idx="24">
                  <c:v>15712</c:v>
                </c:pt>
              </c:numCache>
            </c:numRef>
          </c:val>
        </c:ser>
        <c:ser>
          <c:idx val="6"/>
          <c:order val="6"/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Sept 2012'!$F$51:$AD$51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2012'!$F$58:$AD$58</c:f>
              <c:numCache>
                <c:formatCode>0</c:formatCode>
                <c:ptCount val="25"/>
                <c:pt idx="0">
                  <c:v>666460</c:v>
                </c:pt>
                <c:pt idx="1">
                  <c:v>540460</c:v>
                </c:pt>
                <c:pt idx="2">
                  <c:v>477093.33333333337</c:v>
                </c:pt>
                <c:pt idx="3">
                  <c:v>460840</c:v>
                </c:pt>
                <c:pt idx="4">
                  <c:v>515128</c:v>
                </c:pt>
                <c:pt idx="5">
                  <c:v>431893.33333333337</c:v>
                </c:pt>
                <c:pt idx="6">
                  <c:v>493648.57142857148</c:v>
                </c:pt>
                <c:pt idx="7">
                  <c:v>597517.5</c:v>
                </c:pt>
                <c:pt idx="8">
                  <c:v>259637.77777777778</c:v>
                </c:pt>
                <c:pt idx="9">
                  <c:v>402154</c:v>
                </c:pt>
                <c:pt idx="10">
                  <c:v>494298.18181818182</c:v>
                </c:pt>
                <c:pt idx="11">
                  <c:v>371500</c:v>
                </c:pt>
                <c:pt idx="12">
                  <c:v>367703.07692307694</c:v>
                </c:pt>
                <c:pt idx="13">
                  <c:v>354245.71428571426</c:v>
                </c:pt>
                <c:pt idx="14">
                  <c:v>350661.33333333331</c:v>
                </c:pt>
                <c:pt idx="15">
                  <c:v>339830</c:v>
                </c:pt>
                <c:pt idx="16">
                  <c:v>353076.4705882353</c:v>
                </c:pt>
                <c:pt idx="17">
                  <c:v>333461.11111111112</c:v>
                </c:pt>
                <c:pt idx="18">
                  <c:v>337257.89473684214</c:v>
                </c:pt>
                <c:pt idx="19">
                  <c:v>339729</c:v>
                </c:pt>
                <c:pt idx="20">
                  <c:v>332811.42857142852</c:v>
                </c:pt>
                <c:pt idx="21">
                  <c:v>326981.81818181818</c:v>
                </c:pt>
                <c:pt idx="22">
                  <c:v>312764.34782608697</c:v>
                </c:pt>
                <c:pt idx="23">
                  <c:v>301318.33333333331</c:v>
                </c:pt>
                <c:pt idx="24">
                  <c:v>289265.60000000003</c:v>
                </c:pt>
              </c:numCache>
            </c:numRef>
          </c:val>
        </c:ser>
        <c:marker val="1"/>
        <c:axId val="141489280"/>
        <c:axId val="141490816"/>
      </c:lineChart>
      <c:catAx>
        <c:axId val="1414892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490816"/>
        <c:crosses val="autoZero"/>
        <c:auto val="1"/>
        <c:lblAlgn val="ctr"/>
        <c:lblOffset val="100"/>
      </c:catAx>
      <c:valAx>
        <c:axId val="141490816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489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81743007930531"/>
          <c:y val="0.90652265205980065"/>
          <c:w val="5.2386417981828422E-2"/>
          <c:h val="9.3477347940203265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5748031496063244" l="0.15748031496063244" r="0.15748031496063244" t="0.23622047244094521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 lang="en-GB"/>
            </a:pPr>
            <a:r>
              <a:rPr lang="en-US"/>
              <a:t>Group Daily Performance vs Budget 2012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7689277063065175E-2"/>
          <c:y val="0.14236132983377078"/>
          <c:w val="0.88659089365600163"/>
          <c:h val="0.80000162760749516"/>
        </c:manualLayout>
      </c:layout>
      <c:lineChart>
        <c:grouping val="standard"/>
        <c:ser>
          <c:idx val="4"/>
          <c:order val="0"/>
          <c:tx>
            <c:v>Group Actual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2012'!$F$36:$AD$36</c:f>
              <c:numCache>
                <c:formatCode>0</c:formatCode>
                <c:ptCount val="25"/>
                <c:pt idx="0">
                  <c:v>47650</c:v>
                </c:pt>
                <c:pt idx="1">
                  <c:v>114828</c:v>
                </c:pt>
                <c:pt idx="2">
                  <c:v>169866</c:v>
                </c:pt>
                <c:pt idx="3">
                  <c:v>229726</c:v>
                </c:pt>
                <c:pt idx="4">
                  <c:v>321815</c:v>
                </c:pt>
                <c:pt idx="5">
                  <c:v>376816</c:v>
                </c:pt>
                <c:pt idx="6">
                  <c:v>452570</c:v>
                </c:pt>
                <c:pt idx="7">
                  <c:v>743960</c:v>
                </c:pt>
                <c:pt idx="8">
                  <c:v>415521</c:v>
                </c:pt>
                <c:pt idx="9">
                  <c:v>599988</c:v>
                </c:pt>
                <c:pt idx="10">
                  <c:v>897252</c:v>
                </c:pt>
                <c:pt idx="11">
                  <c:v>685706</c:v>
                </c:pt>
                <c:pt idx="12">
                  <c:v>747728</c:v>
                </c:pt>
                <c:pt idx="13">
                  <c:v>788508</c:v>
                </c:pt>
                <c:pt idx="14">
                  <c:v>855607</c:v>
                </c:pt>
                <c:pt idx="15">
                  <c:v>897252</c:v>
                </c:pt>
                <c:pt idx="16">
                  <c:v>959620</c:v>
                </c:pt>
                <c:pt idx="17">
                  <c:v>984365</c:v>
                </c:pt>
                <c:pt idx="18">
                  <c:v>1040193</c:v>
                </c:pt>
                <c:pt idx="19">
                  <c:v>1103400</c:v>
                </c:pt>
                <c:pt idx="20">
                  <c:v>1137347</c:v>
                </c:pt>
                <c:pt idx="21">
                  <c:v>1190780</c:v>
                </c:pt>
                <c:pt idx="22">
                  <c:v>1220449</c:v>
                </c:pt>
                <c:pt idx="23">
                  <c:v>1237462</c:v>
                </c:pt>
                <c:pt idx="24">
                  <c:v>1257542</c:v>
                </c:pt>
              </c:numCache>
            </c:numRef>
          </c:val>
        </c:ser>
        <c:ser>
          <c:idx val="0"/>
          <c:order val="1"/>
          <c:tx>
            <c:strRef>
              <c:f>'Month - Sept 2012'!$C$60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2012'!$F$62:$AD$62</c:f>
              <c:numCache>
                <c:formatCode>0</c:formatCode>
                <c:ptCount val="25"/>
                <c:pt idx="0">
                  <c:v>84550</c:v>
                </c:pt>
                <c:pt idx="1">
                  <c:v>169100</c:v>
                </c:pt>
                <c:pt idx="2">
                  <c:v>253650</c:v>
                </c:pt>
                <c:pt idx="3">
                  <c:v>338200</c:v>
                </c:pt>
                <c:pt idx="4">
                  <c:v>422750</c:v>
                </c:pt>
                <c:pt idx="5">
                  <c:v>507300</c:v>
                </c:pt>
                <c:pt idx="6">
                  <c:v>591850</c:v>
                </c:pt>
                <c:pt idx="7">
                  <c:v>676400</c:v>
                </c:pt>
                <c:pt idx="8">
                  <c:v>760950</c:v>
                </c:pt>
                <c:pt idx="9">
                  <c:v>845500</c:v>
                </c:pt>
                <c:pt idx="10">
                  <c:v>930050</c:v>
                </c:pt>
                <c:pt idx="11">
                  <c:v>1014600</c:v>
                </c:pt>
                <c:pt idx="12">
                  <c:v>1099150</c:v>
                </c:pt>
                <c:pt idx="13">
                  <c:v>1183700</c:v>
                </c:pt>
                <c:pt idx="14">
                  <c:v>1268250</c:v>
                </c:pt>
                <c:pt idx="15">
                  <c:v>1352800</c:v>
                </c:pt>
                <c:pt idx="16">
                  <c:v>1437350</c:v>
                </c:pt>
                <c:pt idx="17">
                  <c:v>1521900</c:v>
                </c:pt>
                <c:pt idx="18">
                  <c:v>1606450</c:v>
                </c:pt>
                <c:pt idx="19">
                  <c:v>1691000</c:v>
                </c:pt>
                <c:pt idx="20">
                  <c:v>1775550</c:v>
                </c:pt>
                <c:pt idx="21">
                  <c:v>1860100</c:v>
                </c:pt>
                <c:pt idx="22">
                  <c:v>1944650</c:v>
                </c:pt>
                <c:pt idx="23">
                  <c:v>2029200</c:v>
                </c:pt>
                <c:pt idx="24">
                  <c:v>2113750</c:v>
                </c:pt>
              </c:numCache>
            </c:numRef>
          </c:val>
        </c:ser>
        <c:marker val="1"/>
        <c:axId val="141667328"/>
        <c:axId val="141673216"/>
      </c:lineChart>
      <c:catAx>
        <c:axId val="1416673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673216"/>
        <c:crosses val="autoZero"/>
        <c:auto val="1"/>
        <c:lblAlgn val="ctr"/>
        <c:lblOffset val="100"/>
      </c:catAx>
      <c:valAx>
        <c:axId val="1416732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[$$-409]#,##0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141667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938674035219038"/>
          <c:y val="0.90416841644794399"/>
          <c:w val="0.14835956133158087"/>
          <c:h val="5.0000000000000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2012 Monthly</a:t>
            </a:r>
            <a:r>
              <a:rPr lang="en-US" baseline="0"/>
              <a:t> </a:t>
            </a:r>
            <a:r>
              <a:rPr lang="en-US"/>
              <a:t>Prediction % vs Budget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500000000000001E-2"/>
          <c:y val="0.13978523980435378"/>
          <c:w val="0.872857142857143"/>
          <c:h val="0.7935500536585619"/>
        </c:manualLayout>
      </c:layout>
      <c:lineChart>
        <c:grouping val="standard"/>
        <c:ser>
          <c:idx val="0"/>
          <c:order val="0"/>
          <c:tx>
            <c:strRef>
              <c:f>'Month - Sept 2012'!$B$41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2012'!$F$41:$AD$41</c:f>
              <c:numCache>
                <c:formatCode>0.0%</c:formatCode>
                <c:ptCount val="25"/>
                <c:pt idx="0">
                  <c:v>0.1763888888888889</c:v>
                </c:pt>
                <c:pt idx="1">
                  <c:v>0.17555555555555555</c:v>
                </c:pt>
                <c:pt idx="2">
                  <c:v>0.33083333333333331</c:v>
                </c:pt>
                <c:pt idx="3">
                  <c:v>0.3354861111111111</c:v>
                </c:pt>
                <c:pt idx="4">
                  <c:v>0.44622222222222224</c:v>
                </c:pt>
                <c:pt idx="5">
                  <c:v>0.47870370370370363</c:v>
                </c:pt>
                <c:pt idx="6">
                  <c:v>0.56115079365079368</c:v>
                </c:pt>
                <c:pt idx="7">
                  <c:v>1.0121944444444444</c:v>
                </c:pt>
                <c:pt idx="8">
                  <c:v>0.44020370370370371</c:v>
                </c:pt>
                <c:pt idx="9">
                  <c:v>0.56947777777777775</c:v>
                </c:pt>
                <c:pt idx="10">
                  <c:v>0.93275252525252528</c:v>
                </c:pt>
                <c:pt idx="11">
                  <c:v>0.61648611111111107</c:v>
                </c:pt>
                <c:pt idx="12">
                  <c:v>0.62288888888888894</c:v>
                </c:pt>
                <c:pt idx="13">
                  <c:v>0.57839682539682535</c:v>
                </c:pt>
                <c:pt idx="14">
                  <c:v>0.59924444444444447</c:v>
                </c:pt>
                <c:pt idx="15">
                  <c:v>0.64126736111111116</c:v>
                </c:pt>
                <c:pt idx="16">
                  <c:v>0.6515359477124183</c:v>
                </c:pt>
                <c:pt idx="17">
                  <c:v>0.6153395061728395</c:v>
                </c:pt>
                <c:pt idx="18">
                  <c:v>0.59285964912280709</c:v>
                </c:pt>
                <c:pt idx="19">
                  <c:v>0.62245277777777774</c:v>
                </c:pt>
                <c:pt idx="20">
                  <c:v>0.62435978835978834</c:v>
                </c:pt>
                <c:pt idx="21">
                  <c:v>0.61504545454545456</c:v>
                </c:pt>
                <c:pt idx="22">
                  <c:v>0.62317149758454116</c:v>
                </c:pt>
                <c:pt idx="23">
                  <c:v>0.59969444444444442</c:v>
                </c:pt>
                <c:pt idx="24">
                  <c:v>0.59584222222222227</c:v>
                </c:pt>
              </c:numCache>
            </c:numRef>
          </c:val>
        </c:ser>
        <c:ser>
          <c:idx val="6"/>
          <c:order val="1"/>
          <c:tx>
            <c:strRef>
              <c:f>'Month - Sept 2012'!$B$42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2012'!$F$42:$AD$42</c:f>
              <c:numCache>
                <c:formatCode>0.0%</c:formatCode>
                <c:ptCount val="25"/>
                <c:pt idx="0">
                  <c:v>0</c:v>
                </c:pt>
                <c:pt idx="1">
                  <c:v>0.32194444444444442</c:v>
                </c:pt>
                <c:pt idx="2">
                  <c:v>0.21462962962962964</c:v>
                </c:pt>
                <c:pt idx="3">
                  <c:v>0.23583333333333334</c:v>
                </c:pt>
                <c:pt idx="4">
                  <c:v>0.27755555555555556</c:v>
                </c:pt>
                <c:pt idx="5">
                  <c:v>0.41648148148148151</c:v>
                </c:pt>
                <c:pt idx="6">
                  <c:v>0.35698412698412696</c:v>
                </c:pt>
                <c:pt idx="7">
                  <c:v>0.49125000000000002</c:v>
                </c:pt>
                <c:pt idx="8">
                  <c:v>1.5260740740740739</c:v>
                </c:pt>
                <c:pt idx="9">
                  <c:v>0.30977777777777776</c:v>
                </c:pt>
                <c:pt idx="10">
                  <c:v>0.48237373737373734</c:v>
                </c:pt>
                <c:pt idx="11">
                  <c:v>0.28310185185185183</c:v>
                </c:pt>
                <c:pt idx="12">
                  <c:v>0.30230769230769233</c:v>
                </c:pt>
                <c:pt idx="13">
                  <c:v>0.28071428571428575</c:v>
                </c:pt>
                <c:pt idx="14">
                  <c:v>0.33377777777777778</c:v>
                </c:pt>
                <c:pt idx="15">
                  <c:v>0.33163194444444444</c:v>
                </c:pt>
                <c:pt idx="16">
                  <c:v>0.37745098039215685</c:v>
                </c:pt>
                <c:pt idx="17">
                  <c:v>0.35648148148148151</c:v>
                </c:pt>
                <c:pt idx="18">
                  <c:v>0.33771929824561403</c:v>
                </c:pt>
                <c:pt idx="19">
                  <c:v>0.32083333333333336</c:v>
                </c:pt>
                <c:pt idx="20">
                  <c:v>0.31981481481481483</c:v>
                </c:pt>
                <c:pt idx="21">
                  <c:v>0.32949494949494951</c:v>
                </c:pt>
                <c:pt idx="22">
                  <c:v>0.31516908212560391</c:v>
                </c:pt>
                <c:pt idx="23">
                  <c:v>0.30898148148148152</c:v>
                </c:pt>
                <c:pt idx="24">
                  <c:v>0.29662222222222223</c:v>
                </c:pt>
              </c:numCache>
            </c:numRef>
          </c:val>
        </c:ser>
        <c:ser>
          <c:idx val="1"/>
          <c:order val="2"/>
          <c:tx>
            <c:strRef>
              <c:f>'Month - Sept 2012'!$B$43</c:f>
              <c:strCache>
                <c:ptCount val="1"/>
                <c:pt idx="0">
                  <c:v>Brazil</c:v>
                </c:pt>
              </c:strCache>
            </c:strRef>
          </c:tx>
          <c:spPr>
            <a:ln w="38100">
              <a:solidFill>
                <a:srgbClr val="FCF305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2012'!$F$43:$AD$43</c:f>
              <c:numCache>
                <c:formatCode>0.0%</c:formatCode>
                <c:ptCount val="25"/>
                <c:pt idx="0">
                  <c:v>0.6724444444444444</c:v>
                </c:pt>
                <c:pt idx="1">
                  <c:v>0.43622222222222223</c:v>
                </c:pt>
                <c:pt idx="2">
                  <c:v>0.29081481481481486</c:v>
                </c:pt>
                <c:pt idx="3">
                  <c:v>0.27797222222222223</c:v>
                </c:pt>
                <c:pt idx="4">
                  <c:v>0.51082222222222218</c:v>
                </c:pt>
                <c:pt idx="5">
                  <c:v>0.51262962962962966</c:v>
                </c:pt>
                <c:pt idx="6">
                  <c:v>0.42476190476190473</c:v>
                </c:pt>
                <c:pt idx="7">
                  <c:v>0.85806944444444444</c:v>
                </c:pt>
                <c:pt idx="8">
                  <c:v>9.6592592592592605E-2</c:v>
                </c:pt>
                <c:pt idx="9">
                  <c:v>0.56251111111111107</c:v>
                </c:pt>
                <c:pt idx="10">
                  <c:v>0.79349494949494948</c:v>
                </c:pt>
                <c:pt idx="11">
                  <c:v>0.55084259259259249</c:v>
                </c:pt>
                <c:pt idx="12">
                  <c:v>0.52804273504273502</c:v>
                </c:pt>
                <c:pt idx="13">
                  <c:v>0.5497698412698413</c:v>
                </c:pt>
                <c:pt idx="14">
                  <c:v>0.51311851851851853</c:v>
                </c:pt>
                <c:pt idx="15">
                  <c:v>0.54552777777777772</c:v>
                </c:pt>
                <c:pt idx="16">
                  <c:v>0.5461176470588236</c:v>
                </c:pt>
                <c:pt idx="17">
                  <c:v>0.51577777777777778</c:v>
                </c:pt>
                <c:pt idx="18">
                  <c:v>0.59822222222222221</c:v>
                </c:pt>
                <c:pt idx="19">
                  <c:v>0.59916111111111114</c:v>
                </c:pt>
                <c:pt idx="20">
                  <c:v>0.55033333333333334</c:v>
                </c:pt>
                <c:pt idx="21">
                  <c:v>0.58650505050505053</c:v>
                </c:pt>
                <c:pt idx="22">
                  <c:v>0.57909661835748794</c:v>
                </c:pt>
                <c:pt idx="23">
                  <c:v>0.57811574074074079</c:v>
                </c:pt>
                <c:pt idx="24">
                  <c:v>0.56736444444444445</c:v>
                </c:pt>
              </c:numCache>
            </c:numRef>
          </c:val>
        </c:ser>
        <c:ser>
          <c:idx val="7"/>
          <c:order val="3"/>
          <c:tx>
            <c:strRef>
              <c:f>'Month - Sept 2012'!$B$44</c:f>
              <c:strCache>
                <c:ptCount val="1"/>
                <c:pt idx="0">
                  <c:v>Boston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2012'!$F$44:$AD$44</c:f>
              <c:numCache>
                <c:formatCode>0.0%</c:formatCode>
                <c:ptCount val="25"/>
                <c:pt idx="0">
                  <c:v>0.31481481481481483</c:v>
                </c:pt>
                <c:pt idx="1">
                  <c:v>0.68302469135802468</c:v>
                </c:pt>
                <c:pt idx="2">
                  <c:v>0.9487654320987654</c:v>
                </c:pt>
                <c:pt idx="3">
                  <c:v>0.99675925925925923</c:v>
                </c:pt>
                <c:pt idx="4">
                  <c:v>0.89611111111111108</c:v>
                </c:pt>
                <c:pt idx="5">
                  <c:v>0.86502057613168726</c:v>
                </c:pt>
                <c:pt idx="6">
                  <c:v>0.87671957671957668</c:v>
                </c:pt>
                <c:pt idx="7">
                  <c:v>1.3778780864197531</c:v>
                </c:pt>
                <c:pt idx="8">
                  <c:v>8.4670781893004129E-2</c:v>
                </c:pt>
                <c:pt idx="9">
                  <c:v>0.9137839506172839</c:v>
                </c:pt>
                <c:pt idx="10">
                  <c:v>1.1394668911335577</c:v>
                </c:pt>
                <c:pt idx="11">
                  <c:v>0.84919238683127563</c:v>
                </c:pt>
                <c:pt idx="12">
                  <c:v>0.84792497625830965</c:v>
                </c:pt>
                <c:pt idx="13">
                  <c:v>0.82479276895943565</c:v>
                </c:pt>
                <c:pt idx="14">
                  <c:v>0.82324279835390934</c:v>
                </c:pt>
                <c:pt idx="15">
                  <c:v>0.78338348765432098</c:v>
                </c:pt>
                <c:pt idx="16">
                  <c:v>0.73730210602759627</c:v>
                </c:pt>
                <c:pt idx="17">
                  <c:v>0.76292181069958853</c:v>
                </c:pt>
                <c:pt idx="18">
                  <c:v>0.74645224171539959</c:v>
                </c:pt>
                <c:pt idx="19">
                  <c:v>0.76158333333333328</c:v>
                </c:pt>
                <c:pt idx="20">
                  <c:v>0.74440917107583771</c:v>
                </c:pt>
                <c:pt idx="21">
                  <c:v>0.74142255892255893</c:v>
                </c:pt>
                <c:pt idx="22">
                  <c:v>0.7252764358561461</c:v>
                </c:pt>
                <c:pt idx="23">
                  <c:v>0.70673353909465031</c:v>
                </c:pt>
                <c:pt idx="24">
                  <c:v>0.67846419753086429</c:v>
                </c:pt>
              </c:numCache>
            </c:numRef>
          </c:val>
        </c:ser>
        <c:ser>
          <c:idx val="2"/>
          <c:order val="4"/>
          <c:tx>
            <c:strRef>
              <c:f>'Month - Sept 2012'!$B$45</c:f>
              <c:strCache>
                <c:ptCount val="1"/>
                <c:pt idx="0">
                  <c:v>Canada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2012'!$F$45:$AD$45</c:f>
              <c:numCache>
                <c:formatCode>0.0%</c:formatCode>
                <c:ptCount val="25"/>
                <c:pt idx="0">
                  <c:v>0</c:v>
                </c:pt>
                <c:pt idx="1">
                  <c:v>0.57239583333333333</c:v>
                </c:pt>
                <c:pt idx="2">
                  <c:v>0.45086805555555548</c:v>
                </c:pt>
                <c:pt idx="3">
                  <c:v>0.51890625000000001</c:v>
                </c:pt>
                <c:pt idx="4">
                  <c:v>0.71710416666666665</c:v>
                </c:pt>
                <c:pt idx="5">
                  <c:v>0.88378472222222237</c:v>
                </c:pt>
                <c:pt idx="6">
                  <c:v>0.7444642857142858</c:v>
                </c:pt>
                <c:pt idx="7">
                  <c:v>0.93207031250000005</c:v>
                </c:pt>
                <c:pt idx="8">
                  <c:v>0.25872685185185185</c:v>
                </c:pt>
                <c:pt idx="9">
                  <c:v>0.61954166666666666</c:v>
                </c:pt>
                <c:pt idx="10">
                  <c:v>0.91698863636363648</c:v>
                </c:pt>
                <c:pt idx="11">
                  <c:v>0.54345486111111119</c:v>
                </c:pt>
                <c:pt idx="12">
                  <c:v>0.60377403846153854</c:v>
                </c:pt>
                <c:pt idx="13">
                  <c:v>0.67846726190476192</c:v>
                </c:pt>
                <c:pt idx="14">
                  <c:v>0.70785416666666667</c:v>
                </c:pt>
                <c:pt idx="15">
                  <c:v>0.63042968749999995</c:v>
                </c:pt>
                <c:pt idx="16">
                  <c:v>0.62053308823529418</c:v>
                </c:pt>
                <c:pt idx="17">
                  <c:v>0.61690393518518516</c:v>
                </c:pt>
                <c:pt idx="18">
                  <c:v>0.5953728070175438</c:v>
                </c:pt>
                <c:pt idx="19">
                  <c:v>0.56560416666666669</c:v>
                </c:pt>
                <c:pt idx="20">
                  <c:v>0.56815972222222222</c:v>
                </c:pt>
                <c:pt idx="21">
                  <c:v>0.57902935606060602</c:v>
                </c:pt>
                <c:pt idx="22">
                  <c:v>0.57874094202898552</c:v>
                </c:pt>
                <c:pt idx="23">
                  <c:v>0.56762586805555548</c:v>
                </c:pt>
                <c:pt idx="24">
                  <c:v>0.57923333333333338</c:v>
                </c:pt>
              </c:numCache>
            </c:numRef>
          </c:val>
        </c:ser>
        <c:ser>
          <c:idx val="5"/>
          <c:order val="5"/>
          <c:tx>
            <c:strRef>
              <c:f>'Month - Sept 2012'!$B$46</c:f>
              <c:strCache>
                <c:ptCount val="1"/>
                <c:pt idx="0">
                  <c:v>India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2012'!$F$46:$AD$46</c:f>
              <c:numCache>
                <c:formatCode>0.0%</c:formatCode>
                <c:ptCount val="25"/>
                <c:pt idx="0">
                  <c:v>0</c:v>
                </c:pt>
                <c:pt idx="1">
                  <c:v>0.40078124999999998</c:v>
                </c:pt>
                <c:pt idx="2">
                  <c:v>0.26718750000000002</c:v>
                </c:pt>
                <c:pt idx="3">
                  <c:v>0.27057291666666666</c:v>
                </c:pt>
                <c:pt idx="4">
                  <c:v>0.21645833333333334</c:v>
                </c:pt>
                <c:pt idx="5">
                  <c:v>0.18038194444444447</c:v>
                </c:pt>
                <c:pt idx="6">
                  <c:v>0.15461309523809522</c:v>
                </c:pt>
                <c:pt idx="7">
                  <c:v>0.15481770833333333</c:v>
                </c:pt>
                <c:pt idx="8">
                  <c:v>0.70874999999999999</c:v>
                </c:pt>
                <c:pt idx="9">
                  <c:v>0.10822916666666667</c:v>
                </c:pt>
                <c:pt idx="10">
                  <c:v>0.13735795454545457</c:v>
                </c:pt>
                <c:pt idx="11">
                  <c:v>0.10321180555555556</c:v>
                </c:pt>
                <c:pt idx="12">
                  <c:v>9.5272435897435892E-2</c:v>
                </c:pt>
                <c:pt idx="13">
                  <c:v>8.846726190476191E-2</c:v>
                </c:pt>
                <c:pt idx="14">
                  <c:v>0.10072916666666666</c:v>
                </c:pt>
                <c:pt idx="15">
                  <c:v>9.4433593750000003E-2</c:v>
                </c:pt>
                <c:pt idx="16">
                  <c:v>8.8878676470588239E-2</c:v>
                </c:pt>
                <c:pt idx="17">
                  <c:v>8.3940972222222229E-2</c:v>
                </c:pt>
                <c:pt idx="18">
                  <c:v>0.10219298245614035</c:v>
                </c:pt>
                <c:pt idx="19">
                  <c:v>9.7083333333333327E-2</c:v>
                </c:pt>
                <c:pt idx="20">
                  <c:v>9.7420634920634921E-2</c:v>
                </c:pt>
                <c:pt idx="21">
                  <c:v>9.2992424242424251E-2</c:v>
                </c:pt>
                <c:pt idx="22">
                  <c:v>8.8949275362318836E-2</c:v>
                </c:pt>
                <c:pt idx="23">
                  <c:v>8.5243055555555558E-2</c:v>
                </c:pt>
                <c:pt idx="24">
                  <c:v>8.1833333333333327E-2</c:v>
                </c:pt>
              </c:numCache>
            </c:numRef>
          </c:val>
        </c:ser>
        <c:ser>
          <c:idx val="3"/>
          <c:order val="6"/>
          <c:tx>
            <c:strRef>
              <c:f>'Month - Sept 2012'!$B$47</c:f>
              <c:strCache>
                <c:ptCount val="1"/>
                <c:pt idx="0">
                  <c:v>Norwich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2012'!$F$47:$AD$47</c:f>
              <c:numCache>
                <c:formatCode>0.0%</c:formatCode>
                <c:ptCount val="25"/>
                <c:pt idx="0">
                  <c:v>1.9894328358208955</c:v>
                </c:pt>
                <c:pt idx="1">
                  <c:v>1.613313432835821</c:v>
                </c:pt>
                <c:pt idx="2">
                  <c:v>1.4241592039800997</c:v>
                </c:pt>
                <c:pt idx="3">
                  <c:v>1.375641791044776</c:v>
                </c:pt>
                <c:pt idx="4">
                  <c:v>1.5376955223880597</c:v>
                </c:pt>
                <c:pt idx="5">
                  <c:v>1.2892338308457714</c:v>
                </c:pt>
                <c:pt idx="6">
                  <c:v>1.4735778251599148</c:v>
                </c:pt>
                <c:pt idx="7">
                  <c:v>1.783634328358209</c:v>
                </c:pt>
                <c:pt idx="8">
                  <c:v>0.77503814262023218</c:v>
                </c:pt>
                <c:pt idx="9">
                  <c:v>1.2004597014925373</c:v>
                </c:pt>
                <c:pt idx="10">
                  <c:v>1.475516960651289</c:v>
                </c:pt>
                <c:pt idx="11">
                  <c:v>1.1089552238805971</c:v>
                </c:pt>
                <c:pt idx="12">
                  <c:v>1.0976211251435133</c:v>
                </c:pt>
                <c:pt idx="13">
                  <c:v>1.0574498933901919</c:v>
                </c:pt>
                <c:pt idx="14">
                  <c:v>1.0467502487562188</c:v>
                </c:pt>
                <c:pt idx="15">
                  <c:v>1.0144179104477611</c:v>
                </c:pt>
                <c:pt idx="16">
                  <c:v>1.0539596136962248</c:v>
                </c:pt>
                <c:pt idx="17">
                  <c:v>0.9954063018242123</c:v>
                </c:pt>
                <c:pt idx="18">
                  <c:v>1.006739984289081</c:v>
                </c:pt>
                <c:pt idx="19">
                  <c:v>1.0141164179104478</c:v>
                </c:pt>
                <c:pt idx="20">
                  <c:v>0.99346695095948812</c:v>
                </c:pt>
                <c:pt idx="21">
                  <c:v>0.97606512890094976</c:v>
                </c:pt>
                <c:pt idx="22">
                  <c:v>0.93362491888384169</c:v>
                </c:pt>
                <c:pt idx="23">
                  <c:v>0.89945771144278597</c:v>
                </c:pt>
                <c:pt idx="24">
                  <c:v>0.86347940298507475</c:v>
                </c:pt>
              </c:numCache>
            </c:numRef>
          </c:val>
        </c:ser>
        <c:ser>
          <c:idx val="4"/>
          <c:order val="7"/>
          <c:tx>
            <c:strRef>
              <c:f>'Month - Sept 2012'!$B$48</c:f>
              <c:strCache>
                <c:ptCount val="1"/>
                <c:pt idx="0">
                  <c:v>Group</c:v>
                </c:pt>
              </c:strCache>
            </c:strRef>
          </c:tx>
          <c:marker>
            <c:symbol val="none"/>
          </c:marker>
          <c:cat>
            <c:strRef>
              <c:f>'Month - Sept 2012'!$F$40:$AD$40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'Month - Sept 2012'!$F$48:$AD$48</c:f>
              <c:numCache>
                <c:formatCode>0.0%</c:formatCode>
                <c:ptCount val="25"/>
                <c:pt idx="0">
                  <c:v>0.56357185097575402</c:v>
                </c:pt>
                <c:pt idx="1">
                  <c:v>0.67905381431105849</c:v>
                </c:pt>
                <c:pt idx="2">
                  <c:v>0.66968657599053816</c:v>
                </c:pt>
                <c:pt idx="3">
                  <c:v>0.67926079243051452</c:v>
                </c:pt>
                <c:pt idx="4">
                  <c:v>0.76124186871673571</c:v>
                </c:pt>
                <c:pt idx="5">
                  <c:v>0.74278730534200677</c:v>
                </c:pt>
                <c:pt idx="6">
                  <c:v>0.76467010222184684</c:v>
                </c:pt>
                <c:pt idx="7">
                  <c:v>1.0998817267888823</c:v>
                </c:pt>
                <c:pt idx="8">
                  <c:v>0.54605558840922519</c:v>
                </c:pt>
                <c:pt idx="9">
                  <c:v>0.70962507392075691</c:v>
                </c:pt>
                <c:pt idx="10">
                  <c:v>0.96473522928874789</c:v>
                </c:pt>
                <c:pt idx="11">
                  <c:v>0.67583875418884287</c:v>
                </c:pt>
                <c:pt idx="12">
                  <c:v>0.68027839694309244</c:v>
                </c:pt>
                <c:pt idx="13">
                  <c:v>0.66613837965700773</c:v>
                </c:pt>
                <c:pt idx="14">
                  <c:v>0.67463591563177605</c:v>
                </c:pt>
                <c:pt idx="15">
                  <c:v>0.66325547013601416</c:v>
                </c:pt>
                <c:pt idx="16">
                  <c:v>0.66763140501617568</c:v>
                </c:pt>
                <c:pt idx="17">
                  <c:v>0.64680005256587159</c:v>
                </c:pt>
                <c:pt idx="18">
                  <c:v>0.64751034890597281</c:v>
                </c:pt>
                <c:pt idx="19">
                  <c:v>0.65251330573625077</c:v>
                </c:pt>
                <c:pt idx="20">
                  <c:v>0.6405603897383908</c:v>
                </c:pt>
                <c:pt idx="21">
                  <c:v>0.64016988333960534</c:v>
                </c:pt>
                <c:pt idx="22">
                  <c:v>0.62759314015375522</c:v>
                </c:pt>
                <c:pt idx="23">
                  <c:v>0.60982751823378667</c:v>
                </c:pt>
                <c:pt idx="24">
                  <c:v>0.59493412182140748</c:v>
                </c:pt>
              </c:numCache>
            </c:numRef>
          </c:val>
        </c:ser>
        <c:marker val="1"/>
        <c:axId val="141735808"/>
        <c:axId val="141737344"/>
      </c:lineChart>
      <c:catAx>
        <c:axId val="1417358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737344"/>
        <c:crosses val="autoZero"/>
        <c:auto val="1"/>
        <c:lblAlgn val="ctr"/>
        <c:lblOffset val="100"/>
      </c:catAx>
      <c:valAx>
        <c:axId val="141737344"/>
        <c:scaling>
          <c:orientation val="minMax"/>
          <c:max val="3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1735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00000000000021"/>
          <c:y val="0.90537815031185598"/>
          <c:w val="7.6680303186141816E-2"/>
          <c:h val="9.462184968814579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865" l="0.70000000000000462" r="0.70000000000000462" t="0.750000000000018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23</xdr:col>
      <xdr:colOff>47625</xdr:colOff>
      <xdr:row>117</xdr:row>
      <xdr:rowOff>85725</xdr:rowOff>
    </xdr:to>
    <xdr:graphicFrame macro="">
      <xdr:nvGraphicFramePr>
        <xdr:cNvPr id="278540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85725</xdr:rowOff>
    </xdr:from>
    <xdr:to>
      <xdr:col>23</xdr:col>
      <xdr:colOff>76200</xdr:colOff>
      <xdr:row>69</xdr:row>
      <xdr:rowOff>85725</xdr:rowOff>
    </xdr:to>
    <xdr:graphicFrame macro="">
      <xdr:nvGraphicFramePr>
        <xdr:cNvPr id="278540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69</xdr:row>
      <xdr:rowOff>152400</xdr:rowOff>
    </xdr:from>
    <xdr:to>
      <xdr:col>23</xdr:col>
      <xdr:colOff>38100</xdr:colOff>
      <xdr:row>93</xdr:row>
      <xdr:rowOff>9525</xdr:rowOff>
    </xdr:to>
    <xdr:graphicFrame macro="">
      <xdr:nvGraphicFramePr>
        <xdr:cNvPr id="278540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899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899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8991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940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940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940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99</xdr:row>
      <xdr:rowOff>85725</xdr:rowOff>
    </xdr:from>
    <xdr:to>
      <xdr:col>24</xdr:col>
      <xdr:colOff>438150</xdr:colOff>
      <xdr:row>122</xdr:row>
      <xdr:rowOff>85725</xdr:rowOff>
    </xdr:to>
    <xdr:graphicFrame macro="">
      <xdr:nvGraphicFramePr>
        <xdr:cNvPr id="278981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51</xdr:row>
      <xdr:rowOff>152400</xdr:rowOff>
    </xdr:from>
    <xdr:to>
      <xdr:col>24</xdr:col>
      <xdr:colOff>438150</xdr:colOff>
      <xdr:row>74</xdr:row>
      <xdr:rowOff>152400</xdr:rowOff>
    </xdr:to>
    <xdr:graphicFrame macro="">
      <xdr:nvGraphicFramePr>
        <xdr:cNvPr id="2789810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74</xdr:row>
      <xdr:rowOff>180975</xdr:rowOff>
    </xdr:from>
    <xdr:to>
      <xdr:col>24</xdr:col>
      <xdr:colOff>485775</xdr:colOff>
      <xdr:row>98</xdr:row>
      <xdr:rowOff>38100</xdr:rowOff>
    </xdr:to>
    <xdr:graphicFrame macro="">
      <xdr:nvGraphicFramePr>
        <xdr:cNvPr id="278981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022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022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022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063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06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063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103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103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103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144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144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144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18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185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1859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226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226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226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2678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267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267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76806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85725</xdr:rowOff>
    </xdr:from>
    <xdr:to>
      <xdr:col>24</xdr:col>
      <xdr:colOff>476250</xdr:colOff>
      <xdr:row>69</xdr:row>
      <xdr:rowOff>85725</xdr:rowOff>
    </xdr:to>
    <xdr:graphicFrame macro="">
      <xdr:nvGraphicFramePr>
        <xdr:cNvPr id="277680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69</xdr:row>
      <xdr:rowOff>152400</xdr:rowOff>
    </xdr:from>
    <xdr:to>
      <xdr:col>24</xdr:col>
      <xdr:colOff>457200</xdr:colOff>
      <xdr:row>93</xdr:row>
      <xdr:rowOff>9525</xdr:rowOff>
    </xdr:to>
    <xdr:graphicFrame macro="">
      <xdr:nvGraphicFramePr>
        <xdr:cNvPr id="277680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308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308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308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349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349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349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390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390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3907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43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4316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4316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104</xdr:row>
      <xdr:rowOff>85725</xdr:rowOff>
    </xdr:from>
    <xdr:to>
      <xdr:col>24</xdr:col>
      <xdr:colOff>438150</xdr:colOff>
      <xdr:row>127</xdr:row>
      <xdr:rowOff>85725</xdr:rowOff>
    </xdr:to>
    <xdr:graphicFrame macro="">
      <xdr:nvGraphicFramePr>
        <xdr:cNvPr id="279472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56</xdr:row>
      <xdr:rowOff>152400</xdr:rowOff>
    </xdr:from>
    <xdr:to>
      <xdr:col>24</xdr:col>
      <xdr:colOff>438150</xdr:colOff>
      <xdr:row>79</xdr:row>
      <xdr:rowOff>152400</xdr:rowOff>
    </xdr:to>
    <xdr:graphicFrame macro="">
      <xdr:nvGraphicFramePr>
        <xdr:cNvPr id="279472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79</xdr:row>
      <xdr:rowOff>180975</xdr:rowOff>
    </xdr:from>
    <xdr:to>
      <xdr:col>24</xdr:col>
      <xdr:colOff>485775</xdr:colOff>
      <xdr:row>103</xdr:row>
      <xdr:rowOff>38100</xdr:rowOff>
    </xdr:to>
    <xdr:graphicFrame macro="">
      <xdr:nvGraphicFramePr>
        <xdr:cNvPr id="2794726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346532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61</xdr:row>
      <xdr:rowOff>152400</xdr:rowOff>
    </xdr:from>
    <xdr:to>
      <xdr:col>24</xdr:col>
      <xdr:colOff>552450</xdr:colOff>
      <xdr:row>85</xdr:row>
      <xdr:rowOff>152400</xdr:rowOff>
    </xdr:to>
    <xdr:graphicFrame macro="">
      <xdr:nvGraphicFramePr>
        <xdr:cNvPr id="346532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85</xdr:row>
      <xdr:rowOff>180975</xdr:rowOff>
    </xdr:from>
    <xdr:to>
      <xdr:col>24</xdr:col>
      <xdr:colOff>542925</xdr:colOff>
      <xdr:row>109</xdr:row>
      <xdr:rowOff>38100</xdr:rowOff>
    </xdr:to>
    <xdr:graphicFrame macro="">
      <xdr:nvGraphicFramePr>
        <xdr:cNvPr id="346532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154733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61</xdr:row>
      <xdr:rowOff>57150</xdr:rowOff>
    </xdr:from>
    <xdr:to>
      <xdr:col>24</xdr:col>
      <xdr:colOff>542925</xdr:colOff>
      <xdr:row>85</xdr:row>
      <xdr:rowOff>57150</xdr:rowOff>
    </xdr:to>
    <xdr:graphicFrame macro="">
      <xdr:nvGraphicFramePr>
        <xdr:cNvPr id="154733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85</xdr:row>
      <xdr:rowOff>180975</xdr:rowOff>
    </xdr:from>
    <xdr:to>
      <xdr:col>24</xdr:col>
      <xdr:colOff>542925</xdr:colOff>
      <xdr:row>109</xdr:row>
      <xdr:rowOff>38100</xdr:rowOff>
    </xdr:to>
    <xdr:graphicFrame macro="">
      <xdr:nvGraphicFramePr>
        <xdr:cNvPr id="154733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354222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61</xdr:row>
      <xdr:rowOff>0</xdr:rowOff>
    </xdr:from>
    <xdr:to>
      <xdr:col>24</xdr:col>
      <xdr:colOff>466725</xdr:colOff>
      <xdr:row>85</xdr:row>
      <xdr:rowOff>0</xdr:rowOff>
    </xdr:to>
    <xdr:graphicFrame macro="">
      <xdr:nvGraphicFramePr>
        <xdr:cNvPr id="354222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354222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211204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28575</xdr:rowOff>
    </xdr:from>
    <xdr:to>
      <xdr:col>24</xdr:col>
      <xdr:colOff>476250</xdr:colOff>
      <xdr:row>85</xdr:row>
      <xdr:rowOff>28575</xdr:rowOff>
    </xdr:to>
    <xdr:graphicFrame macro="">
      <xdr:nvGraphicFramePr>
        <xdr:cNvPr id="211204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2112048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272284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28575</xdr:rowOff>
    </xdr:from>
    <xdr:to>
      <xdr:col>24</xdr:col>
      <xdr:colOff>476250</xdr:colOff>
      <xdr:row>85</xdr:row>
      <xdr:rowOff>28575</xdr:rowOff>
    </xdr:to>
    <xdr:graphicFrame macro="">
      <xdr:nvGraphicFramePr>
        <xdr:cNvPr id="272284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272284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612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612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69</xdr:row>
      <xdr:rowOff>152400</xdr:rowOff>
    </xdr:from>
    <xdr:to>
      <xdr:col>24</xdr:col>
      <xdr:colOff>457200</xdr:colOff>
      <xdr:row>93</xdr:row>
      <xdr:rowOff>9525</xdr:rowOff>
    </xdr:to>
    <xdr:graphicFrame macro="">
      <xdr:nvGraphicFramePr>
        <xdr:cNvPr id="278612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31797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28575</xdr:rowOff>
    </xdr:from>
    <xdr:to>
      <xdr:col>24</xdr:col>
      <xdr:colOff>476250</xdr:colOff>
      <xdr:row>85</xdr:row>
      <xdr:rowOff>28575</xdr:rowOff>
    </xdr:to>
    <xdr:graphicFrame macro="">
      <xdr:nvGraphicFramePr>
        <xdr:cNvPr id="317973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317973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341023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28575</xdr:rowOff>
    </xdr:from>
    <xdr:to>
      <xdr:col>24</xdr:col>
      <xdr:colOff>476250</xdr:colOff>
      <xdr:row>85</xdr:row>
      <xdr:rowOff>28575</xdr:rowOff>
    </xdr:to>
    <xdr:graphicFrame macro="">
      <xdr:nvGraphicFramePr>
        <xdr:cNvPr id="341023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341023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28575</xdr:rowOff>
    </xdr:from>
    <xdr:to>
      <xdr:col>24</xdr:col>
      <xdr:colOff>476250</xdr:colOff>
      <xdr:row>85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110</xdr:row>
      <xdr:rowOff>85725</xdr:rowOff>
    </xdr:from>
    <xdr:to>
      <xdr:col>24</xdr:col>
      <xdr:colOff>438150</xdr:colOff>
      <xdr:row>133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60</xdr:row>
      <xdr:rowOff>161925</xdr:rowOff>
    </xdr:from>
    <xdr:to>
      <xdr:col>24</xdr:col>
      <xdr:colOff>419100</xdr:colOff>
      <xdr:row>84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85</xdr:row>
      <xdr:rowOff>180975</xdr:rowOff>
    </xdr:from>
    <xdr:to>
      <xdr:col>24</xdr:col>
      <xdr:colOff>485775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111</xdr:row>
      <xdr:rowOff>85725</xdr:rowOff>
    </xdr:from>
    <xdr:to>
      <xdr:col>24</xdr:col>
      <xdr:colOff>438150</xdr:colOff>
      <xdr:row>134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28575</xdr:rowOff>
    </xdr:from>
    <xdr:to>
      <xdr:col>24</xdr:col>
      <xdr:colOff>476250</xdr:colOff>
      <xdr:row>86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86</xdr:row>
      <xdr:rowOff>180975</xdr:rowOff>
    </xdr:from>
    <xdr:to>
      <xdr:col>24</xdr:col>
      <xdr:colOff>485775</xdr:colOff>
      <xdr:row>110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111</xdr:row>
      <xdr:rowOff>85725</xdr:rowOff>
    </xdr:from>
    <xdr:to>
      <xdr:col>24</xdr:col>
      <xdr:colOff>438150</xdr:colOff>
      <xdr:row>134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62</xdr:row>
      <xdr:rowOff>104775</xdr:rowOff>
    </xdr:from>
    <xdr:to>
      <xdr:col>24</xdr:col>
      <xdr:colOff>485775</xdr:colOff>
      <xdr:row>86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86</xdr:row>
      <xdr:rowOff>180975</xdr:rowOff>
    </xdr:from>
    <xdr:to>
      <xdr:col>24</xdr:col>
      <xdr:colOff>485775</xdr:colOff>
      <xdr:row>110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111</xdr:row>
      <xdr:rowOff>85725</xdr:rowOff>
    </xdr:from>
    <xdr:to>
      <xdr:col>24</xdr:col>
      <xdr:colOff>438150</xdr:colOff>
      <xdr:row>134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62</xdr:row>
      <xdr:rowOff>104775</xdr:rowOff>
    </xdr:from>
    <xdr:to>
      <xdr:col>24</xdr:col>
      <xdr:colOff>485775</xdr:colOff>
      <xdr:row>86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86</xdr:row>
      <xdr:rowOff>180975</xdr:rowOff>
    </xdr:from>
    <xdr:to>
      <xdr:col>24</xdr:col>
      <xdr:colOff>485775</xdr:colOff>
      <xdr:row>110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653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653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6534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694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694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694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735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735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735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77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776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776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81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81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81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94</xdr:row>
      <xdr:rowOff>85725</xdr:rowOff>
    </xdr:from>
    <xdr:to>
      <xdr:col>24</xdr:col>
      <xdr:colOff>438150</xdr:colOff>
      <xdr:row>117</xdr:row>
      <xdr:rowOff>85725</xdr:rowOff>
    </xdr:to>
    <xdr:graphicFrame macro="">
      <xdr:nvGraphicFramePr>
        <xdr:cNvPr id="278858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152400</xdr:rowOff>
    </xdr:from>
    <xdr:to>
      <xdr:col>24</xdr:col>
      <xdr:colOff>438150</xdr:colOff>
      <xdr:row>69</xdr:row>
      <xdr:rowOff>152400</xdr:rowOff>
    </xdr:to>
    <xdr:graphicFrame macro="">
      <xdr:nvGraphicFramePr>
        <xdr:cNvPr id="278858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69</xdr:row>
      <xdr:rowOff>180975</xdr:rowOff>
    </xdr:from>
    <xdr:to>
      <xdr:col>24</xdr:col>
      <xdr:colOff>485775</xdr:colOff>
      <xdr:row>93</xdr:row>
      <xdr:rowOff>38100</xdr:rowOff>
    </xdr:to>
    <xdr:graphicFrame macro="">
      <xdr:nvGraphicFramePr>
        <xdr:cNvPr id="278858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Y64"/>
  <sheetViews>
    <sheetView showGridLines="0" workbookViewId="0">
      <selection activeCell="O23" sqref="O23"/>
    </sheetView>
  </sheetViews>
  <sheetFormatPr defaultColWidth="8.85546875" defaultRowHeight="15"/>
  <cols>
    <col min="1" max="1" width="1.140625" customWidth="1"/>
    <col min="2" max="2" width="11" customWidth="1"/>
    <col min="3" max="3" width="9.140625" customWidth="1"/>
    <col min="4" max="10" width="8.28515625" customWidth="1"/>
    <col min="11" max="12" width="8.42578125" bestFit="1" customWidth="1"/>
    <col min="13" max="13" width="7.7109375" bestFit="1" customWidth="1"/>
    <col min="14" max="14" width="9.42578125" bestFit="1" customWidth="1"/>
    <col min="15" max="16" width="7" bestFit="1" customWidth="1"/>
    <col min="17" max="17" width="9.140625" customWidth="1"/>
    <col min="18" max="18" width="7.85546875" customWidth="1"/>
    <col min="19" max="19" width="8.28515625" customWidth="1"/>
    <col min="20" max="20" width="7" bestFit="1" customWidth="1"/>
    <col min="21" max="22" width="7.42578125" customWidth="1"/>
    <col min="24" max="24" width="2.85546875" customWidth="1"/>
    <col min="25" max="25" width="1.140625" customWidth="1"/>
    <col min="51" max="51" width="9.140625" style="6" customWidth="1"/>
  </cols>
  <sheetData>
    <row r="1" spans="2:51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</row>
    <row r="2" spans="2:51" ht="18.75">
      <c r="B2" s="2" t="s">
        <v>31</v>
      </c>
    </row>
    <row r="4" spans="2:51" ht="15.75" thickBot="1">
      <c r="B4" s="9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1">
      <c r="B5" s="4"/>
      <c r="C5" s="16" t="s">
        <v>32</v>
      </c>
      <c r="D5" s="4"/>
      <c r="E5" s="7" t="s">
        <v>30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  <c r="V5" s="4" t="s">
        <v>23</v>
      </c>
      <c r="W5" s="4"/>
      <c r="X5" s="4"/>
      <c r="Y5" s="8"/>
      <c r="AY5"/>
    </row>
    <row r="6" spans="2:51">
      <c r="B6" s="4" t="s">
        <v>0</v>
      </c>
      <c r="C6" s="20">
        <f>+C40/$V$1</f>
        <v>10000</v>
      </c>
      <c r="D6" s="10"/>
      <c r="E6" s="11">
        <v>21119</v>
      </c>
      <c r="F6" s="10">
        <v>11570</v>
      </c>
      <c r="G6" s="10">
        <v>2785</v>
      </c>
      <c r="H6" s="10">
        <v>2785</v>
      </c>
      <c r="I6" s="10">
        <v>10179</v>
      </c>
      <c r="J6" s="10">
        <v>7894</v>
      </c>
      <c r="K6" s="10">
        <v>0</v>
      </c>
      <c r="L6" s="10">
        <f>9054*0.9</f>
        <v>8148.6</v>
      </c>
      <c r="M6" s="10">
        <v>0</v>
      </c>
      <c r="N6" s="10">
        <v>20534</v>
      </c>
      <c r="O6" s="10">
        <v>16964</v>
      </c>
      <c r="P6" s="10">
        <v>22734</v>
      </c>
      <c r="Q6" s="10">
        <v>0</v>
      </c>
      <c r="R6" s="10">
        <v>10213</v>
      </c>
      <c r="S6" s="10">
        <v>27916</v>
      </c>
      <c r="T6" s="10">
        <v>22358</v>
      </c>
      <c r="U6" s="10">
        <v>31461</v>
      </c>
      <c r="V6" s="10">
        <v>22562</v>
      </c>
      <c r="W6" s="4"/>
      <c r="X6" s="4"/>
      <c r="Y6" s="8"/>
      <c r="AY6"/>
    </row>
    <row r="7" spans="2:51">
      <c r="B7" s="4" t="s">
        <v>1</v>
      </c>
      <c r="C7" s="20">
        <f>+C41/$V$1</f>
        <v>10000</v>
      </c>
      <c r="D7" s="10"/>
      <c r="E7" s="11">
        <v>5890</v>
      </c>
      <c r="F7" s="10">
        <v>20090</v>
      </c>
      <c r="G7" s="10">
        <v>34465</v>
      </c>
      <c r="H7" s="10">
        <v>16706</v>
      </c>
      <c r="I7" s="10">
        <v>3695</v>
      </c>
      <c r="J7" s="10">
        <v>4250</v>
      </c>
      <c r="K7" s="10">
        <v>10890</v>
      </c>
      <c r="L7" s="10">
        <v>13340</v>
      </c>
      <c r="M7" s="10">
        <v>10254</v>
      </c>
      <c r="N7" s="10">
        <v>9890</v>
      </c>
      <c r="O7" s="10">
        <v>3000</v>
      </c>
      <c r="P7" s="10">
        <v>14646</v>
      </c>
      <c r="Q7" s="10">
        <v>0</v>
      </c>
      <c r="R7" s="10">
        <v>3790</v>
      </c>
      <c r="S7" s="10">
        <v>10465</v>
      </c>
      <c r="T7" s="10">
        <v>13645</v>
      </c>
      <c r="U7" s="10">
        <v>1500</v>
      </c>
      <c r="V7" s="10">
        <v>19500</v>
      </c>
      <c r="W7" s="4"/>
      <c r="X7" s="4"/>
      <c r="Y7" s="8"/>
      <c r="AY7"/>
    </row>
    <row r="8" spans="2:51">
      <c r="B8" s="4" t="s">
        <v>2</v>
      </c>
      <c r="C8" s="20">
        <f>+C42/$V$1</f>
        <v>6750</v>
      </c>
      <c r="D8" s="10"/>
      <c r="E8" s="11">
        <v>7731</v>
      </c>
      <c r="F8" s="10">
        <v>3150</v>
      </c>
      <c r="G8" s="10">
        <v>8631</v>
      </c>
      <c r="H8" s="10">
        <v>8451</v>
      </c>
      <c r="I8" s="10">
        <v>0</v>
      </c>
      <c r="J8" s="10">
        <v>3600</v>
      </c>
      <c r="K8" s="10">
        <v>1350</v>
      </c>
      <c r="L8" s="10">
        <v>900</v>
      </c>
      <c r="M8" s="10">
        <f>1950*0.9</f>
        <v>1755</v>
      </c>
      <c r="N8" s="10">
        <v>0</v>
      </c>
      <c r="O8" s="10">
        <f>5790*0.9</f>
        <v>5211</v>
      </c>
      <c r="P8" s="10">
        <f>2650*0.9</f>
        <v>2385</v>
      </c>
      <c r="Q8" s="10">
        <f>15285*0.9</f>
        <v>13756.5</v>
      </c>
      <c r="R8" s="10">
        <f>8680*0.9</f>
        <v>7812</v>
      </c>
      <c r="S8" s="10">
        <f>19075*0.9</f>
        <v>17167.5</v>
      </c>
      <c r="T8" s="10">
        <f>8490*0.9</f>
        <v>7641</v>
      </c>
      <c r="U8" s="10">
        <f>22480*0.9</f>
        <v>20232</v>
      </c>
      <c r="V8" s="10">
        <f>8500*0.9</f>
        <v>7650</v>
      </c>
      <c r="W8" s="4"/>
      <c r="X8" s="4"/>
      <c r="Y8" s="8"/>
      <c r="AY8"/>
    </row>
    <row r="9" spans="2:51">
      <c r="B9" s="4" t="s">
        <v>3</v>
      </c>
      <c r="C9" s="21">
        <f>+C43/$V$1</f>
        <v>14350</v>
      </c>
      <c r="D9" s="13"/>
      <c r="E9" s="11">
        <v>70736</v>
      </c>
      <c r="F9" s="13">
        <v>3042</v>
      </c>
      <c r="G9" s="13">
        <v>1989</v>
      </c>
      <c r="H9" s="13">
        <v>0</v>
      </c>
      <c r="I9" s="13">
        <v>3788</v>
      </c>
      <c r="J9" s="13">
        <v>17551</v>
      </c>
      <c r="K9" s="13">
        <v>16472</v>
      </c>
      <c r="L9" s="13">
        <v>19430</v>
      </c>
      <c r="M9" s="13">
        <f>10387*1.64</f>
        <v>17034.68</v>
      </c>
      <c r="N9" s="13">
        <f>10325*1.64</f>
        <v>16933</v>
      </c>
      <c r="O9" s="13">
        <f>22571*1.64</f>
        <v>37016.439999999995</v>
      </c>
      <c r="P9" s="13">
        <f>12041*1.64</f>
        <v>19747.239999999998</v>
      </c>
      <c r="Q9" s="13">
        <f>16616*1.64</f>
        <v>27250.239999999998</v>
      </c>
      <c r="R9" s="13">
        <f>10422*1.64</f>
        <v>17092.079999999998</v>
      </c>
      <c r="S9" s="13">
        <f>10695*1.64</f>
        <v>17539.8</v>
      </c>
      <c r="T9" s="13">
        <f>20442*1.64</f>
        <v>33524.879999999997</v>
      </c>
      <c r="U9" s="13">
        <f>18015*1.64</f>
        <v>29544.6</v>
      </c>
      <c r="V9" s="13">
        <f>16754*1.64</f>
        <v>27476.559999999998</v>
      </c>
      <c r="W9" s="4"/>
      <c r="X9" s="4"/>
      <c r="Y9" s="8"/>
      <c r="AY9"/>
    </row>
    <row r="10" spans="2:51">
      <c r="B10" s="14" t="s">
        <v>27</v>
      </c>
      <c r="C10" s="20">
        <f>SUM(C6:C9)</f>
        <v>41100</v>
      </c>
      <c r="D10" s="10"/>
      <c r="E10" s="11">
        <f t="shared" ref="E10:V10" si="0">SUM(E6:E9)</f>
        <v>105476</v>
      </c>
      <c r="F10" s="10">
        <f t="shared" si="0"/>
        <v>37852</v>
      </c>
      <c r="G10" s="10">
        <f t="shared" si="0"/>
        <v>47870</v>
      </c>
      <c r="H10" s="10">
        <f t="shared" si="0"/>
        <v>27942</v>
      </c>
      <c r="I10" s="10">
        <f t="shared" si="0"/>
        <v>17662</v>
      </c>
      <c r="J10" s="10">
        <f t="shared" si="0"/>
        <v>33295</v>
      </c>
      <c r="K10" s="10">
        <f t="shared" si="0"/>
        <v>28712</v>
      </c>
      <c r="L10" s="10">
        <f t="shared" si="0"/>
        <v>41818.6</v>
      </c>
      <c r="M10" s="10">
        <f t="shared" si="0"/>
        <v>29043.68</v>
      </c>
      <c r="N10" s="10">
        <f t="shared" si="0"/>
        <v>47357</v>
      </c>
      <c r="O10" s="10">
        <f t="shared" si="0"/>
        <v>62191.439999999995</v>
      </c>
      <c r="P10" s="10">
        <f t="shared" si="0"/>
        <v>59512.24</v>
      </c>
      <c r="Q10" s="10">
        <f t="shared" si="0"/>
        <v>41006.74</v>
      </c>
      <c r="R10" s="10">
        <f t="shared" si="0"/>
        <v>38907.08</v>
      </c>
      <c r="S10" s="10">
        <f t="shared" si="0"/>
        <v>73088.3</v>
      </c>
      <c r="T10" s="10">
        <f t="shared" si="0"/>
        <v>77168.88</v>
      </c>
      <c r="U10" s="10">
        <f t="shared" si="0"/>
        <v>82737.600000000006</v>
      </c>
      <c r="V10" s="10">
        <f t="shared" si="0"/>
        <v>77188.56</v>
      </c>
      <c r="W10" s="4"/>
      <c r="X10" s="4"/>
      <c r="Y10" s="8"/>
      <c r="AY10"/>
    </row>
    <row r="11" spans="2:51" s="1" customFormat="1" ht="13.5" thickBot="1">
      <c r="B11" s="14"/>
      <c r="C11" s="20"/>
      <c r="D11" s="10"/>
      <c r="E11" s="15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  <c r="X11" s="4"/>
      <c r="Y11" s="8"/>
    </row>
    <row r="12" spans="2:51" s="1" customFormat="1" ht="12.75">
      <c r="B12" s="14"/>
      <c r="C12" s="14"/>
      <c r="D12" s="14"/>
      <c r="E12" s="14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  <c r="X12" s="4"/>
      <c r="Y12" s="8"/>
    </row>
    <row r="13" spans="2:51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4"/>
      <c r="X13" s="4"/>
      <c r="Y13" s="8"/>
    </row>
    <row r="14" spans="2:51" s="1" customFormat="1" ht="12.75">
      <c r="B14" s="23"/>
      <c r="C14" s="23" t="s">
        <v>4</v>
      </c>
      <c r="D14" s="23" t="s">
        <v>5</v>
      </c>
      <c r="E14" s="23" t="s">
        <v>6</v>
      </c>
      <c r="F14" s="23" t="s">
        <v>7</v>
      </c>
      <c r="G14" s="23" t="s">
        <v>8</v>
      </c>
      <c r="H14" s="23" t="s">
        <v>9</v>
      </c>
      <c r="I14" s="23" t="s">
        <v>10</v>
      </c>
      <c r="J14" s="23" t="s">
        <v>11</v>
      </c>
      <c r="K14" s="23" t="s">
        <v>12</v>
      </c>
      <c r="L14" s="23" t="s">
        <v>13</v>
      </c>
      <c r="M14" s="23" t="s">
        <v>14</v>
      </c>
      <c r="N14" s="23" t="s">
        <v>15</v>
      </c>
      <c r="O14" s="23" t="s">
        <v>16</v>
      </c>
      <c r="P14" s="23" t="s">
        <v>17</v>
      </c>
      <c r="Q14" s="23" t="s">
        <v>18</v>
      </c>
      <c r="R14" s="23" t="s">
        <v>19</v>
      </c>
      <c r="S14" s="23" t="s">
        <v>20</v>
      </c>
      <c r="T14" s="23" t="s">
        <v>21</v>
      </c>
      <c r="U14" s="23" t="s">
        <v>22</v>
      </c>
      <c r="V14" s="23" t="s">
        <v>23</v>
      </c>
      <c r="W14" s="4"/>
      <c r="X14" s="4"/>
      <c r="Y14" s="8"/>
    </row>
    <row r="15" spans="2:51" s="1" customFormat="1" ht="12.75">
      <c r="B15" s="23" t="s">
        <v>0</v>
      </c>
      <c r="C15" s="24"/>
      <c r="D15" s="24"/>
      <c r="E15" s="24"/>
      <c r="F15" s="25">
        <f t="shared" ref="F15:N19" si="1">(F6-$C6)/$C6+1</f>
        <v>1.157</v>
      </c>
      <c r="G15" s="25">
        <f t="shared" si="1"/>
        <v>0.27849999999999997</v>
      </c>
      <c r="H15" s="25">
        <f t="shared" si="1"/>
        <v>0.27849999999999997</v>
      </c>
      <c r="I15" s="25">
        <f t="shared" si="1"/>
        <v>1.0179</v>
      </c>
      <c r="J15" s="25">
        <f t="shared" si="1"/>
        <v>0.78939999999999999</v>
      </c>
      <c r="K15" s="25">
        <f t="shared" si="1"/>
        <v>0</v>
      </c>
      <c r="L15" s="25">
        <f t="shared" si="1"/>
        <v>0.81486000000000003</v>
      </c>
      <c r="M15" s="25">
        <f t="shared" si="1"/>
        <v>0</v>
      </c>
      <c r="N15" s="25">
        <f t="shared" si="1"/>
        <v>2.0533999999999999</v>
      </c>
      <c r="O15" s="25">
        <f t="shared" ref="O15:V19" si="2">(O6-$C6)/$C6+1</f>
        <v>1.6964000000000001</v>
      </c>
      <c r="P15" s="25">
        <f t="shared" si="2"/>
        <v>2.2734000000000001</v>
      </c>
      <c r="Q15" s="25">
        <f t="shared" si="2"/>
        <v>0</v>
      </c>
      <c r="R15" s="25">
        <f t="shared" si="2"/>
        <v>1.0213000000000001</v>
      </c>
      <c r="S15" s="25">
        <f t="shared" si="2"/>
        <v>2.7915999999999999</v>
      </c>
      <c r="T15" s="25">
        <f t="shared" si="2"/>
        <v>2.2358000000000002</v>
      </c>
      <c r="U15" s="25">
        <f t="shared" si="2"/>
        <v>3.1461000000000001</v>
      </c>
      <c r="V15" s="25">
        <f t="shared" si="2"/>
        <v>2.2561999999999998</v>
      </c>
      <c r="W15" s="4"/>
      <c r="X15" s="4"/>
      <c r="Y15" s="8"/>
    </row>
    <row r="16" spans="2:51" s="1" customFormat="1" ht="12.75">
      <c r="B16" s="23" t="s">
        <v>1</v>
      </c>
      <c r="C16" s="24"/>
      <c r="D16" s="24"/>
      <c r="E16" s="24"/>
      <c r="F16" s="25">
        <f t="shared" si="1"/>
        <v>2.0089999999999999</v>
      </c>
      <c r="G16" s="25">
        <f t="shared" si="1"/>
        <v>3.4464999999999999</v>
      </c>
      <c r="H16" s="25">
        <f t="shared" si="1"/>
        <v>1.6705999999999999</v>
      </c>
      <c r="I16" s="25">
        <f t="shared" si="1"/>
        <v>0.36950000000000005</v>
      </c>
      <c r="J16" s="25">
        <f t="shared" si="1"/>
        <v>0.42500000000000004</v>
      </c>
      <c r="K16" s="25">
        <f t="shared" si="1"/>
        <v>1.089</v>
      </c>
      <c r="L16" s="25">
        <f t="shared" si="1"/>
        <v>1.3340000000000001</v>
      </c>
      <c r="M16" s="25">
        <f t="shared" si="1"/>
        <v>1.0254000000000001</v>
      </c>
      <c r="N16" s="25">
        <f t="shared" si="1"/>
        <v>0.98899999999999999</v>
      </c>
      <c r="O16" s="25">
        <f t="shared" si="2"/>
        <v>0.30000000000000004</v>
      </c>
      <c r="P16" s="25">
        <f t="shared" si="2"/>
        <v>1.4645999999999999</v>
      </c>
      <c r="Q16" s="25">
        <f t="shared" si="2"/>
        <v>0</v>
      </c>
      <c r="R16" s="25">
        <f t="shared" si="2"/>
        <v>0.379</v>
      </c>
      <c r="S16" s="25">
        <f t="shared" si="2"/>
        <v>1.0465</v>
      </c>
      <c r="T16" s="25">
        <f t="shared" si="2"/>
        <v>1.3645</v>
      </c>
      <c r="U16" s="25">
        <f t="shared" si="2"/>
        <v>0.15000000000000002</v>
      </c>
      <c r="V16" s="25">
        <f t="shared" si="2"/>
        <v>1.95</v>
      </c>
      <c r="W16" s="4"/>
      <c r="X16" s="4"/>
      <c r="Y16" s="8"/>
    </row>
    <row r="17" spans="2:51" s="1" customFormat="1" ht="12.75">
      <c r="B17" s="23" t="s">
        <v>2</v>
      </c>
      <c r="C17" s="24"/>
      <c r="D17" s="24"/>
      <c r="E17" s="24"/>
      <c r="F17" s="25">
        <f t="shared" si="1"/>
        <v>0.46666666666666667</v>
      </c>
      <c r="G17" s="25">
        <f t="shared" si="1"/>
        <v>1.2786666666666666</v>
      </c>
      <c r="H17" s="25">
        <f t="shared" si="1"/>
        <v>1.252</v>
      </c>
      <c r="I17" s="25">
        <f t="shared" si="1"/>
        <v>0</v>
      </c>
      <c r="J17" s="25">
        <f t="shared" si="1"/>
        <v>0.53333333333333333</v>
      </c>
      <c r="K17" s="25">
        <f t="shared" si="1"/>
        <v>0.19999999999999996</v>
      </c>
      <c r="L17" s="25">
        <f t="shared" si="1"/>
        <v>0.1333333333333333</v>
      </c>
      <c r="M17" s="25">
        <f t="shared" si="1"/>
        <v>0.26</v>
      </c>
      <c r="N17" s="25">
        <f>(N8-$C8)/$C8+1</f>
        <v>0</v>
      </c>
      <c r="O17" s="25">
        <f t="shared" si="2"/>
        <v>0.77200000000000002</v>
      </c>
      <c r="P17" s="25">
        <f t="shared" si="2"/>
        <v>0.35333333333333339</v>
      </c>
      <c r="Q17" s="25">
        <f t="shared" si="2"/>
        <v>2.0380000000000003</v>
      </c>
      <c r="R17" s="25">
        <f t="shared" si="2"/>
        <v>1.1573333333333333</v>
      </c>
      <c r="S17" s="25">
        <f t="shared" si="2"/>
        <v>2.543333333333333</v>
      </c>
      <c r="T17" s="25">
        <f t="shared" si="2"/>
        <v>1.1320000000000001</v>
      </c>
      <c r="U17" s="25">
        <f t="shared" si="2"/>
        <v>2.9973333333333336</v>
      </c>
      <c r="V17" s="25">
        <f t="shared" si="2"/>
        <v>1.1333333333333333</v>
      </c>
      <c r="W17" s="4"/>
      <c r="X17" s="4"/>
      <c r="Y17" s="8"/>
    </row>
    <row r="18" spans="2:51" s="1" customFormat="1" ht="12.75">
      <c r="B18" s="23" t="s">
        <v>3</v>
      </c>
      <c r="C18" s="26"/>
      <c r="D18" s="26"/>
      <c r="E18" s="26"/>
      <c r="F18" s="27">
        <f t="shared" si="1"/>
        <v>0.21198606271776999</v>
      </c>
      <c r="G18" s="27">
        <f t="shared" si="1"/>
        <v>0.13860627177700346</v>
      </c>
      <c r="H18" s="27">
        <f t="shared" si="1"/>
        <v>0</v>
      </c>
      <c r="I18" s="27">
        <f t="shared" si="1"/>
        <v>0.26397212543554005</v>
      </c>
      <c r="J18" s="27">
        <f t="shared" si="1"/>
        <v>1.2230662020905922</v>
      </c>
      <c r="K18" s="27">
        <f t="shared" si="1"/>
        <v>1.1478745644599302</v>
      </c>
      <c r="L18" s="27">
        <f t="shared" si="1"/>
        <v>1.3540069686411149</v>
      </c>
      <c r="M18" s="27">
        <f t="shared" si="1"/>
        <v>1.1870857142857143</v>
      </c>
      <c r="N18" s="27">
        <f>(N9-$C9)/$C9+1</f>
        <v>1.18</v>
      </c>
      <c r="O18" s="27">
        <f t="shared" si="2"/>
        <v>2.5795428571428567</v>
      </c>
      <c r="P18" s="27">
        <f t="shared" si="2"/>
        <v>1.3761142857142856</v>
      </c>
      <c r="Q18" s="27">
        <f t="shared" si="2"/>
        <v>1.8989714285714285</v>
      </c>
      <c r="R18" s="27">
        <f t="shared" si="2"/>
        <v>1.1910857142857141</v>
      </c>
      <c r="S18" s="27">
        <f t="shared" si="2"/>
        <v>1.2222857142857142</v>
      </c>
      <c r="T18" s="27">
        <f t="shared" si="2"/>
        <v>2.3362285714285713</v>
      </c>
      <c r="U18" s="27">
        <f t="shared" si="2"/>
        <v>2.0588571428571427</v>
      </c>
      <c r="V18" s="27">
        <f t="shared" si="2"/>
        <v>1.9147428571428571</v>
      </c>
      <c r="W18" s="4"/>
      <c r="X18" s="4"/>
      <c r="Y18" s="8"/>
    </row>
    <row r="19" spans="2:51" s="1" customFormat="1" ht="12.75">
      <c r="B19" s="29" t="s">
        <v>27</v>
      </c>
      <c r="C19" s="24"/>
      <c r="D19" s="24"/>
      <c r="E19" s="24"/>
      <c r="F19" s="25">
        <f t="shared" si="1"/>
        <v>0.92097323600973235</v>
      </c>
      <c r="G19" s="25">
        <f t="shared" si="1"/>
        <v>1.1647201946472019</v>
      </c>
      <c r="H19" s="25">
        <f t="shared" si="1"/>
        <v>0.67985401459854011</v>
      </c>
      <c r="I19" s="25">
        <f t="shared" si="1"/>
        <v>0.42973236009732363</v>
      </c>
      <c r="J19" s="25">
        <f t="shared" si="1"/>
        <v>0.8100973236009732</v>
      </c>
      <c r="K19" s="25">
        <f t="shared" si="1"/>
        <v>0.69858880778588806</v>
      </c>
      <c r="L19" s="25">
        <f t="shared" si="1"/>
        <v>1.0174841849148417</v>
      </c>
      <c r="M19" s="25">
        <f t="shared" si="1"/>
        <v>0.70665888077858874</v>
      </c>
      <c r="N19" s="25">
        <f>(N10-$C10)/$C10+1</f>
        <v>1.1522384428223844</v>
      </c>
      <c r="O19" s="25">
        <f t="shared" si="2"/>
        <v>1.5131737226277371</v>
      </c>
      <c r="P19" s="25">
        <f t="shared" si="2"/>
        <v>1.4479863746958637</v>
      </c>
      <c r="Q19" s="25">
        <f t="shared" si="2"/>
        <v>0.9977309002433089</v>
      </c>
      <c r="R19" s="25">
        <f t="shared" si="2"/>
        <v>0.94664428223844288</v>
      </c>
      <c r="S19" s="25">
        <f t="shared" si="2"/>
        <v>1.7783041362530414</v>
      </c>
      <c r="T19" s="25">
        <f t="shared" si="2"/>
        <v>1.8775883211678832</v>
      </c>
      <c r="U19" s="25">
        <f t="shared" si="2"/>
        <v>2.0130802919708031</v>
      </c>
      <c r="V19" s="25">
        <f t="shared" si="2"/>
        <v>1.8780671532846713</v>
      </c>
      <c r="W19" s="4"/>
      <c r="X19" s="4"/>
      <c r="Y19" s="8"/>
    </row>
    <row r="20" spans="2:5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31"/>
      <c r="V20" s="4"/>
      <c r="W20" s="4"/>
      <c r="X20" s="4"/>
      <c r="Y20" s="8"/>
      <c r="AY20"/>
    </row>
    <row r="21" spans="2:51">
      <c r="B21" s="9" t="s">
        <v>33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8"/>
      <c r="AY21"/>
    </row>
    <row r="22" spans="2:51">
      <c r="B22" s="4"/>
      <c r="C22" s="4" t="str">
        <f>+C14</f>
        <v>Day 1</v>
      </c>
      <c r="D22" s="4" t="str">
        <f t="shared" ref="D22:V22" si="3">+D14</f>
        <v>Day 2</v>
      </c>
      <c r="E22" s="4" t="str">
        <f t="shared" si="3"/>
        <v>Day 3</v>
      </c>
      <c r="F22" s="4" t="str">
        <f t="shared" si="3"/>
        <v>Day 4</v>
      </c>
      <c r="G22" s="4" t="str">
        <f t="shared" si="3"/>
        <v>Day 5</v>
      </c>
      <c r="H22" s="4" t="str">
        <f t="shared" si="3"/>
        <v>Day 6</v>
      </c>
      <c r="I22" s="4" t="str">
        <f t="shared" si="3"/>
        <v>Day 7</v>
      </c>
      <c r="J22" s="4" t="str">
        <f t="shared" si="3"/>
        <v>Day 8</v>
      </c>
      <c r="K22" s="4" t="str">
        <f t="shared" si="3"/>
        <v>Day 9</v>
      </c>
      <c r="L22" s="4" t="str">
        <f t="shared" si="3"/>
        <v>Day 10</v>
      </c>
      <c r="M22" s="4" t="str">
        <f t="shared" si="3"/>
        <v>Day 11</v>
      </c>
      <c r="N22" s="4" t="str">
        <f t="shared" si="3"/>
        <v>Day 12</v>
      </c>
      <c r="O22" s="4" t="str">
        <f t="shared" si="3"/>
        <v>Day 13</v>
      </c>
      <c r="P22" s="4" t="str">
        <f t="shared" si="3"/>
        <v>Day 14</v>
      </c>
      <c r="Q22" s="4" t="str">
        <f t="shared" si="3"/>
        <v>Day 15</v>
      </c>
      <c r="R22" s="4" t="str">
        <f t="shared" si="3"/>
        <v>Day 16</v>
      </c>
      <c r="S22" s="4" t="str">
        <f t="shared" si="3"/>
        <v>Day 17</v>
      </c>
      <c r="T22" s="4" t="str">
        <f t="shared" si="3"/>
        <v>Day 18</v>
      </c>
      <c r="U22" s="4" t="str">
        <f t="shared" si="3"/>
        <v>Day 19</v>
      </c>
      <c r="V22" s="4" t="str">
        <f t="shared" si="3"/>
        <v>Day 20</v>
      </c>
      <c r="W22" s="4"/>
      <c r="X22" s="4"/>
      <c r="Y22" s="8"/>
      <c r="AY22"/>
    </row>
    <row r="23" spans="2:51">
      <c r="B23" s="4" t="str">
        <f>+B15</f>
        <v>San Diego</v>
      </c>
      <c r="C23" s="4"/>
      <c r="D23" s="4"/>
      <c r="E23" s="4">
        <v>21119</v>
      </c>
      <c r="F23" s="4">
        <v>45644</v>
      </c>
      <c r="G23" s="4">
        <v>35059</v>
      </c>
      <c r="H23" s="4">
        <v>53909</v>
      </c>
      <c r="I23" s="4">
        <v>56694</v>
      </c>
      <c r="J23" s="4">
        <v>70158</v>
      </c>
      <c r="K23" s="4">
        <v>78052</v>
      </c>
      <c r="L23" s="4">
        <v>87106</v>
      </c>
      <c r="M23" s="4">
        <v>87106</v>
      </c>
      <c r="N23" s="4">
        <v>107640</v>
      </c>
      <c r="O23" s="4">
        <v>124604</v>
      </c>
      <c r="P23" s="4">
        <v>147338</v>
      </c>
      <c r="Q23" s="4">
        <v>147338</v>
      </c>
      <c r="R23" s="4">
        <v>157551</v>
      </c>
      <c r="S23" s="4">
        <v>185467</v>
      </c>
      <c r="T23" s="32">
        <v>202716</v>
      </c>
      <c r="U23" s="32">
        <v>200993</v>
      </c>
      <c r="V23" s="32">
        <v>220100</v>
      </c>
      <c r="W23" s="4"/>
      <c r="X23" s="4"/>
      <c r="Y23" s="8"/>
      <c r="AY23"/>
    </row>
    <row r="24" spans="2:51">
      <c r="B24" s="4" t="str">
        <f>+B16</f>
        <v>Boston</v>
      </c>
      <c r="C24" s="4"/>
      <c r="D24" s="4"/>
      <c r="E24" s="4">
        <v>5890</v>
      </c>
      <c r="F24" s="10">
        <f>+E24+F7</f>
        <v>25980</v>
      </c>
      <c r="G24" s="10">
        <f>+F24+G7</f>
        <v>60445</v>
      </c>
      <c r="H24" s="10">
        <f>+G24+H7</f>
        <v>77151</v>
      </c>
      <c r="I24" s="10">
        <v>112826</v>
      </c>
      <c r="J24" s="10">
        <f>+I24+J7</f>
        <v>117076</v>
      </c>
      <c r="K24" s="10">
        <f>+J24+K7</f>
        <v>127966</v>
      </c>
      <c r="L24" s="10">
        <f>+K24+L7</f>
        <v>141306</v>
      </c>
      <c r="M24" s="10">
        <v>150560</v>
      </c>
      <c r="N24" s="10">
        <v>160450</v>
      </c>
      <c r="O24" s="10">
        <v>163450</v>
      </c>
      <c r="P24" s="4">
        <v>174596</v>
      </c>
      <c r="Q24" s="4">
        <v>174596</v>
      </c>
      <c r="R24" s="4">
        <v>178386</v>
      </c>
      <c r="S24" s="4">
        <v>188851</v>
      </c>
      <c r="T24" s="4">
        <v>195071</v>
      </c>
      <c r="U24" s="4">
        <v>196571</v>
      </c>
      <c r="V24" s="42">
        <v>201000</v>
      </c>
      <c r="W24" s="4"/>
      <c r="X24" s="4"/>
      <c r="Y24" s="8"/>
      <c r="AY24"/>
    </row>
    <row r="25" spans="2:51" s="4" customFormat="1" ht="12.75">
      <c r="B25" s="4" t="str">
        <f>+B17</f>
        <v>Canada</v>
      </c>
      <c r="E25" s="4">
        <v>7731</v>
      </c>
      <c r="F25" s="4">
        <f>12090*0.9</f>
        <v>10881</v>
      </c>
      <c r="G25" s="4">
        <f>37940*0.9</f>
        <v>34146</v>
      </c>
      <c r="H25" s="4">
        <f>37940*0.9</f>
        <v>34146</v>
      </c>
      <c r="I25" s="4">
        <f>41940*0.9</f>
        <v>37746</v>
      </c>
      <c r="J25" s="4">
        <f>41940*0.9</f>
        <v>37746</v>
      </c>
      <c r="K25" s="4">
        <f>41940*0.9</f>
        <v>37746</v>
      </c>
      <c r="L25" s="4">
        <f>44440*0.9</f>
        <v>39996</v>
      </c>
      <c r="M25" s="4">
        <f>46390*0.9</f>
        <v>41751</v>
      </c>
      <c r="N25" s="4">
        <f>46390*0.9</f>
        <v>41751</v>
      </c>
      <c r="O25" s="4">
        <f>52180*0.9</f>
        <v>46962</v>
      </c>
      <c r="P25" s="4">
        <f>54830*0.9</f>
        <v>49347</v>
      </c>
      <c r="Q25" s="10">
        <f>68615*0.9</f>
        <v>61753.5</v>
      </c>
      <c r="R25" s="10">
        <f>77295*0.9</f>
        <v>69565.5</v>
      </c>
      <c r="S25" s="4">
        <f>96370*0.9</f>
        <v>86733</v>
      </c>
      <c r="T25" s="4">
        <f>96370*0.9</f>
        <v>86733</v>
      </c>
      <c r="U25" s="4">
        <f>104270*0.9</f>
        <v>93843</v>
      </c>
      <c r="V25" s="4">
        <v>103000</v>
      </c>
    </row>
    <row r="26" spans="2:51">
      <c r="B26" s="5" t="str">
        <f>+B18</f>
        <v>Norwich</v>
      </c>
      <c r="C26" s="19"/>
      <c r="D26" s="19"/>
      <c r="E26" s="13">
        <v>70736</v>
      </c>
      <c r="F26" s="13">
        <f>44987*1.64</f>
        <v>73778.679999999993</v>
      </c>
      <c r="G26" s="13">
        <f>51475*1.64</f>
        <v>84419</v>
      </c>
      <c r="H26" s="13">
        <f>53780*1.64</f>
        <v>88199.2</v>
      </c>
      <c r="I26" s="13">
        <f>56090*1.64</f>
        <v>91987.599999999991</v>
      </c>
      <c r="J26" s="19">
        <f>66792*1.64</f>
        <v>109538.87999999999</v>
      </c>
      <c r="K26" s="19">
        <f>76836*1.64</f>
        <v>126011.04</v>
      </c>
      <c r="L26" s="19">
        <f>88684*1.64</f>
        <v>145441.75999999998</v>
      </c>
      <c r="M26" s="19">
        <f>97370*1.64</f>
        <v>159686.79999999999</v>
      </c>
      <c r="N26" s="13">
        <f>107695*1.64</f>
        <v>176619.8</v>
      </c>
      <c r="O26" s="19">
        <f>130266*1.64</f>
        <v>213636.24</v>
      </c>
      <c r="P26" s="19">
        <f>142367*1.64</f>
        <v>233481.87999999998</v>
      </c>
      <c r="Q26" s="13">
        <f>154487*1.64</f>
        <v>253358.68</v>
      </c>
      <c r="R26" s="13">
        <f>164909*1.64</f>
        <v>270450.76</v>
      </c>
      <c r="S26" s="13">
        <f>171521*1.64</f>
        <v>281294.44</v>
      </c>
      <c r="T26" s="33">
        <f>181331*1.64</f>
        <v>297382.83999999997</v>
      </c>
      <c r="U26" s="33">
        <f>193604*1.64</f>
        <v>317510.56</v>
      </c>
      <c r="V26" s="33">
        <v>310000</v>
      </c>
      <c r="W26" s="4"/>
      <c r="X26" s="4"/>
      <c r="Y26" s="8"/>
      <c r="AY26"/>
    </row>
    <row r="27" spans="2:51">
      <c r="B27" s="4" t="str">
        <f>+B19</f>
        <v>Group</v>
      </c>
      <c r="C27" s="4">
        <f>SUM(C23:C26)</f>
        <v>0</v>
      </c>
      <c r="D27" s="4">
        <f t="shared" ref="D27:V27" si="4">SUM(D23:D26)</f>
        <v>0</v>
      </c>
      <c r="E27" s="4">
        <f t="shared" si="4"/>
        <v>105476</v>
      </c>
      <c r="F27" s="4">
        <f>SUM(F23:F26)</f>
        <v>156283.68</v>
      </c>
      <c r="G27" s="4">
        <f t="shared" si="4"/>
        <v>214069</v>
      </c>
      <c r="H27" s="4">
        <f t="shared" si="4"/>
        <v>253405.2</v>
      </c>
      <c r="I27" s="4">
        <f t="shared" si="4"/>
        <v>299253.59999999998</v>
      </c>
      <c r="J27" s="4">
        <f t="shared" si="4"/>
        <v>334518.88</v>
      </c>
      <c r="K27" s="4">
        <f t="shared" si="4"/>
        <v>369775.04</v>
      </c>
      <c r="L27" s="4">
        <f t="shared" si="4"/>
        <v>413849.76</v>
      </c>
      <c r="M27" s="4">
        <f t="shared" si="4"/>
        <v>439103.8</v>
      </c>
      <c r="N27" s="10">
        <f t="shared" si="4"/>
        <v>486460.8</v>
      </c>
      <c r="O27" s="4">
        <f t="shared" si="4"/>
        <v>548652.24</v>
      </c>
      <c r="P27" s="4">
        <f t="shared" si="4"/>
        <v>604762.88</v>
      </c>
      <c r="Q27" s="10">
        <f t="shared" si="4"/>
        <v>637046.17999999993</v>
      </c>
      <c r="R27" s="10">
        <f t="shared" si="4"/>
        <v>675953.26</v>
      </c>
      <c r="S27" s="4">
        <f t="shared" si="4"/>
        <v>742345.44</v>
      </c>
      <c r="T27" s="4">
        <f t="shared" si="4"/>
        <v>781902.84</v>
      </c>
      <c r="U27" s="4">
        <f t="shared" si="4"/>
        <v>808917.56</v>
      </c>
      <c r="V27" s="4">
        <f t="shared" si="4"/>
        <v>834100</v>
      </c>
      <c r="W27" s="4"/>
      <c r="X27" s="4"/>
      <c r="Y27" s="8"/>
      <c r="AY27"/>
    </row>
    <row r="28" spans="2:51" s="1" customFormat="1" ht="11.25">
      <c r="B28" s="1" t="s">
        <v>34</v>
      </c>
      <c r="E28" s="30">
        <f t="shared" ref="E28:N28" si="5">+E27/$C$44</f>
        <v>0.12831630170316302</v>
      </c>
      <c r="F28" s="30">
        <f t="shared" si="5"/>
        <v>0.1901261313868613</v>
      </c>
      <c r="G28" s="30">
        <f t="shared" si="5"/>
        <v>0.26042457420924575</v>
      </c>
      <c r="H28" s="30">
        <f t="shared" si="5"/>
        <v>0.30827883211678836</v>
      </c>
      <c r="I28" s="30">
        <f t="shared" si="5"/>
        <v>0.36405547445255471</v>
      </c>
      <c r="J28" s="30">
        <f t="shared" si="5"/>
        <v>0.40695727493917278</v>
      </c>
      <c r="K28" s="30">
        <f t="shared" si="5"/>
        <v>0.4498479805352798</v>
      </c>
      <c r="L28" s="30">
        <f t="shared" si="5"/>
        <v>0.50346686131386864</v>
      </c>
      <c r="M28" s="30">
        <f t="shared" si="5"/>
        <v>0.53418953771289535</v>
      </c>
      <c r="N28" s="30">
        <f t="shared" si="5"/>
        <v>0.59180145985401456</v>
      </c>
      <c r="O28" s="30">
        <f>+O27/$C$44</f>
        <v>0.66746014598540149</v>
      </c>
      <c r="P28" s="30">
        <f t="shared" ref="P28:V28" si="6">+P27/$C$44</f>
        <v>0.73572126520681269</v>
      </c>
      <c r="Q28" s="30">
        <f t="shared" si="6"/>
        <v>0.77499535279805343</v>
      </c>
      <c r="R28" s="30">
        <f t="shared" si="6"/>
        <v>0.82232756690997566</v>
      </c>
      <c r="S28" s="30">
        <f t="shared" si="6"/>
        <v>0.90309664233576636</v>
      </c>
      <c r="T28" s="30">
        <f t="shared" si="6"/>
        <v>0.95121999999999995</v>
      </c>
      <c r="U28" s="30">
        <f t="shared" si="6"/>
        <v>0.98408462287104626</v>
      </c>
      <c r="V28" s="30">
        <f t="shared" si="6"/>
        <v>1.014720194647202</v>
      </c>
    </row>
    <row r="29" spans="2:51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2:51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8"/>
      <c r="AY30"/>
    </row>
    <row r="31" spans="2:51">
      <c r="B31" s="4"/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9</v>
      </c>
      <c r="I31" s="4" t="s">
        <v>10</v>
      </c>
      <c r="J31" s="4" t="s">
        <v>11</v>
      </c>
      <c r="K31" s="4" t="s">
        <v>12</v>
      </c>
      <c r="L31" s="4" t="s">
        <v>13</v>
      </c>
      <c r="M31" s="4" t="s">
        <v>14</v>
      </c>
      <c r="N31" s="4" t="s">
        <v>15</v>
      </c>
      <c r="O31" s="4" t="s">
        <v>16</v>
      </c>
      <c r="P31" s="4" t="s">
        <v>17</v>
      </c>
      <c r="Q31" s="4" t="s">
        <v>18</v>
      </c>
      <c r="R31" s="4" t="s">
        <v>19</v>
      </c>
      <c r="S31" s="4" t="s">
        <v>20</v>
      </c>
      <c r="T31" s="4" t="s">
        <v>21</v>
      </c>
      <c r="U31" s="4" t="s">
        <v>22</v>
      </c>
      <c r="V31" s="4" t="s">
        <v>23</v>
      </c>
      <c r="W31" s="4"/>
      <c r="X31" s="4"/>
      <c r="Y31" s="8"/>
      <c r="AY31"/>
    </row>
    <row r="32" spans="2:51">
      <c r="B32" s="4" t="s">
        <v>0</v>
      </c>
      <c r="C32" s="17"/>
      <c r="D32" s="17"/>
      <c r="E32" s="17"/>
      <c r="F32" s="17">
        <f t="shared" ref="F32:K32" si="7">(F40/$C$40)</f>
        <v>0.81922499999999998</v>
      </c>
      <c r="G32" s="17">
        <f t="shared" si="7"/>
        <v>1.13388</v>
      </c>
      <c r="H32" s="17">
        <f t="shared" si="7"/>
        <v>0.94489999999999996</v>
      </c>
      <c r="I32" s="17">
        <f t="shared" si="7"/>
        <v>1.0022549999999999</v>
      </c>
      <c r="J32" s="17">
        <f t="shared" si="7"/>
        <v>0.97565000000000002</v>
      </c>
      <c r="K32" s="17">
        <f t="shared" si="7"/>
        <v>0.86724500000000004</v>
      </c>
      <c r="L32" s="17">
        <f t="shared" ref="L32:Q32" si="8">(L40/$C$40)</f>
        <v>0.87105999999999995</v>
      </c>
      <c r="M32" s="17">
        <f t="shared" si="8"/>
        <v>0.79187272727272739</v>
      </c>
      <c r="N32" s="17">
        <f t="shared" si="8"/>
        <v>0.89700000000000002</v>
      </c>
      <c r="O32" s="17">
        <f t="shared" si="8"/>
        <v>0.95849230769230764</v>
      </c>
      <c r="P32" s="17">
        <f t="shared" si="8"/>
        <v>0.98225333333333331</v>
      </c>
      <c r="Q32" s="17">
        <f t="shared" si="8"/>
        <v>0.92086250000000003</v>
      </c>
      <c r="R32" s="17">
        <f>(R40/$C$40)</f>
        <v>0.92677058823529401</v>
      </c>
      <c r="S32" s="17">
        <f>(S40/$C$40)</f>
        <v>1.0303722222222222</v>
      </c>
      <c r="T32" s="17">
        <f>(T40/$C$40)</f>
        <v>1.0669263157894735</v>
      </c>
      <c r="U32" s="17">
        <f>(U40/$C$40)</f>
        <v>1.0578578947368422</v>
      </c>
      <c r="V32" s="17">
        <f>(V40/$C$40)</f>
        <v>1.1005</v>
      </c>
      <c r="W32" s="4"/>
      <c r="X32" s="4"/>
      <c r="Y32" s="8"/>
      <c r="AY32"/>
    </row>
    <row r="33" spans="2:51">
      <c r="B33" s="4" t="s">
        <v>1</v>
      </c>
      <c r="C33" s="17"/>
      <c r="D33" s="17"/>
      <c r="E33" s="17"/>
      <c r="F33" s="17">
        <f t="shared" ref="F33:K33" si="9">(F41/$C$41)</f>
        <v>0.64949999999999997</v>
      </c>
      <c r="G33" s="17">
        <f t="shared" si="9"/>
        <v>1.5946</v>
      </c>
      <c r="H33" s="17">
        <f t="shared" si="9"/>
        <v>1.8188500000000001</v>
      </c>
      <c r="I33" s="17">
        <f t="shared" si="9"/>
        <v>1.6117999999999999</v>
      </c>
      <c r="J33" s="17">
        <f t="shared" si="9"/>
        <v>1.4634499999999999</v>
      </c>
      <c r="K33" s="17">
        <f t="shared" si="9"/>
        <v>1.4107350000000001</v>
      </c>
      <c r="L33" s="17">
        <f t="shared" ref="L33:Q33" si="10">(L41/$C$41)</f>
        <v>1.40306</v>
      </c>
      <c r="M33" s="17">
        <f t="shared" si="10"/>
        <v>1.368727272727273</v>
      </c>
      <c r="N33" s="17">
        <f t="shared" si="10"/>
        <v>1.3370833333333334</v>
      </c>
      <c r="O33" s="17">
        <f t="shared" si="10"/>
        <v>1.2573076923076922</v>
      </c>
      <c r="P33" s="17">
        <f t="shared" si="10"/>
        <v>1.2471142857142856</v>
      </c>
      <c r="Q33" s="17">
        <f t="shared" si="10"/>
        <v>1.1639733333333335</v>
      </c>
      <c r="R33" s="17">
        <f>(R41/$C$41)</f>
        <v>1.1149125</v>
      </c>
      <c r="S33" s="17">
        <f>(S41/$C$41)</f>
        <v>1.1108882352941176</v>
      </c>
      <c r="T33" s="17">
        <f>(T41/$C$41)</f>
        <v>1.0837277777777778</v>
      </c>
      <c r="U33" s="17">
        <f>(U41/$C$41)</f>
        <v>1.0345842105263159</v>
      </c>
      <c r="V33" s="17">
        <f>(V41/$C$41)</f>
        <v>1.0049999999999999</v>
      </c>
      <c r="W33" s="4"/>
      <c r="X33" s="4"/>
      <c r="Y33" s="8"/>
      <c r="AY33"/>
    </row>
    <row r="34" spans="2:51">
      <c r="B34" s="4" t="s">
        <v>2</v>
      </c>
      <c r="C34" s="17"/>
      <c r="D34" s="17"/>
      <c r="E34" s="17"/>
      <c r="F34" s="17">
        <f t="shared" ref="F34:K34" si="11">(F42/$C$42)</f>
        <v>0.40300000000000002</v>
      </c>
      <c r="G34" s="17">
        <f t="shared" si="11"/>
        <v>0.78800000000000003</v>
      </c>
      <c r="H34" s="17">
        <f t="shared" si="11"/>
        <v>0.84311111111111114</v>
      </c>
      <c r="I34" s="17">
        <f t="shared" si="11"/>
        <v>0.72266666666666668</v>
      </c>
      <c r="J34" s="17">
        <f t="shared" si="11"/>
        <v>0.70099999999999996</v>
      </c>
      <c r="K34" s="17">
        <f t="shared" si="11"/>
        <v>0.64355555555555555</v>
      </c>
      <c r="L34" s="17">
        <f t="shared" ref="L34:Q34" si="12">(L42/$C$42)</f>
        <v>0.59253333333333336</v>
      </c>
      <c r="M34" s="17">
        <f t="shared" si="12"/>
        <v>0.5623030303030303</v>
      </c>
      <c r="N34" s="17">
        <f t="shared" si="12"/>
        <v>0.51544444444444448</v>
      </c>
      <c r="O34" s="17">
        <f t="shared" si="12"/>
        <v>0.53517948717948716</v>
      </c>
      <c r="P34" s="17">
        <f t="shared" si="12"/>
        <v>0.5221904761904762</v>
      </c>
      <c r="Q34" s="17">
        <f t="shared" si="12"/>
        <v>0.60991111111111107</v>
      </c>
      <c r="R34" s="17">
        <f>(R42/$C$42)</f>
        <v>0.64412499999999995</v>
      </c>
      <c r="S34" s="17">
        <f>(S42/$C$42)</f>
        <v>0.75584313725490193</v>
      </c>
      <c r="T34" s="17">
        <f>(T42/$C$42)</f>
        <v>0.71385185185185185</v>
      </c>
      <c r="U34" s="17">
        <f>(U42/$C$42)</f>
        <v>0.73171929824561399</v>
      </c>
      <c r="V34" s="17">
        <f>(V42/$C$42)</f>
        <v>0.76296296296296295</v>
      </c>
      <c r="W34" s="4"/>
      <c r="X34" s="4"/>
      <c r="Y34" s="8"/>
      <c r="AY34"/>
    </row>
    <row r="35" spans="2:51">
      <c r="B35" s="4" t="s">
        <v>3</v>
      </c>
      <c r="C35" s="18"/>
      <c r="D35" s="18"/>
      <c r="E35" s="18"/>
      <c r="F35" s="18">
        <f t="shared" ref="F35:K35" si="13">(F43/$C$43)</f>
        <v>1.2853310104529616</v>
      </c>
      <c r="G35" s="18">
        <f t="shared" si="13"/>
        <v>1.2820766550522649</v>
      </c>
      <c r="H35" s="18">
        <f t="shared" si="13"/>
        <v>1.0242961672473867</v>
      </c>
      <c r="I35" s="18">
        <f t="shared" si="13"/>
        <v>0.9157491289198606</v>
      </c>
      <c r="J35" s="18">
        <f t="shared" si="13"/>
        <v>0.9541637630662021</v>
      </c>
      <c r="K35" s="18">
        <f t="shared" si="13"/>
        <v>0.97569337979094073</v>
      </c>
      <c r="L35" s="18">
        <f t="shared" ref="L35:R35" si="14">(L43/$C$43)</f>
        <v>1.0135261324041811</v>
      </c>
      <c r="M35" s="18">
        <f t="shared" si="14"/>
        <v>1.0116363636363637</v>
      </c>
      <c r="N35" s="18">
        <f t="shared" si="14"/>
        <v>1.0256666666666665</v>
      </c>
      <c r="O35" s="18">
        <f t="shared" si="14"/>
        <v>1.1451956043956042</v>
      </c>
      <c r="P35" s="18">
        <f t="shared" si="14"/>
        <v>1.1621795918367346</v>
      </c>
      <c r="Q35" s="18">
        <f t="shared" si="14"/>
        <v>1.1770438095238094</v>
      </c>
      <c r="R35" s="18">
        <f t="shared" si="14"/>
        <v>1.1779214285714286</v>
      </c>
      <c r="S35" s="18">
        <f>(S43/$C$43)</f>
        <v>1.1530823529411764</v>
      </c>
      <c r="T35" s="18">
        <f>(T43/$C$43)</f>
        <v>1.1513079365079364</v>
      </c>
      <c r="U35" s="18">
        <f>(U43/$C$43)</f>
        <v>1.1645353383458648</v>
      </c>
      <c r="V35" s="18">
        <f>(V43/$C$43)</f>
        <v>1.0801393728222997</v>
      </c>
      <c r="W35" s="4"/>
      <c r="X35" s="4"/>
      <c r="Y35" s="8"/>
      <c r="AY35"/>
    </row>
    <row r="36" spans="2:51">
      <c r="B36" s="14" t="s">
        <v>27</v>
      </c>
      <c r="C36" s="17"/>
      <c r="D36" s="17"/>
      <c r="E36" s="17"/>
      <c r="F36" s="17">
        <f t="shared" ref="F36:K36" si="15">(F44/$C$44)</f>
        <v>0.87231143552311441</v>
      </c>
      <c r="G36" s="17">
        <f t="shared" si="15"/>
        <v>1.2409148418491485</v>
      </c>
      <c r="H36" s="17">
        <f t="shared" si="15"/>
        <v>1.1685437956204379</v>
      </c>
      <c r="I36" s="17">
        <f t="shared" si="15"/>
        <v>1.0744416058394159</v>
      </c>
      <c r="J36" s="17">
        <f t="shared" si="15"/>
        <v>1.0417274939172749</v>
      </c>
      <c r="K36" s="17">
        <f t="shared" si="15"/>
        <v>1.0006082725060828</v>
      </c>
      <c r="L36" s="17">
        <f t="shared" ref="L36:Q36" si="16">(L44/$C$44)</f>
        <v>1.0044987834549879</v>
      </c>
      <c r="M36" s="17">
        <f t="shared" si="16"/>
        <v>0.97125370493253715</v>
      </c>
      <c r="N36" s="17">
        <f t="shared" si="16"/>
        <v>0.98633576642335763</v>
      </c>
      <c r="O36" s="17">
        <f t="shared" si="16"/>
        <v>1.0268617630544636</v>
      </c>
      <c r="P36" s="17">
        <f t="shared" si="16"/>
        <v>1.0339595875333101</v>
      </c>
      <c r="Q36" s="17">
        <f t="shared" si="16"/>
        <v>1.018390194647202</v>
      </c>
      <c r="R36" s="17">
        <f>(R44/$C$44)</f>
        <v>1.0138162319307285</v>
      </c>
      <c r="S36" s="17">
        <f>(S44/$C$44)</f>
        <v>1.0477196475995103</v>
      </c>
      <c r="T36" s="17">
        <f>(T44/$C$44)</f>
        <v>1.042489290135314</v>
      </c>
      <c r="U36" s="17">
        <f>(U44/$C$44)</f>
        <v>1.035878550390575</v>
      </c>
      <c r="V36" s="17">
        <f>(V44/$C$44)</f>
        <v>1.014720194647202</v>
      </c>
      <c r="W36" s="4"/>
      <c r="X36" s="4"/>
      <c r="Y36" s="8"/>
      <c r="AY36"/>
    </row>
    <row r="37" spans="2:5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8"/>
      <c r="AY37"/>
    </row>
    <row r="38" spans="2:51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8"/>
      <c r="AY38"/>
    </row>
    <row r="39" spans="2:51">
      <c r="B39" s="4"/>
      <c r="C39" s="4" t="s">
        <v>4</v>
      </c>
      <c r="D39" s="4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4" t="s">
        <v>13</v>
      </c>
      <c r="M39" s="4" t="s">
        <v>14</v>
      </c>
      <c r="N39" s="4" t="s">
        <v>15</v>
      </c>
      <c r="O39" s="4" t="s">
        <v>16</v>
      </c>
      <c r="P39" s="4" t="s">
        <v>17</v>
      </c>
      <c r="Q39" s="4" t="s">
        <v>18</v>
      </c>
      <c r="R39" s="4" t="s">
        <v>19</v>
      </c>
      <c r="S39" s="4" t="s">
        <v>20</v>
      </c>
      <c r="T39" s="4" t="s">
        <v>21</v>
      </c>
      <c r="U39" s="4" t="s">
        <v>22</v>
      </c>
      <c r="V39" s="4" t="s">
        <v>23</v>
      </c>
      <c r="W39" s="4"/>
      <c r="X39" s="4"/>
      <c r="Y39" s="8"/>
      <c r="AY39"/>
    </row>
    <row r="40" spans="2:51">
      <c r="B40" s="4" t="s">
        <v>0</v>
      </c>
      <c r="C40" s="32">
        <v>200000</v>
      </c>
      <c r="D40" s="4">
        <v>200000</v>
      </c>
      <c r="E40" s="4">
        <v>200000</v>
      </c>
      <c r="F40" s="10">
        <v>163845</v>
      </c>
      <c r="G40" s="10">
        <v>226776</v>
      </c>
      <c r="H40" s="10">
        <v>188980</v>
      </c>
      <c r="I40" s="10">
        <v>200451</v>
      </c>
      <c r="J40" s="10">
        <v>195130</v>
      </c>
      <c r="K40" s="10">
        <v>173449</v>
      </c>
      <c r="L40" s="10">
        <f>87106/10*20</f>
        <v>174212</v>
      </c>
      <c r="M40" s="10">
        <f>87106/11*20</f>
        <v>158374.54545454547</v>
      </c>
      <c r="N40" s="10">
        <f>(107640)/N$1*$V$1</f>
        <v>179400</v>
      </c>
      <c r="O40" s="10">
        <f>(124604)/O$1*$V$1</f>
        <v>191698.46153846153</v>
      </c>
      <c r="P40" s="10">
        <f>(147338)/Q$1*$V$1</f>
        <v>196450.66666666666</v>
      </c>
      <c r="Q40" s="10">
        <f>(147338)/R$1*$V$1</f>
        <v>184172.5</v>
      </c>
      <c r="R40" s="10">
        <f>(157551)/S$1*$V$1</f>
        <v>185354.1176470588</v>
      </c>
      <c r="S40" s="10">
        <f>(185467)/T$1*$V$1</f>
        <v>206074.44444444444</v>
      </c>
      <c r="T40" s="10">
        <f>(202716)/U$1*$V$1</f>
        <v>213385.26315789472</v>
      </c>
      <c r="U40" s="10">
        <f>(U23)/U$1*$V$1</f>
        <v>211571.57894736843</v>
      </c>
      <c r="V40" s="10">
        <f>(V23)/V$1*$V$1</f>
        <v>220100</v>
      </c>
      <c r="W40" s="4"/>
      <c r="X40" s="4"/>
      <c r="Y40" s="8"/>
      <c r="AY40"/>
    </row>
    <row r="41" spans="2:51">
      <c r="B41" s="4" t="s">
        <v>1</v>
      </c>
      <c r="C41" s="42">
        <v>200000</v>
      </c>
      <c r="D41" s="4">
        <v>200000</v>
      </c>
      <c r="E41" s="4">
        <v>200000</v>
      </c>
      <c r="F41" s="10">
        <v>129900</v>
      </c>
      <c r="G41" s="10">
        <v>318920</v>
      </c>
      <c r="H41" s="10">
        <v>363770</v>
      </c>
      <c r="I41" s="10">
        <v>322360</v>
      </c>
      <c r="J41" s="10">
        <v>292690</v>
      </c>
      <c r="K41" s="10">
        <v>282147</v>
      </c>
      <c r="L41" s="10">
        <v>280612</v>
      </c>
      <c r="M41" s="10">
        <f>150560/11*20</f>
        <v>273745.45454545459</v>
      </c>
      <c r="N41" s="10">
        <f>160450/N$1*$V$1</f>
        <v>267416.66666666669</v>
      </c>
      <c r="O41" s="10">
        <f>163450/O$1*$V$1</f>
        <v>251461.53846153847</v>
      </c>
      <c r="P41" s="10">
        <f>174596/P$1*$V$1</f>
        <v>249422.85714285713</v>
      </c>
      <c r="Q41" s="10">
        <f>174596/Q$1*$V$1</f>
        <v>232794.66666666669</v>
      </c>
      <c r="R41" s="10">
        <f>178386/R$1*$V$1</f>
        <v>222982.5</v>
      </c>
      <c r="S41" s="10">
        <f>188851/S$1*$V$1</f>
        <v>222177.64705882352</v>
      </c>
      <c r="T41" s="10">
        <f>195071/T$1*$V$1</f>
        <v>216745.55555555556</v>
      </c>
      <c r="U41" s="10">
        <f>U24/U$1*$V$1</f>
        <v>206916.84210526317</v>
      </c>
      <c r="V41" s="10">
        <f>V24/V$1*$V$1</f>
        <v>201000</v>
      </c>
      <c r="W41" s="4"/>
      <c r="X41" s="4"/>
      <c r="Y41" s="8"/>
      <c r="AY41"/>
    </row>
    <row r="42" spans="2:51">
      <c r="B42" s="4" t="s">
        <v>2</v>
      </c>
      <c r="C42" s="16">
        <v>135000</v>
      </c>
      <c r="D42" s="4">
        <v>135000</v>
      </c>
      <c r="E42" s="4">
        <v>135000</v>
      </c>
      <c r="F42" s="10">
        <v>54405</v>
      </c>
      <c r="G42" s="10">
        <v>106380</v>
      </c>
      <c r="H42" s="10">
        <v>113820</v>
      </c>
      <c r="I42" s="10">
        <v>97560</v>
      </c>
      <c r="J42" s="10">
        <v>94635</v>
      </c>
      <c r="K42" s="10">
        <v>86880</v>
      </c>
      <c r="L42" s="10">
        <v>79992</v>
      </c>
      <c r="M42" s="10">
        <f>(46390*0.9)/11*20</f>
        <v>75910.909090909088</v>
      </c>
      <c r="N42" s="10">
        <f>(46390*0.9)/N$1*$V$1</f>
        <v>69585</v>
      </c>
      <c r="O42" s="10">
        <f>(52180*0.9)/O$1*$V$1</f>
        <v>72249.230769230766</v>
      </c>
      <c r="P42" s="10">
        <f>(54830*0.9)/P$1*$V$1</f>
        <v>70495.71428571429</v>
      </c>
      <c r="Q42" s="10">
        <f>(68615*0.9)/Q$1*$V$1</f>
        <v>82338</v>
      </c>
      <c r="R42" s="10">
        <f>(77295*0.9)/R$1*$V$1</f>
        <v>86956.875</v>
      </c>
      <c r="S42" s="10">
        <f>(96370*0.9)/S$1*$V$1</f>
        <v>102038.82352941176</v>
      </c>
      <c r="T42" s="10">
        <f>(96370*0.9)/T$1*$V$1</f>
        <v>96370</v>
      </c>
      <c r="U42" s="10">
        <f>(U25)/U$1*$V$1</f>
        <v>98782.105263157893</v>
      </c>
      <c r="V42" s="10">
        <f>(V25)/V$1*$V$1</f>
        <v>103000</v>
      </c>
      <c r="W42" s="4"/>
      <c r="X42" s="4"/>
      <c r="Y42" s="8"/>
    </row>
    <row r="43" spans="2:51">
      <c r="B43" s="4" t="s">
        <v>3</v>
      </c>
      <c r="C43" s="33">
        <v>287000</v>
      </c>
      <c r="D43" s="19">
        <v>287000</v>
      </c>
      <c r="E43" s="19">
        <v>287000</v>
      </c>
      <c r="F43" s="13">
        <v>368890</v>
      </c>
      <c r="G43" s="13">
        <v>367956</v>
      </c>
      <c r="H43" s="13">
        <v>293973</v>
      </c>
      <c r="I43" s="13">
        <v>262820</v>
      </c>
      <c r="J43" s="13">
        <v>273845</v>
      </c>
      <c r="K43" s="13">
        <v>280024</v>
      </c>
      <c r="L43" s="13">
        <v>290882</v>
      </c>
      <c r="M43" s="13">
        <f>(97370*1.64)/M$1*$V$1</f>
        <v>290339.63636363635</v>
      </c>
      <c r="N43" s="13">
        <f>(107695*1.64)/N$1*$V$1</f>
        <v>294366.33333333331</v>
      </c>
      <c r="O43" s="13">
        <f>(130266*1.64)/O$1*$V$1</f>
        <v>328671.13846153842</v>
      </c>
      <c r="P43" s="13">
        <f>(142367*1.64)/P$1*$V$1</f>
        <v>333545.54285714281</v>
      </c>
      <c r="Q43" s="13">
        <f>(154487*1.64)/Q$1*$V$1</f>
        <v>337811.5733333333</v>
      </c>
      <c r="R43" s="13">
        <f>(+R26)/R$1*$V$1</f>
        <v>338063.45</v>
      </c>
      <c r="S43" s="13">
        <f>(+S26)/S$1*$V$1</f>
        <v>330934.63529411762</v>
      </c>
      <c r="T43" s="13">
        <f>(+T26)/T$1*$V$1</f>
        <v>330425.37777777773</v>
      </c>
      <c r="U43" s="13">
        <f>(+U26)/U$1*$V$1</f>
        <v>334221.64210526319</v>
      </c>
      <c r="V43" s="13">
        <f>(+V26)/V$1*$V$1</f>
        <v>310000</v>
      </c>
      <c r="W43" s="4"/>
      <c r="X43" s="4"/>
      <c r="Y43" s="8"/>
    </row>
    <row r="44" spans="2:51">
      <c r="B44" s="14" t="s">
        <v>27</v>
      </c>
      <c r="C44" s="20">
        <f>SUM(C40:C43)</f>
        <v>822000</v>
      </c>
      <c r="D44" s="10">
        <f>SUM(D40:D43)</f>
        <v>822000</v>
      </c>
      <c r="E44" s="10">
        <f>SUM(E40:E43)</f>
        <v>822000</v>
      </c>
      <c r="F44" s="10">
        <f t="shared" ref="F44:N44" si="17">SUM(F40:F43)</f>
        <v>717040</v>
      </c>
      <c r="G44" s="10">
        <f t="shared" si="17"/>
        <v>1020032</v>
      </c>
      <c r="H44" s="10">
        <f t="shared" si="17"/>
        <v>960543</v>
      </c>
      <c r="I44" s="10">
        <f t="shared" si="17"/>
        <v>883191</v>
      </c>
      <c r="J44" s="10">
        <f t="shared" si="17"/>
        <v>856300</v>
      </c>
      <c r="K44" s="10">
        <f t="shared" si="17"/>
        <v>822500</v>
      </c>
      <c r="L44" s="10">
        <f t="shared" si="17"/>
        <v>825698</v>
      </c>
      <c r="M44" s="10">
        <f t="shared" si="17"/>
        <v>798370.54545454553</v>
      </c>
      <c r="N44" s="10">
        <f t="shared" si="17"/>
        <v>810768</v>
      </c>
      <c r="O44" s="10">
        <f t="shared" ref="O44:V44" si="18">SUM(O40:O43)</f>
        <v>844080.36923076911</v>
      </c>
      <c r="P44" s="10">
        <f t="shared" si="18"/>
        <v>849914.78095238097</v>
      </c>
      <c r="Q44" s="10">
        <f t="shared" si="18"/>
        <v>837116.74</v>
      </c>
      <c r="R44" s="10">
        <f t="shared" si="18"/>
        <v>833356.94264705875</v>
      </c>
      <c r="S44" s="10">
        <f t="shared" si="18"/>
        <v>861225.55032679741</v>
      </c>
      <c r="T44" s="10">
        <f t="shared" si="18"/>
        <v>856926.19649122807</v>
      </c>
      <c r="U44" s="10">
        <f t="shared" si="18"/>
        <v>851492.16842105263</v>
      </c>
      <c r="V44" s="10">
        <f t="shared" si="18"/>
        <v>834100</v>
      </c>
      <c r="W44" s="4"/>
      <c r="X44" s="4"/>
      <c r="Y44" s="8"/>
    </row>
    <row r="45" spans="2:51">
      <c r="B45" s="5"/>
      <c r="C45" s="16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1">
      <c r="B46" s="1"/>
      <c r="J46" s="28"/>
      <c r="K46" s="28"/>
      <c r="L46" s="28"/>
    </row>
    <row r="47" spans="2:51">
      <c r="B47" s="1"/>
    </row>
    <row r="48" spans="2:51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7" header="0.15748031496062992" footer="0.16"/>
  <pageSetup paperSize="9" scale="75" orientation="landscape"/>
  <rowBreaks count="2" manualBreakCount="2">
    <brk id="46" min="1" max="23" man="1"/>
    <brk id="94" min="1" max="23" man="1"/>
  </rowBreaks>
  <colBreaks count="1" manualBreakCount="1">
    <brk id="24" min="1" max="108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Y24" sqref="Y24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58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57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18750</v>
      </c>
      <c r="D6" s="10"/>
      <c r="E6" s="11">
        <v>22065</v>
      </c>
      <c r="F6" s="34">
        <v>16152</v>
      </c>
      <c r="G6" s="34">
        <v>14392</v>
      </c>
      <c r="H6" s="34">
        <v>30591</v>
      </c>
      <c r="I6" s="34">
        <v>11465</v>
      </c>
      <c r="J6" s="34">
        <v>25981</v>
      </c>
      <c r="K6" s="34">
        <v>7656</v>
      </c>
      <c r="L6" s="34">
        <v>23183</v>
      </c>
      <c r="M6" s="34">
        <v>30264</v>
      </c>
      <c r="N6" s="34">
        <v>28321</v>
      </c>
      <c r="O6" s="34">
        <v>24263</v>
      </c>
      <c r="P6" s="34">
        <v>10589</v>
      </c>
      <c r="Q6" s="34">
        <v>14437</v>
      </c>
      <c r="R6" s="34">
        <v>19033</v>
      </c>
      <c r="S6" s="34">
        <v>13165</v>
      </c>
      <c r="T6" s="34">
        <v>23678</v>
      </c>
      <c r="U6" s="34">
        <v>16249</v>
      </c>
      <c r="V6" s="34">
        <v>15322</v>
      </c>
      <c r="W6" s="34">
        <v>19967</v>
      </c>
      <c r="X6" s="34">
        <v>35535</v>
      </c>
      <c r="Y6" s="34">
        <v>8571</v>
      </c>
      <c r="Z6" s="115">
        <f>(SUM(F6:Y6)/(COUNT(F6:Y6)))</f>
        <v>19440.7</v>
      </c>
      <c r="AA6" s="103"/>
      <c r="AX6"/>
    </row>
    <row r="7" spans="2:50">
      <c r="B7" s="4" t="s">
        <v>1</v>
      </c>
      <c r="C7" s="20">
        <f>+C41/20</f>
        <v>16250</v>
      </c>
      <c r="D7" s="10"/>
      <c r="E7" s="11">
        <v>0</v>
      </c>
      <c r="F7" s="34">
        <v>6485</v>
      </c>
      <c r="G7" s="34">
        <v>6890</v>
      </c>
      <c r="H7" s="34">
        <v>14002</v>
      </c>
      <c r="I7" s="34">
        <v>6295</v>
      </c>
      <c r="J7" s="34">
        <v>18085</v>
      </c>
      <c r="K7" s="34">
        <v>17085</v>
      </c>
      <c r="L7" s="34">
        <v>15685</v>
      </c>
      <c r="M7" s="34">
        <v>5575</v>
      </c>
      <c r="N7" s="34">
        <v>15930</v>
      </c>
      <c r="O7" s="34">
        <v>8325</v>
      </c>
      <c r="P7" s="34">
        <v>5356</v>
      </c>
      <c r="Q7" s="34">
        <v>11565</v>
      </c>
      <c r="R7" s="34">
        <v>10546</v>
      </c>
      <c r="S7" s="34">
        <v>5795</v>
      </c>
      <c r="T7" s="34">
        <v>3100</v>
      </c>
      <c r="U7" s="34">
        <v>4695</v>
      </c>
      <c r="V7" s="34">
        <v>2695</v>
      </c>
      <c r="W7" s="34">
        <v>2695</v>
      </c>
      <c r="X7" s="34">
        <v>6947</v>
      </c>
      <c r="Y7" s="34">
        <v>9295</v>
      </c>
      <c r="Z7" s="69">
        <f>(SUM(F7:Y7)/(COUNT(F7:Y7)))</f>
        <v>8852.2999999999993</v>
      </c>
      <c r="AA7" s="103"/>
      <c r="AX7"/>
    </row>
    <row r="8" spans="2:50">
      <c r="B8" s="4" t="s">
        <v>2</v>
      </c>
      <c r="C8" s="20">
        <f>+C42/20</f>
        <v>11475</v>
      </c>
      <c r="D8" s="10"/>
      <c r="E8" s="11">
        <f>6295*0.9</f>
        <v>5665.5</v>
      </c>
      <c r="F8" s="34">
        <f>8390*0.9</f>
        <v>7551</v>
      </c>
      <c r="G8" s="34">
        <f>6770*0.9</f>
        <v>6093</v>
      </c>
      <c r="H8" s="34">
        <f>1500*0.9</f>
        <v>1350</v>
      </c>
      <c r="I8" s="34">
        <f>16039*0.9</f>
        <v>14435.1</v>
      </c>
      <c r="J8" s="34">
        <v>0</v>
      </c>
      <c r="K8" s="34">
        <f>11990*0.9</f>
        <v>10791</v>
      </c>
      <c r="L8" s="34">
        <f>6202*0.9</f>
        <v>5581.8</v>
      </c>
      <c r="M8" s="34">
        <f>12733*0.9</f>
        <v>11459.7</v>
      </c>
      <c r="N8" s="34">
        <f>8240*0.9</f>
        <v>7416</v>
      </c>
      <c r="O8" s="34">
        <f>4345*0.9</f>
        <v>3910.5</v>
      </c>
      <c r="P8" s="34">
        <f>2695*0.9</f>
        <v>2425.5</v>
      </c>
      <c r="Q8" s="34">
        <f>6493*0.9</f>
        <v>5843.7</v>
      </c>
      <c r="R8" s="34">
        <f>8790*0.9</f>
        <v>7911</v>
      </c>
      <c r="S8" s="34">
        <v>0</v>
      </c>
      <c r="T8" s="34">
        <f>8246*0.9</f>
        <v>7421.4000000000005</v>
      </c>
      <c r="U8" s="81"/>
      <c r="V8" s="34">
        <v>7397</v>
      </c>
      <c r="W8" s="34">
        <f>5795*0.9</f>
        <v>5215.5</v>
      </c>
      <c r="X8" s="34">
        <f>8520*0.9</f>
        <v>7668</v>
      </c>
      <c r="Y8" s="34">
        <f>12435*0.9</f>
        <v>11191.5</v>
      </c>
      <c r="Z8" s="69">
        <f>(SUM(F8:Y8)/(COUNT(F8:Y8)))</f>
        <v>6508.5105263157893</v>
      </c>
      <c r="AA8" s="103"/>
      <c r="AX8"/>
    </row>
    <row r="9" spans="2:50">
      <c r="B9" s="4" t="s">
        <v>3</v>
      </c>
      <c r="C9" s="21">
        <f>+C43/20</f>
        <v>19270</v>
      </c>
      <c r="D9" s="13"/>
      <c r="E9" s="40">
        <f>18751*1.6</f>
        <v>30001.600000000002</v>
      </c>
      <c r="F9" s="35">
        <f>14680*1.6</f>
        <v>23488</v>
      </c>
      <c r="G9" s="35">
        <f>9234*1.6</f>
        <v>14774.400000000001</v>
      </c>
      <c r="H9" s="35">
        <f>9201*1.6</f>
        <v>14721.6</v>
      </c>
      <c r="I9" s="35">
        <f>15022*1.6</f>
        <v>24035.200000000001</v>
      </c>
      <c r="J9" s="35">
        <f>12487*1.6</f>
        <v>19979.2</v>
      </c>
      <c r="K9" s="35">
        <f>9169*1.6</f>
        <v>14670.400000000001</v>
      </c>
      <c r="L9" s="35">
        <f>16525*1.6</f>
        <v>26440</v>
      </c>
      <c r="M9" s="35">
        <f>4509*1.6</f>
        <v>7214.4000000000005</v>
      </c>
      <c r="N9" s="35">
        <f>22304*1.6</f>
        <v>35686.400000000001</v>
      </c>
      <c r="O9" s="35">
        <f>13803*1.6</f>
        <v>22084.800000000003</v>
      </c>
      <c r="P9" s="35">
        <f>2583*1.6</f>
        <v>4132.8</v>
      </c>
      <c r="Q9" s="35">
        <f>10675*1.6</f>
        <v>17080</v>
      </c>
      <c r="R9" s="35">
        <f>22175*1.6</f>
        <v>35480</v>
      </c>
      <c r="S9" s="35">
        <f>20144*1.6</f>
        <v>32230.400000000001</v>
      </c>
      <c r="T9" s="35">
        <f>13747*1.6</f>
        <v>21995.200000000001</v>
      </c>
      <c r="U9" s="35">
        <v>23571</v>
      </c>
      <c r="V9" s="35">
        <v>27150</v>
      </c>
      <c r="W9" s="35">
        <f>7862*1.6</f>
        <v>12579.2</v>
      </c>
      <c r="X9" s="35">
        <f>10711*1.6</f>
        <v>17137.600000000002</v>
      </c>
      <c r="Y9" s="35">
        <f>19687*1.6</f>
        <v>31499.200000000001</v>
      </c>
      <c r="Z9" s="112">
        <f>(SUM(F9:Y9)/(COUNT(F9:Y9)))</f>
        <v>21297.489999999998</v>
      </c>
      <c r="AA9" s="103"/>
      <c r="AX9"/>
    </row>
    <row r="10" spans="2:50" ht="15.75" thickBot="1">
      <c r="B10" s="14" t="s">
        <v>27</v>
      </c>
      <c r="C10" s="20">
        <f>SUM(C6:C9)</f>
        <v>65745</v>
      </c>
      <c r="D10" s="10"/>
      <c r="E10" s="11">
        <f t="shared" ref="E10:Y10" si="0">SUM(E6:E9)</f>
        <v>57732.100000000006</v>
      </c>
      <c r="F10" s="10">
        <f t="shared" si="0"/>
        <v>53676</v>
      </c>
      <c r="G10" s="10">
        <f t="shared" si="0"/>
        <v>42149.4</v>
      </c>
      <c r="H10" s="10">
        <f t="shared" si="0"/>
        <v>60664.6</v>
      </c>
      <c r="I10" s="10">
        <f t="shared" si="0"/>
        <v>56230.3</v>
      </c>
      <c r="J10" s="10">
        <f t="shared" si="0"/>
        <v>64045.2</v>
      </c>
      <c r="K10" s="10">
        <f t="shared" si="0"/>
        <v>50202.400000000001</v>
      </c>
      <c r="L10" s="10">
        <f t="shared" si="0"/>
        <v>70889.8</v>
      </c>
      <c r="M10" s="10">
        <f t="shared" si="0"/>
        <v>54513.1</v>
      </c>
      <c r="N10" s="10">
        <f t="shared" si="0"/>
        <v>87353.4</v>
      </c>
      <c r="O10" s="10">
        <f t="shared" si="0"/>
        <v>58583.3</v>
      </c>
      <c r="P10" s="10">
        <f t="shared" si="0"/>
        <v>22503.3</v>
      </c>
      <c r="Q10" s="10">
        <f t="shared" si="0"/>
        <v>48925.7</v>
      </c>
      <c r="R10" s="10">
        <f t="shared" si="0"/>
        <v>72970</v>
      </c>
      <c r="S10" s="10">
        <f t="shared" si="0"/>
        <v>51190.400000000001</v>
      </c>
      <c r="T10" s="10">
        <f t="shared" si="0"/>
        <v>56194.600000000006</v>
      </c>
      <c r="U10" s="10">
        <f t="shared" si="0"/>
        <v>44515</v>
      </c>
      <c r="V10" s="10">
        <f t="shared" si="0"/>
        <v>52564</v>
      </c>
      <c r="W10" s="10">
        <f t="shared" si="0"/>
        <v>40456.699999999997</v>
      </c>
      <c r="X10" s="10">
        <f t="shared" si="0"/>
        <v>67287.600000000006</v>
      </c>
      <c r="Y10" s="10">
        <f t="shared" si="0"/>
        <v>60556.7</v>
      </c>
      <c r="Z10" s="67"/>
      <c r="AA10" s="10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(SUM(F10:Y10)/(COUNT(F10:Y10)))</f>
        <v>55773.574999999997</v>
      </c>
      <c r="AA11" s="104"/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4"/>
      <c r="AA12" s="104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04"/>
      <c r="AA13" s="104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  <c r="Z14" s="104"/>
      <c r="AA14" s="104"/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0.86143999999999998</v>
      </c>
      <c r="G15" s="25">
        <f t="shared" si="2"/>
        <v>0.76757333333333333</v>
      </c>
      <c r="H15" s="25">
        <f t="shared" si="2"/>
        <v>1.6315200000000001</v>
      </c>
      <c r="I15" s="25">
        <f t="shared" si="2"/>
        <v>0.6114666666666666</v>
      </c>
      <c r="J15" s="25">
        <f t="shared" si="2"/>
        <v>1.3856533333333334</v>
      </c>
      <c r="K15" s="25">
        <f t="shared" si="2"/>
        <v>0.40832000000000002</v>
      </c>
      <c r="L15" s="25">
        <f t="shared" si="2"/>
        <v>1.2364266666666666</v>
      </c>
      <c r="M15" s="25">
        <f t="shared" si="2"/>
        <v>1.61408</v>
      </c>
      <c r="N15" s="25">
        <f t="shared" si="2"/>
        <v>1.5104533333333334</v>
      </c>
      <c r="O15" s="25">
        <f t="shared" si="2"/>
        <v>1.2940266666666667</v>
      </c>
      <c r="P15" s="25">
        <f t="shared" si="2"/>
        <v>0.56474666666666673</v>
      </c>
      <c r="Q15" s="25">
        <f t="shared" si="2"/>
        <v>0.7699733333333334</v>
      </c>
      <c r="R15" s="25">
        <f t="shared" si="2"/>
        <v>1.0150933333333334</v>
      </c>
      <c r="S15" s="25">
        <f t="shared" si="2"/>
        <v>0.70213333333333328</v>
      </c>
      <c r="T15" s="25">
        <f t="shared" si="2"/>
        <v>1.2628266666666668</v>
      </c>
      <c r="U15" s="25">
        <f t="shared" si="2"/>
        <v>0.86661333333333335</v>
      </c>
      <c r="V15" s="25">
        <f t="shared" si="2"/>
        <v>0.81717333333333331</v>
      </c>
      <c r="W15" s="25">
        <f t="shared" si="2"/>
        <v>1.0649066666666667</v>
      </c>
      <c r="X15" s="25">
        <f t="shared" si="2"/>
        <v>1.8952</v>
      </c>
      <c r="Y15" s="25">
        <f t="shared" si="2"/>
        <v>0.45711999999999997</v>
      </c>
      <c r="Z15" s="104"/>
      <c r="AA15" s="104"/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0.39907692307692311</v>
      </c>
      <c r="G16" s="25">
        <f t="shared" si="2"/>
        <v>0.42400000000000004</v>
      </c>
      <c r="H16" s="25">
        <f t="shared" si="2"/>
        <v>0.86166153846153848</v>
      </c>
      <c r="I16" s="25">
        <f t="shared" si="2"/>
        <v>0.38738461538461544</v>
      </c>
      <c r="J16" s="25">
        <f t="shared" si="2"/>
        <v>1.1129230769230769</v>
      </c>
      <c r="K16" s="25">
        <f t="shared" si="2"/>
        <v>1.0513846153846154</v>
      </c>
      <c r="L16" s="25">
        <f t="shared" si="2"/>
        <v>0.96523076923076923</v>
      </c>
      <c r="M16" s="25">
        <f t="shared" si="2"/>
        <v>0.34307692307692306</v>
      </c>
      <c r="N16" s="25">
        <f t="shared" si="2"/>
        <v>0.98030769230769232</v>
      </c>
      <c r="O16" s="25">
        <f t="shared" si="2"/>
        <v>0.51230769230769235</v>
      </c>
      <c r="P16" s="25">
        <f t="shared" si="2"/>
        <v>0.3296</v>
      </c>
      <c r="Q16" s="25">
        <f t="shared" si="2"/>
        <v>0.71169230769230762</v>
      </c>
      <c r="R16" s="25">
        <f t="shared" si="2"/>
        <v>0.64898461538461538</v>
      </c>
      <c r="S16" s="25">
        <f t="shared" si="2"/>
        <v>0.35661538461538467</v>
      </c>
      <c r="T16" s="25">
        <f t="shared" si="2"/>
        <v>0.1907692307692308</v>
      </c>
      <c r="U16" s="25">
        <f t="shared" si="2"/>
        <v>0.28892307692307695</v>
      </c>
      <c r="V16" s="25">
        <f t="shared" si="2"/>
        <v>0.16584615384615387</v>
      </c>
      <c r="W16" s="25">
        <f t="shared" si="2"/>
        <v>0.16584615384615387</v>
      </c>
      <c r="X16" s="25">
        <f t="shared" si="2"/>
        <v>0.42750769230769226</v>
      </c>
      <c r="Y16" s="25">
        <f t="shared" si="2"/>
        <v>0.57200000000000006</v>
      </c>
      <c r="Z16" s="104"/>
      <c r="AA16" s="104"/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0.65803921568627444</v>
      </c>
      <c r="G17" s="25">
        <f t="shared" si="2"/>
        <v>0.53098039215686277</v>
      </c>
      <c r="H17" s="25">
        <f t="shared" si="2"/>
        <v>0.11764705882352944</v>
      </c>
      <c r="I17" s="25">
        <f t="shared" si="2"/>
        <v>1.2579607843137255</v>
      </c>
      <c r="J17" s="25">
        <f t="shared" si="2"/>
        <v>0</v>
      </c>
      <c r="K17" s="25">
        <f t="shared" si="2"/>
        <v>0.94039215686274513</v>
      </c>
      <c r="L17" s="25">
        <f t="shared" si="2"/>
        <v>0.48643137254901958</v>
      </c>
      <c r="M17" s="25">
        <f t="shared" si="2"/>
        <v>0.9986666666666667</v>
      </c>
      <c r="N17" s="25">
        <f t="shared" si="2"/>
        <v>0.64627450980392154</v>
      </c>
      <c r="O17" s="25">
        <f t="shared" si="2"/>
        <v>0.34078431372549023</v>
      </c>
      <c r="P17" s="25">
        <f t="shared" si="2"/>
        <v>0.21137254901960789</v>
      </c>
      <c r="Q17" s="25">
        <f t="shared" si="2"/>
        <v>0.50925490196078438</v>
      </c>
      <c r="R17" s="25">
        <f t="shared" si="2"/>
        <v>0.68941176470588239</v>
      </c>
      <c r="S17" s="25">
        <f t="shared" si="2"/>
        <v>0</v>
      </c>
      <c r="T17" s="25">
        <f t="shared" si="2"/>
        <v>0.64674509803921576</v>
      </c>
      <c r="U17" s="25">
        <f t="shared" si="2"/>
        <v>0</v>
      </c>
      <c r="V17" s="25">
        <f t="shared" si="2"/>
        <v>0.64461873638344225</v>
      </c>
      <c r="W17" s="25">
        <f t="shared" si="2"/>
        <v>0.45450980392156859</v>
      </c>
      <c r="X17" s="25">
        <f t="shared" si="2"/>
        <v>0.66823529411764704</v>
      </c>
      <c r="Y17" s="25">
        <f t="shared" si="2"/>
        <v>0.97529411764705887</v>
      </c>
      <c r="Z17" s="104"/>
      <c r="AA17" s="104"/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1.2188894654903997</v>
      </c>
      <c r="G18" s="27">
        <f t="shared" si="2"/>
        <v>0.76670472236637266</v>
      </c>
      <c r="H18" s="27">
        <f t="shared" si="2"/>
        <v>0.76396471198754545</v>
      </c>
      <c r="I18" s="27">
        <f t="shared" si="2"/>
        <v>1.2472859366891542</v>
      </c>
      <c r="J18" s="27">
        <f t="shared" si="2"/>
        <v>1.0368033212247016</v>
      </c>
      <c r="K18" s="27">
        <f t="shared" si="2"/>
        <v>0.76130773222625847</v>
      </c>
      <c r="L18" s="27">
        <f t="shared" si="2"/>
        <v>1.3720809548521018</v>
      </c>
      <c r="M18" s="27">
        <f t="shared" si="2"/>
        <v>0.37438505448884285</v>
      </c>
      <c r="N18" s="27">
        <f t="shared" si="2"/>
        <v>1.8519148936170213</v>
      </c>
      <c r="O18" s="27">
        <f t="shared" si="2"/>
        <v>1.1460716139076286</v>
      </c>
      <c r="P18" s="27">
        <f t="shared" si="2"/>
        <v>0.21446808510638293</v>
      </c>
      <c r="Q18" s="27">
        <f t="shared" si="2"/>
        <v>0.88635184224182662</v>
      </c>
      <c r="R18" s="27">
        <f t="shared" si="2"/>
        <v>1.8412039439543331</v>
      </c>
      <c r="S18" s="27">
        <f t="shared" si="2"/>
        <v>1.6725687597301506</v>
      </c>
      <c r="T18" s="27">
        <f t="shared" si="2"/>
        <v>1.1414218993253762</v>
      </c>
      <c r="U18" s="27">
        <f t="shared" si="2"/>
        <v>1.2231966787752984</v>
      </c>
      <c r="V18" s="27">
        <f t="shared" si="2"/>
        <v>1.4089257913855735</v>
      </c>
      <c r="W18" s="27">
        <f t="shared" si="2"/>
        <v>0.65278671510119368</v>
      </c>
      <c r="X18" s="27">
        <f t="shared" si="2"/>
        <v>0.88934094447327461</v>
      </c>
      <c r="Y18" s="27">
        <f t="shared" si="2"/>
        <v>1.634623767514271</v>
      </c>
      <c r="Z18" s="104"/>
      <c r="AA18" s="104"/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0.81642710472279267</v>
      </c>
      <c r="G19" s="25">
        <f t="shared" si="2"/>
        <v>0.64110426648414331</v>
      </c>
      <c r="H19" s="25">
        <f t="shared" si="2"/>
        <v>0.92272568256141152</v>
      </c>
      <c r="I19" s="25">
        <f t="shared" si="2"/>
        <v>0.85527872842041219</v>
      </c>
      <c r="J19" s="25">
        <f>(J10-$C10)/$C10+1</f>
        <v>0.97414556240018246</v>
      </c>
      <c r="K19" s="25">
        <f>(K10-$C10)/$C10+1</f>
        <v>0.76359266864400333</v>
      </c>
      <c r="L19" s="25">
        <f>(L10-$C10)/$C10+1</f>
        <v>1.0782538596090958</v>
      </c>
      <c r="M19" s="25">
        <f t="shared" si="2"/>
        <v>0.82915963191117192</v>
      </c>
      <c r="N19" s="25">
        <f t="shared" si="2"/>
        <v>1.3286698608259182</v>
      </c>
      <c r="O19" s="25">
        <f t="shared" si="2"/>
        <v>0.89106852232108913</v>
      </c>
      <c r="P19" s="25">
        <f t="shared" si="2"/>
        <v>0.3422815423226101</v>
      </c>
      <c r="Q19" s="25">
        <f t="shared" si="2"/>
        <v>0.74417370142216133</v>
      </c>
      <c r="R19" s="25">
        <f t="shared" si="2"/>
        <v>1.1098942885390524</v>
      </c>
      <c r="S19" s="25">
        <f>(S10-$C10)/$C10+1</f>
        <v>0.77862042740892845</v>
      </c>
      <c r="T19" s="25">
        <f>(T10-$C10)/$C10+1</f>
        <v>0.85473572134763109</v>
      </c>
      <c r="U19" s="25">
        <f>(U10-$C10)/$C10+1</f>
        <v>0.67708570993991946</v>
      </c>
      <c r="V19" s="25">
        <f>(V10-$C10)/$C10+1</f>
        <v>0.79951327097117653</v>
      </c>
      <c r="W19" s="25">
        <f>(W10-$C10)/$C10+1</f>
        <v>0.61535782188759591</v>
      </c>
      <c r="X19" s="25">
        <f t="shared" si="2"/>
        <v>1.0234633812457221</v>
      </c>
      <c r="Y19" s="25">
        <f t="shared" si="2"/>
        <v>0.9210844931173473</v>
      </c>
      <c r="Z19" s="104"/>
      <c r="AA19" s="104"/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03"/>
      <c r="AA20" s="103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105" t="s">
        <v>39</v>
      </c>
      <c r="AA21" s="106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107" t="s">
        <v>40</v>
      </c>
      <c r="AA22" s="108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30323</v>
      </c>
      <c r="G23" s="34">
        <v>44715</v>
      </c>
      <c r="H23" s="34">
        <v>75306</v>
      </c>
      <c r="I23" s="23">
        <v>86771</v>
      </c>
      <c r="J23" s="23">
        <v>112752</v>
      </c>
      <c r="K23" s="23">
        <v>120408</v>
      </c>
      <c r="L23" s="23">
        <v>143591</v>
      </c>
      <c r="M23" s="23">
        <v>173855</v>
      </c>
      <c r="N23" s="23">
        <v>202176</v>
      </c>
      <c r="O23" s="23">
        <v>226439</v>
      </c>
      <c r="P23" s="23">
        <v>237028</v>
      </c>
      <c r="Q23" s="23">
        <v>251465</v>
      </c>
      <c r="R23" s="23">
        <v>268208</v>
      </c>
      <c r="S23" s="23">
        <v>281373</v>
      </c>
      <c r="T23" s="23">
        <v>305051</v>
      </c>
      <c r="U23" s="23">
        <v>318053</v>
      </c>
      <c r="V23" s="23">
        <v>333375</v>
      </c>
      <c r="W23" s="23">
        <v>353342</v>
      </c>
      <c r="X23" s="23">
        <v>380983</v>
      </c>
      <c r="Y23" s="23">
        <v>376518</v>
      </c>
      <c r="Z23" s="109">
        <f>+Y23/C40</f>
        <v>1.0040480000000001</v>
      </c>
      <c r="AA23" s="97">
        <f>+Z23-Y$21</f>
        <v>4.0480000000000516E-3</v>
      </c>
      <c r="AX23"/>
    </row>
    <row r="24" spans="2:50">
      <c r="B24" s="4" t="str">
        <f>+B16</f>
        <v>Boston</v>
      </c>
      <c r="C24" s="4"/>
      <c r="D24" s="4"/>
      <c r="E24" s="23"/>
      <c r="F24" s="34">
        <v>6485</v>
      </c>
      <c r="G24" s="34">
        <v>13375</v>
      </c>
      <c r="H24" s="34">
        <v>25877</v>
      </c>
      <c r="I24" s="34">
        <v>32172</v>
      </c>
      <c r="J24" s="34">
        <v>50257</v>
      </c>
      <c r="K24" s="34">
        <v>67342</v>
      </c>
      <c r="L24" s="34">
        <v>83027</v>
      </c>
      <c r="M24" s="34">
        <v>88602</v>
      </c>
      <c r="N24" s="34">
        <v>104532</v>
      </c>
      <c r="O24" s="34">
        <v>112857</v>
      </c>
      <c r="P24" s="34">
        <v>118213</v>
      </c>
      <c r="Q24" s="23">
        <v>129778</v>
      </c>
      <c r="R24" s="23">
        <v>135473</v>
      </c>
      <c r="S24" s="23">
        <v>146119</v>
      </c>
      <c r="T24" s="23">
        <v>149219</v>
      </c>
      <c r="U24" s="23">
        <v>153914</v>
      </c>
      <c r="V24" s="121">
        <v>156609</v>
      </c>
      <c r="W24" s="23">
        <v>159304</v>
      </c>
      <c r="X24" s="23">
        <v>166251</v>
      </c>
      <c r="Y24" s="23">
        <v>180699</v>
      </c>
      <c r="Z24" s="109">
        <f>+Y24/C41</f>
        <v>0.55599692307692306</v>
      </c>
      <c r="AA24" s="79">
        <f>+Z24-Y$21</f>
        <v>-0.44400307692307694</v>
      </c>
      <c r="AX24"/>
    </row>
    <row r="25" spans="2:50" s="4" customFormat="1" ht="12.75">
      <c r="B25" s="4" t="str">
        <f>+B17</f>
        <v>Canada</v>
      </c>
      <c r="E25" s="23"/>
      <c r="F25" s="34">
        <f>6295*0.9</f>
        <v>5665.5</v>
      </c>
      <c r="G25" s="34">
        <f>10370*0.9</f>
        <v>9333</v>
      </c>
      <c r="H25" s="34">
        <f>11870*0.9</f>
        <v>10683</v>
      </c>
      <c r="I25" s="34">
        <f>27909*0.9</f>
        <v>25118.100000000002</v>
      </c>
      <c r="J25" s="34">
        <f>27909*0.9</f>
        <v>25118.100000000002</v>
      </c>
      <c r="K25" s="34">
        <f>39899*0.9</f>
        <v>35909.1</v>
      </c>
      <c r="L25" s="34">
        <f>40899*0.9</f>
        <v>36809.1</v>
      </c>
      <c r="M25" s="34">
        <f>58609*0.9</f>
        <v>52748.1</v>
      </c>
      <c r="N25" s="34">
        <f>69087*0.9</f>
        <v>62178.3</v>
      </c>
      <c r="O25" s="34">
        <f>73432*0.9</f>
        <v>66088.800000000003</v>
      </c>
      <c r="P25" s="34">
        <f>76127*0.9</f>
        <v>68514.3</v>
      </c>
      <c r="Q25" s="34">
        <f>82620*0.9</f>
        <v>74358</v>
      </c>
      <c r="R25" s="34">
        <f>91410*0.9</f>
        <v>82269</v>
      </c>
      <c r="S25" s="34">
        <f>91410*0.9</f>
        <v>82269</v>
      </c>
      <c r="T25" s="34">
        <f>97561*0.9</f>
        <v>87804.900000000009</v>
      </c>
      <c r="U25" s="34">
        <v>87805</v>
      </c>
      <c r="V25" s="121">
        <v>95202</v>
      </c>
      <c r="W25" s="34">
        <f>111575*0.9</f>
        <v>100417.5</v>
      </c>
      <c r="X25" s="34">
        <f>120295*0.9</f>
        <v>108265.5</v>
      </c>
      <c r="Y25" s="34">
        <f>135880*0.9</f>
        <v>122292</v>
      </c>
      <c r="Z25" s="109">
        <f>Y25/C42</f>
        <v>0.53286274509803921</v>
      </c>
      <c r="AA25" s="79">
        <f>+Z25-Y$21</f>
        <v>-0.46713725490196079</v>
      </c>
    </row>
    <row r="26" spans="2:50">
      <c r="B26" s="5" t="str">
        <f>+B18</f>
        <v>Norwich</v>
      </c>
      <c r="C26" s="19"/>
      <c r="D26" s="19"/>
      <c r="E26" s="35"/>
      <c r="F26" s="35">
        <f>30241*1.6</f>
        <v>48385.600000000006</v>
      </c>
      <c r="G26" s="35">
        <f>39052*1.6</f>
        <v>62483.200000000004</v>
      </c>
      <c r="H26" s="35">
        <f>47953*1.6</f>
        <v>76724.800000000003</v>
      </c>
      <c r="I26" s="35">
        <f>61833*1.6</f>
        <v>98932.800000000003</v>
      </c>
      <c r="J26" s="35">
        <f>75564*1.6</f>
        <v>120902.40000000001</v>
      </c>
      <c r="K26" s="35">
        <f>84733*1.6</f>
        <v>135572.80000000002</v>
      </c>
      <c r="L26" s="35">
        <f>100275*1.6</f>
        <v>160440</v>
      </c>
      <c r="M26" s="35">
        <f>104784*1.6</f>
        <v>167654.40000000002</v>
      </c>
      <c r="N26" s="35">
        <f>121307*1.6</f>
        <v>194091.2</v>
      </c>
      <c r="O26" s="35">
        <f>135110*1.6</f>
        <v>216176</v>
      </c>
      <c r="P26" s="35">
        <f>137693*1.6</f>
        <v>220308.80000000002</v>
      </c>
      <c r="Q26" s="35">
        <f>147124*1.6</f>
        <v>235398.40000000002</v>
      </c>
      <c r="R26" s="35">
        <f>170294*1.6</f>
        <v>272470.40000000002</v>
      </c>
      <c r="S26" s="35">
        <f>184731*1.6</f>
        <v>295569.60000000003</v>
      </c>
      <c r="T26" s="35">
        <f>195126*1.6</f>
        <v>312201.60000000003</v>
      </c>
      <c r="U26" s="35">
        <v>342922</v>
      </c>
      <c r="V26" s="35">
        <v>366523</v>
      </c>
      <c r="W26" s="35">
        <f>227620*1.6</f>
        <v>364192</v>
      </c>
      <c r="X26" s="35">
        <f>230840*1.6</f>
        <v>369344</v>
      </c>
      <c r="Y26" s="35">
        <f>247727*1.64</f>
        <v>406272.27999999997</v>
      </c>
      <c r="Z26" s="110">
        <f>+Y26/C43</f>
        <v>1.0541574468085106</v>
      </c>
      <c r="AA26" s="113">
        <f>+Z26-Y$21</f>
        <v>5.4157446808510645E-2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90859.1</v>
      </c>
      <c r="G27" s="10">
        <f t="shared" ref="G27:Y27" si="5">SUM(G23:G26)</f>
        <v>129906.20000000001</v>
      </c>
      <c r="H27" s="10">
        <f t="shared" si="5"/>
        <v>188590.8</v>
      </c>
      <c r="I27" s="4">
        <f t="shared" si="5"/>
        <v>242993.90000000002</v>
      </c>
      <c r="J27" s="4">
        <f t="shared" si="5"/>
        <v>309029.5</v>
      </c>
      <c r="K27" s="10">
        <f t="shared" si="5"/>
        <v>359231.9</v>
      </c>
      <c r="L27" s="10">
        <f t="shared" si="5"/>
        <v>423867.1</v>
      </c>
      <c r="M27" s="10">
        <f t="shared" si="5"/>
        <v>482859.5</v>
      </c>
      <c r="N27" s="10">
        <f t="shared" si="5"/>
        <v>562977.5</v>
      </c>
      <c r="O27" s="4">
        <f>SUM(O23:O26)</f>
        <v>621560.80000000005</v>
      </c>
      <c r="P27" s="10">
        <f t="shared" si="5"/>
        <v>644064.1</v>
      </c>
      <c r="Q27" s="10">
        <f t="shared" si="5"/>
        <v>690999.4</v>
      </c>
      <c r="R27" s="10">
        <f t="shared" si="5"/>
        <v>758420.4</v>
      </c>
      <c r="S27" s="10">
        <f t="shared" si="5"/>
        <v>805330.60000000009</v>
      </c>
      <c r="T27" s="4">
        <f t="shared" si="5"/>
        <v>854276.5</v>
      </c>
      <c r="U27" s="10">
        <f t="shared" si="5"/>
        <v>902694</v>
      </c>
      <c r="V27" s="10">
        <f t="shared" si="5"/>
        <v>951709</v>
      </c>
      <c r="W27" s="10">
        <f t="shared" si="5"/>
        <v>977255.5</v>
      </c>
      <c r="X27" s="10">
        <f t="shared" si="5"/>
        <v>1024843.5</v>
      </c>
      <c r="Y27" s="10">
        <f t="shared" si="5"/>
        <v>1085781.28</v>
      </c>
      <c r="Z27" s="111">
        <f>+Y27/C44</f>
        <v>0.82575198113925019</v>
      </c>
      <c r="AA27" s="84">
        <f>+Z27-Y$21</f>
        <v>-0.17424801886074981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6.9099627348087306E-2</v>
      </c>
      <c r="G28" s="30">
        <f t="shared" si="6"/>
        <v>9.8795497756483386E-2</v>
      </c>
      <c r="H28" s="30">
        <f t="shared" si="6"/>
        <v>0.14342596395163129</v>
      </c>
      <c r="I28" s="30">
        <f t="shared" si="6"/>
        <v>0.18480028899536088</v>
      </c>
      <c r="J28" s="30">
        <f t="shared" si="6"/>
        <v>0.23502129439501102</v>
      </c>
      <c r="K28" s="30">
        <f t="shared" si="6"/>
        <v>0.27320092782721123</v>
      </c>
      <c r="L28" s="30">
        <f t="shared" si="6"/>
        <v>0.32235690927066696</v>
      </c>
      <c r="M28" s="30">
        <f t="shared" si="6"/>
        <v>0.3672214617081147</v>
      </c>
      <c r="N28" s="30">
        <f t="shared" si="6"/>
        <v>0.42815233097573963</v>
      </c>
      <c r="O28" s="30">
        <f>+O27/$C$44</f>
        <v>0.47270575709179408</v>
      </c>
      <c r="P28" s="30">
        <f t="shared" ref="P28:Y28" si="7">+P27/$C$44</f>
        <v>0.48981983420792452</v>
      </c>
      <c r="Q28" s="30">
        <f t="shared" si="7"/>
        <v>0.52551479199939166</v>
      </c>
      <c r="R28" s="30">
        <f t="shared" si="7"/>
        <v>0.57678941364362313</v>
      </c>
      <c r="S28" s="30">
        <f t="shared" si="7"/>
        <v>0.61246528253099097</v>
      </c>
      <c r="T28" s="30">
        <f t="shared" si="7"/>
        <v>0.6496893299870713</v>
      </c>
      <c r="U28" s="30">
        <f t="shared" si="7"/>
        <v>0.68651152178872921</v>
      </c>
      <c r="V28" s="30">
        <f t="shared" si="7"/>
        <v>0.72378812076964028</v>
      </c>
      <c r="W28" s="30">
        <f t="shared" si="7"/>
        <v>0.7432165944178265</v>
      </c>
      <c r="X28" s="30">
        <f t="shared" si="7"/>
        <v>0.77940793976728273</v>
      </c>
      <c r="Y28" s="30">
        <f t="shared" si="7"/>
        <v>0.82575198113925019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1.6172266666666666</v>
      </c>
      <c r="G32" s="17">
        <f t="shared" si="9"/>
        <v>1.1923999999999999</v>
      </c>
      <c r="H32" s="17">
        <f t="shared" si="9"/>
        <v>1.3387733333333334</v>
      </c>
      <c r="I32" s="17">
        <f t="shared" si="9"/>
        <v>1.1569466666666666</v>
      </c>
      <c r="J32" s="17">
        <f t="shared" si="9"/>
        <v>1.202688</v>
      </c>
      <c r="K32" s="17">
        <f t="shared" si="9"/>
        <v>1.0702933333333333</v>
      </c>
      <c r="L32" s="17">
        <f t="shared" si="9"/>
        <v>1.0940266666666667</v>
      </c>
      <c r="M32" s="17">
        <f t="shared" si="9"/>
        <v>1.1590333333333334</v>
      </c>
      <c r="N32" s="17">
        <f t="shared" si="9"/>
        <v>1.19808</v>
      </c>
      <c r="O32" s="17">
        <f t="shared" si="9"/>
        <v>1.2076746666666667</v>
      </c>
      <c r="P32" s="17">
        <f t="shared" si="9"/>
        <v>1.1492266666666666</v>
      </c>
      <c r="Q32" s="17">
        <f t="shared" si="9"/>
        <v>1.1176222222222223</v>
      </c>
      <c r="R32" s="17">
        <f t="shared" si="9"/>
        <v>1.100340512820513</v>
      </c>
      <c r="S32" s="17">
        <f t="shared" si="9"/>
        <v>1.0718971428571427</v>
      </c>
      <c r="T32" s="17">
        <f t="shared" si="9"/>
        <v>1.0846257777777779</v>
      </c>
      <c r="U32" s="17">
        <f t="shared" si="9"/>
        <v>1.0601766666666668</v>
      </c>
      <c r="V32" s="17">
        <f t="shared" si="9"/>
        <v>1.0458823529411765</v>
      </c>
      <c r="W32" s="17">
        <f t="shared" si="9"/>
        <v>1.0469392592592592</v>
      </c>
      <c r="X32" s="17">
        <f t="shared" si="9"/>
        <v>1.0694259649122808</v>
      </c>
      <c r="Y32" s="17">
        <f t="shared" si="9"/>
        <v>1.0040480000000001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0.39907692307692305</v>
      </c>
      <c r="G33" s="17">
        <f t="shared" si="10"/>
        <v>0.41153846153846152</v>
      </c>
      <c r="H33" s="17">
        <f t="shared" si="10"/>
        <v>0.53081025641025636</v>
      </c>
      <c r="I33" s="17">
        <f t="shared" si="10"/>
        <v>0.49495384615384613</v>
      </c>
      <c r="J33" s="17">
        <f t="shared" si="10"/>
        <v>0.61854769230769235</v>
      </c>
      <c r="K33" s="17">
        <f t="shared" si="10"/>
        <v>0.69068717948717939</v>
      </c>
      <c r="L33" s="17">
        <f t="shared" si="10"/>
        <v>0.72990769230769226</v>
      </c>
      <c r="M33" s="17">
        <f t="shared" si="10"/>
        <v>0.68155384615384618</v>
      </c>
      <c r="N33" s="17">
        <f t="shared" si="10"/>
        <v>0.71474871794871786</v>
      </c>
      <c r="O33" s="17">
        <f t="shared" si="10"/>
        <v>0.69450461538461539</v>
      </c>
      <c r="P33" s="17">
        <f t="shared" si="10"/>
        <v>0.66133146853146862</v>
      </c>
      <c r="Q33" s="17">
        <f t="shared" si="10"/>
        <v>0.66552820512820521</v>
      </c>
      <c r="R33" s="17">
        <f t="shared" si="10"/>
        <v>0.64129230769230772</v>
      </c>
      <c r="S33" s="17">
        <f t="shared" si="10"/>
        <v>0.64228131868131866</v>
      </c>
      <c r="T33" s="17">
        <f t="shared" si="10"/>
        <v>0.61218051282051278</v>
      </c>
      <c r="U33" s="17">
        <f t="shared" si="10"/>
        <v>0.59197692307692307</v>
      </c>
      <c r="V33" s="17">
        <f t="shared" si="10"/>
        <v>0.56691040723981911</v>
      </c>
      <c r="W33" s="17">
        <f t="shared" si="10"/>
        <v>0.54462905982905985</v>
      </c>
      <c r="X33" s="17">
        <f t="shared" si="10"/>
        <v>0.53846477732793518</v>
      </c>
      <c r="Y33" s="17">
        <f t="shared" si="10"/>
        <v>0.55599692307692306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0.49372549019607842</v>
      </c>
      <c r="G34" s="17">
        <f t="shared" si="11"/>
        <v>0.40666666666666668</v>
      </c>
      <c r="H34" s="17">
        <f t="shared" si="11"/>
        <v>0.31032679738562091</v>
      </c>
      <c r="I34" s="17">
        <f t="shared" si="11"/>
        <v>0.54723529411764715</v>
      </c>
      <c r="J34" s="17">
        <f t="shared" si="11"/>
        <v>0.43778823529411776</v>
      </c>
      <c r="K34" s="17">
        <f t="shared" si="11"/>
        <v>0.52155555555555544</v>
      </c>
      <c r="L34" s="17">
        <f t="shared" si="11"/>
        <v>0.45825210084033613</v>
      </c>
      <c r="M34" s="17">
        <f t="shared" si="11"/>
        <v>0.57459803921568631</v>
      </c>
      <c r="N34" s="17">
        <f t="shared" si="11"/>
        <v>0.60206535947712414</v>
      </c>
      <c r="O34" s="17">
        <f t="shared" si="11"/>
        <v>0.57593725490196079</v>
      </c>
      <c r="P34" s="17">
        <f t="shared" si="11"/>
        <v>0.54279500891265597</v>
      </c>
      <c r="Q34" s="17">
        <f t="shared" si="11"/>
        <v>0.54</v>
      </c>
      <c r="R34" s="17">
        <f t="shared" si="11"/>
        <v>0.55149321266968332</v>
      </c>
      <c r="S34" s="17">
        <f t="shared" si="11"/>
        <v>0.51210084033613446</v>
      </c>
      <c r="T34" s="17">
        <f t="shared" si="11"/>
        <v>0.51012287581699356</v>
      </c>
      <c r="U34" s="17">
        <f t="shared" si="11"/>
        <v>0.47824074074074074</v>
      </c>
      <c r="V34" s="17">
        <f t="shared" si="11"/>
        <v>0.48802768166089966</v>
      </c>
      <c r="W34" s="17">
        <f t="shared" si="11"/>
        <v>0.48616557734204791</v>
      </c>
      <c r="X34" s="17">
        <f t="shared" si="11"/>
        <v>0.49657378740970076</v>
      </c>
      <c r="Y34" s="17">
        <f t="shared" si="11"/>
        <v>0.53286274509803921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2.5109289050337313</v>
      </c>
      <c r="G35" s="18">
        <f t="shared" si="12"/>
        <v>1.6212558380902957</v>
      </c>
      <c r="H35" s="18">
        <f t="shared" si="12"/>
        <v>1.3271890676353573</v>
      </c>
      <c r="I35" s="18">
        <f t="shared" si="12"/>
        <v>1.2835080435910742</v>
      </c>
      <c r="J35" s="18">
        <f t="shared" si="12"/>
        <v>1.2548251167618061</v>
      </c>
      <c r="K35" s="18">
        <f t="shared" si="12"/>
        <v>1.172572219339215</v>
      </c>
      <c r="L35" s="18">
        <f t="shared" si="12"/>
        <v>1.1894135962636223</v>
      </c>
      <c r="M35" s="18">
        <f t="shared" si="12"/>
        <v>1.0875350285417749</v>
      </c>
      <c r="N35" s="18">
        <f t="shared" si="12"/>
        <v>1.1191327913279134</v>
      </c>
      <c r="O35" s="18">
        <f t="shared" si="12"/>
        <v>1.1218266735858848</v>
      </c>
      <c r="P35" s="18">
        <f t="shared" si="12"/>
        <v>1.0393395291786574</v>
      </c>
      <c r="Q35" s="18">
        <f t="shared" si="12"/>
        <v>1.0179830479155858</v>
      </c>
      <c r="R35" s="18">
        <f t="shared" si="12"/>
        <v>1.0876627679533755</v>
      </c>
      <c r="S35" s="18">
        <f t="shared" si="12"/>
        <v>1.0955949292015716</v>
      </c>
      <c r="T35" s="18">
        <f t="shared" si="12"/>
        <v>1.0800954852101714</v>
      </c>
      <c r="U35" s="18">
        <f t="shared" si="12"/>
        <v>1.1122275557861963</v>
      </c>
      <c r="V35" s="18">
        <f t="shared" si="12"/>
        <v>1.1188467291431363</v>
      </c>
      <c r="W35" s="18">
        <f t="shared" si="12"/>
        <v>1.0499682869169118</v>
      </c>
      <c r="X35" s="18">
        <f t="shared" si="12"/>
        <v>1.008778302788627</v>
      </c>
      <c r="Y35" s="18">
        <f t="shared" si="12"/>
        <v>1.0541574468085106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1.3819925469617462</v>
      </c>
      <c r="G36" s="17">
        <f t="shared" si="13"/>
        <v>0.98795497756483386</v>
      </c>
      <c r="H36" s="17">
        <f t="shared" si="13"/>
        <v>0.95617309301087539</v>
      </c>
      <c r="I36" s="17">
        <f t="shared" si="13"/>
        <v>0.92400144497680436</v>
      </c>
      <c r="J36" s="17">
        <f t="shared" si="13"/>
        <v>0.94008517758004406</v>
      </c>
      <c r="K36" s="17">
        <f t="shared" si="13"/>
        <v>0.91066975942403738</v>
      </c>
      <c r="L36" s="17">
        <f t="shared" si="13"/>
        <v>0.92101974077333426</v>
      </c>
      <c r="M36" s="17">
        <f t="shared" si="13"/>
        <v>0.91805365427028673</v>
      </c>
      <c r="N36" s="17">
        <f t="shared" si="13"/>
        <v>0.95144962439053238</v>
      </c>
      <c r="O36" s="17">
        <f t="shared" si="13"/>
        <v>0.94541151418358815</v>
      </c>
      <c r="P36" s="17">
        <f t="shared" si="13"/>
        <v>0.89058151674168107</v>
      </c>
      <c r="Q36" s="17">
        <f t="shared" si="13"/>
        <v>0.87585798666565273</v>
      </c>
      <c r="R36" s="17">
        <f t="shared" si="13"/>
        <v>0.88736832868249715</v>
      </c>
      <c r="S36" s="17">
        <f t="shared" si="13"/>
        <v>0.87495040361570131</v>
      </c>
      <c r="T36" s="17">
        <f t="shared" si="13"/>
        <v>0.8662524399827618</v>
      </c>
      <c r="U36" s="17">
        <f t="shared" si="13"/>
        <v>0.85813940223591145</v>
      </c>
      <c r="V36" s="17">
        <f t="shared" si="13"/>
        <v>0.85151543619957681</v>
      </c>
      <c r="W36" s="17">
        <f t="shared" si="13"/>
        <v>0.82579621601980724</v>
      </c>
      <c r="X36" s="17">
        <f t="shared" si="13"/>
        <v>0.82042941028135019</v>
      </c>
      <c r="Y36" s="17">
        <f t="shared" si="13"/>
        <v>0.82575198113925019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375000</v>
      </c>
      <c r="D40" s="4"/>
      <c r="E40" s="4"/>
      <c r="F40" s="48">
        <f t="shared" ref="F40:Y43" si="15">(F23)/F$1*$Y$1</f>
        <v>606460</v>
      </c>
      <c r="G40" s="10">
        <f t="shared" si="15"/>
        <v>447150</v>
      </c>
      <c r="H40" s="10">
        <f t="shared" si="15"/>
        <v>502040</v>
      </c>
      <c r="I40" s="10">
        <f t="shared" si="15"/>
        <v>433855</v>
      </c>
      <c r="J40" s="10">
        <f t="shared" si="15"/>
        <v>451008</v>
      </c>
      <c r="K40" s="10">
        <f t="shared" si="15"/>
        <v>401360</v>
      </c>
      <c r="L40" s="10">
        <f t="shared" si="15"/>
        <v>410260</v>
      </c>
      <c r="M40" s="10">
        <f t="shared" si="15"/>
        <v>434637.5</v>
      </c>
      <c r="N40" s="10">
        <f t="shared" si="15"/>
        <v>449280</v>
      </c>
      <c r="O40" s="10">
        <f t="shared" si="15"/>
        <v>452878</v>
      </c>
      <c r="P40" s="10">
        <f t="shared" si="15"/>
        <v>430960</v>
      </c>
      <c r="Q40" s="10">
        <f t="shared" si="15"/>
        <v>419108.33333333337</v>
      </c>
      <c r="R40" s="10">
        <f t="shared" si="15"/>
        <v>412627.69230769237</v>
      </c>
      <c r="S40" s="10">
        <f t="shared" si="15"/>
        <v>401961.42857142852</v>
      </c>
      <c r="T40" s="10">
        <f t="shared" si="15"/>
        <v>406734.66666666669</v>
      </c>
      <c r="U40" s="10">
        <f t="shared" si="15"/>
        <v>397566.25</v>
      </c>
      <c r="V40" s="10">
        <f t="shared" si="15"/>
        <v>392205.8823529412</v>
      </c>
      <c r="W40" s="10">
        <f t="shared" si="15"/>
        <v>392602.22222222219</v>
      </c>
      <c r="X40" s="10">
        <f>(X23)/X$1*$Y$1</f>
        <v>401034.73684210528</v>
      </c>
      <c r="Y40" s="10">
        <f t="shared" si="15"/>
        <v>376518</v>
      </c>
      <c r="AX40"/>
    </row>
    <row r="41" spans="2:50">
      <c r="B41" s="4" t="s">
        <v>1</v>
      </c>
      <c r="C41" s="37">
        <v>325000</v>
      </c>
      <c r="D41" s="4"/>
      <c r="E41" s="4"/>
      <c r="F41" s="10">
        <f t="shared" si="15"/>
        <v>129700</v>
      </c>
      <c r="G41" s="10">
        <f t="shared" si="15"/>
        <v>133750</v>
      </c>
      <c r="H41" s="10">
        <f t="shared" si="15"/>
        <v>172513.33333333331</v>
      </c>
      <c r="I41" s="10">
        <f t="shared" si="15"/>
        <v>160860</v>
      </c>
      <c r="J41" s="10">
        <f t="shared" si="15"/>
        <v>201028</v>
      </c>
      <c r="K41" s="10">
        <f t="shared" si="15"/>
        <v>224473.33333333331</v>
      </c>
      <c r="L41" s="10">
        <f t="shared" si="15"/>
        <v>237220</v>
      </c>
      <c r="M41" s="10">
        <f t="shared" si="15"/>
        <v>221505</v>
      </c>
      <c r="N41" s="10">
        <f t="shared" si="15"/>
        <v>232293.33333333331</v>
      </c>
      <c r="O41" s="10">
        <f t="shared" si="15"/>
        <v>225714</v>
      </c>
      <c r="P41" s="10">
        <f t="shared" si="15"/>
        <v>214932.72727272729</v>
      </c>
      <c r="Q41" s="10">
        <f t="shared" si="15"/>
        <v>216296.66666666669</v>
      </c>
      <c r="R41" s="10">
        <f t="shared" si="15"/>
        <v>208420</v>
      </c>
      <c r="S41" s="10">
        <f t="shared" si="15"/>
        <v>208741.42857142858</v>
      </c>
      <c r="T41" s="10">
        <f t="shared" si="15"/>
        <v>198958.66666666666</v>
      </c>
      <c r="U41" s="10">
        <f t="shared" si="15"/>
        <v>192392.5</v>
      </c>
      <c r="V41" s="10">
        <f t="shared" si="15"/>
        <v>184245.8823529412</v>
      </c>
      <c r="W41" s="10">
        <f t="shared" si="15"/>
        <v>177004.44444444444</v>
      </c>
      <c r="X41" s="10">
        <f t="shared" si="15"/>
        <v>175001.05263157893</v>
      </c>
      <c r="Y41" s="10">
        <f t="shared" si="15"/>
        <v>180699</v>
      </c>
      <c r="AX41"/>
    </row>
    <row r="42" spans="2:50">
      <c r="B42" s="4" t="s">
        <v>2</v>
      </c>
      <c r="C42" s="37">
        <f>255000*0.9</f>
        <v>229500</v>
      </c>
      <c r="D42" s="4"/>
      <c r="E42" s="4"/>
      <c r="F42" s="10">
        <f t="shared" si="15"/>
        <v>113310</v>
      </c>
      <c r="G42" s="10">
        <f t="shared" si="15"/>
        <v>93330</v>
      </c>
      <c r="H42" s="10">
        <f t="shared" si="15"/>
        <v>71220</v>
      </c>
      <c r="I42" s="10">
        <f t="shared" si="15"/>
        <v>125590.50000000001</v>
      </c>
      <c r="J42" s="10">
        <f t="shared" si="15"/>
        <v>100472.40000000002</v>
      </c>
      <c r="K42" s="10">
        <f t="shared" si="15"/>
        <v>119696.99999999999</v>
      </c>
      <c r="L42" s="10">
        <f t="shared" si="15"/>
        <v>105168.85714285714</v>
      </c>
      <c r="M42" s="10">
        <f t="shared" si="15"/>
        <v>131870.25</v>
      </c>
      <c r="N42" s="10">
        <f t="shared" si="15"/>
        <v>138174</v>
      </c>
      <c r="O42" s="10">
        <f t="shared" si="15"/>
        <v>132177.60000000001</v>
      </c>
      <c r="P42" s="10">
        <f t="shared" si="15"/>
        <v>124571.45454545454</v>
      </c>
      <c r="Q42" s="10">
        <f t="shared" si="15"/>
        <v>123930</v>
      </c>
      <c r="R42" s="10">
        <f t="shared" si="15"/>
        <v>126567.69230769231</v>
      </c>
      <c r="S42" s="10">
        <f t="shared" si="15"/>
        <v>117527.14285714287</v>
      </c>
      <c r="T42" s="10">
        <f t="shared" si="15"/>
        <v>117073.20000000001</v>
      </c>
      <c r="U42" s="10">
        <f t="shared" si="15"/>
        <v>109756.25</v>
      </c>
      <c r="V42" s="10">
        <f t="shared" si="15"/>
        <v>112002.35294117648</v>
      </c>
      <c r="W42" s="10">
        <f t="shared" si="15"/>
        <v>111575</v>
      </c>
      <c r="X42" s="10">
        <f t="shared" si="15"/>
        <v>113963.68421052632</v>
      </c>
      <c r="Y42" s="10">
        <f t="shared" si="15"/>
        <v>122292</v>
      </c>
      <c r="AA42" s="48"/>
    </row>
    <row r="43" spans="2:50">
      <c r="B43" s="4" t="s">
        <v>3</v>
      </c>
      <c r="C43" s="38">
        <f>235000*1.64</f>
        <v>385400</v>
      </c>
      <c r="D43" s="19"/>
      <c r="E43" s="19"/>
      <c r="F43" s="13">
        <f t="shared" si="15"/>
        <v>967712.00000000012</v>
      </c>
      <c r="G43" s="13">
        <f t="shared" si="15"/>
        <v>624832</v>
      </c>
      <c r="H43" s="13">
        <f t="shared" si="15"/>
        <v>511498.66666666669</v>
      </c>
      <c r="I43" s="13">
        <f t="shared" si="15"/>
        <v>494664</v>
      </c>
      <c r="J43" s="13">
        <f t="shared" si="15"/>
        <v>483609.60000000009</v>
      </c>
      <c r="K43" s="13">
        <f t="shared" si="15"/>
        <v>451909.33333333343</v>
      </c>
      <c r="L43" s="13">
        <f t="shared" si="15"/>
        <v>458400</v>
      </c>
      <c r="M43" s="13">
        <f t="shared" si="15"/>
        <v>419136.00000000006</v>
      </c>
      <c r="N43" s="13">
        <f t="shared" si="15"/>
        <v>431313.77777777781</v>
      </c>
      <c r="O43" s="13">
        <f t="shared" si="15"/>
        <v>432352</v>
      </c>
      <c r="P43" s="13">
        <f t="shared" si="15"/>
        <v>400561.45454545453</v>
      </c>
      <c r="Q43" s="13">
        <f t="shared" si="15"/>
        <v>392330.66666666674</v>
      </c>
      <c r="R43" s="13">
        <f t="shared" si="15"/>
        <v>419185.23076923087</v>
      </c>
      <c r="S43" s="13">
        <f t="shared" si="15"/>
        <v>422242.28571428574</v>
      </c>
      <c r="T43" s="13">
        <f t="shared" si="15"/>
        <v>416268.80000000005</v>
      </c>
      <c r="U43" s="13">
        <f t="shared" si="15"/>
        <v>428652.5</v>
      </c>
      <c r="V43" s="13">
        <f t="shared" si="15"/>
        <v>431203.5294117647</v>
      </c>
      <c r="W43" s="13">
        <f t="shared" si="15"/>
        <v>404657.77777777781</v>
      </c>
      <c r="X43" s="13">
        <f>(X26)/X$1*$Y$1</f>
        <v>388783.15789473685</v>
      </c>
      <c r="Y43" s="13">
        <f t="shared" si="15"/>
        <v>406272.27999999997</v>
      </c>
    </row>
    <row r="44" spans="2:50">
      <c r="B44" s="14" t="s">
        <v>27</v>
      </c>
      <c r="C44" s="39">
        <f>SUM(C40:C43)</f>
        <v>1314900</v>
      </c>
      <c r="D44" s="10">
        <f>SUM(D40:D43)</f>
        <v>0</v>
      </c>
      <c r="E44" s="10"/>
      <c r="F44" s="10">
        <f t="shared" ref="F44:Y44" si="16">SUM(F40:F43)</f>
        <v>1817182</v>
      </c>
      <c r="G44" s="10">
        <f t="shared" si="16"/>
        <v>1299062</v>
      </c>
      <c r="H44" s="10">
        <f t="shared" si="16"/>
        <v>1257272</v>
      </c>
      <c r="I44" s="10">
        <f t="shared" si="16"/>
        <v>1214969.5</v>
      </c>
      <c r="J44" s="10">
        <f t="shared" si="16"/>
        <v>1236118</v>
      </c>
      <c r="K44" s="10">
        <f t="shared" si="16"/>
        <v>1197439.6666666667</v>
      </c>
      <c r="L44" s="10">
        <f t="shared" si="16"/>
        <v>1211048.8571428573</v>
      </c>
      <c r="M44" s="10">
        <f t="shared" si="16"/>
        <v>1207148.75</v>
      </c>
      <c r="N44" s="10">
        <f t="shared" si="16"/>
        <v>1251061.111111111</v>
      </c>
      <c r="O44" s="10">
        <f t="shared" si="16"/>
        <v>1243121.6000000001</v>
      </c>
      <c r="P44" s="10">
        <f t="shared" si="16"/>
        <v>1171025.6363636365</v>
      </c>
      <c r="Q44" s="10">
        <f t="shared" si="16"/>
        <v>1151665.6666666667</v>
      </c>
      <c r="R44" s="10">
        <f t="shared" si="16"/>
        <v>1166800.6153846155</v>
      </c>
      <c r="S44" s="10">
        <f t="shared" si="16"/>
        <v>1150472.2857142857</v>
      </c>
      <c r="T44" s="10">
        <f t="shared" si="16"/>
        <v>1139035.3333333335</v>
      </c>
      <c r="U44" s="10">
        <f t="shared" si="16"/>
        <v>1128367.5</v>
      </c>
      <c r="V44" s="10">
        <f t="shared" si="16"/>
        <v>1119657.6470588236</v>
      </c>
      <c r="W44" s="10">
        <f t="shared" si="16"/>
        <v>1085839.4444444445</v>
      </c>
      <c r="X44" s="10">
        <f t="shared" si="16"/>
        <v>1078782.6315789474</v>
      </c>
      <c r="Y44" s="10">
        <f t="shared" si="16"/>
        <v>1085781.28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96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B1:AX64"/>
  <sheetViews>
    <sheetView showGridLines="0" workbookViewId="0">
      <selection activeCell="Z9" sqref="Z9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59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60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18750</v>
      </c>
      <c r="D6" s="10"/>
      <c r="E6" s="11">
        <v>7894</v>
      </c>
      <c r="F6" s="34">
        <v>15859</v>
      </c>
      <c r="G6" s="34">
        <v>22228</v>
      </c>
      <c r="H6" s="34">
        <v>13534</v>
      </c>
      <c r="I6" s="34">
        <v>11359</v>
      </c>
      <c r="J6" s="34">
        <v>27684</v>
      </c>
      <c r="K6" s="34">
        <v>24675</v>
      </c>
      <c r="L6" s="34">
        <v>28153</v>
      </c>
      <c r="M6" s="34">
        <v>20091</v>
      </c>
      <c r="N6" s="34">
        <v>15270</v>
      </c>
      <c r="O6" s="34">
        <v>13565</v>
      </c>
      <c r="P6" s="34">
        <v>16547</v>
      </c>
      <c r="Q6" s="34">
        <v>10814</v>
      </c>
      <c r="R6" s="34">
        <v>10687</v>
      </c>
      <c r="S6" s="34">
        <v>31437</v>
      </c>
      <c r="T6" s="34">
        <v>28546</v>
      </c>
      <c r="U6" s="34">
        <v>44053</v>
      </c>
      <c r="V6" s="34">
        <v>3039</v>
      </c>
      <c r="W6" s="34">
        <f>21382+4795</f>
        <v>26177</v>
      </c>
      <c r="X6" s="34">
        <f>23316+11690</f>
        <v>35006</v>
      </c>
      <c r="Y6" s="34">
        <f>10798</f>
        <v>10798</v>
      </c>
      <c r="Z6" s="115">
        <f>(SUM(F6:Y6)/(COUNT(F6:Y6)))</f>
        <v>20476.099999999999</v>
      </c>
      <c r="AA6" s="103"/>
      <c r="AX6"/>
    </row>
    <row r="7" spans="2:50">
      <c r="B7" s="4" t="s">
        <v>1</v>
      </c>
      <c r="C7" s="20">
        <f>+C41/20</f>
        <v>16250</v>
      </c>
      <c r="D7" s="10"/>
      <c r="E7" s="11">
        <v>8195</v>
      </c>
      <c r="F7" s="34">
        <v>13540</v>
      </c>
      <c r="G7" s="34">
        <v>5195</v>
      </c>
      <c r="H7" s="34">
        <v>13632</v>
      </c>
      <c r="I7" s="34">
        <v>7490</v>
      </c>
      <c r="J7" s="34">
        <v>2000</v>
      </c>
      <c r="K7" s="34">
        <v>6700</v>
      </c>
      <c r="L7" s="34">
        <v>10750</v>
      </c>
      <c r="M7" s="34">
        <v>6595</v>
      </c>
      <c r="N7" s="34">
        <v>8195</v>
      </c>
      <c r="O7" s="34">
        <v>9045</v>
      </c>
      <c r="P7" s="34">
        <v>4000</v>
      </c>
      <c r="Q7" s="34">
        <v>3695</v>
      </c>
      <c r="R7" s="34">
        <v>3745</v>
      </c>
      <c r="S7" s="34">
        <v>10185</v>
      </c>
      <c r="T7" s="34">
        <v>11320</v>
      </c>
      <c r="U7" s="34">
        <v>2695</v>
      </c>
      <c r="V7" s="34">
        <v>2695</v>
      </c>
      <c r="W7" s="34">
        <v>6985</v>
      </c>
      <c r="X7" s="34">
        <v>5195</v>
      </c>
      <c r="Y7" s="34">
        <v>19285</v>
      </c>
      <c r="Z7" s="69">
        <f>(SUM(F7:Y7)/(COUNT(F7:Y7)))</f>
        <v>7647.1</v>
      </c>
      <c r="AA7" s="103"/>
      <c r="AX7"/>
    </row>
    <row r="8" spans="2:50">
      <c r="B8" s="4" t="s">
        <v>2</v>
      </c>
      <c r="C8" s="20">
        <f>+C42/20</f>
        <v>11475</v>
      </c>
      <c r="D8" s="10"/>
      <c r="E8" s="11">
        <v>0</v>
      </c>
      <c r="F8" s="34">
        <f>10740*0.9</f>
        <v>9666</v>
      </c>
      <c r="G8" s="34">
        <f>14006*0.9</f>
        <v>12605.4</v>
      </c>
      <c r="H8" s="34">
        <f>13561*0.9</f>
        <v>12204.9</v>
      </c>
      <c r="I8" s="34">
        <f>7256*0.9</f>
        <v>6530.4000000000005</v>
      </c>
      <c r="J8" s="34">
        <v>3325</v>
      </c>
      <c r="K8" s="34">
        <v>2425</v>
      </c>
      <c r="L8" s="34">
        <v>9220</v>
      </c>
      <c r="M8" s="34">
        <v>11142</v>
      </c>
      <c r="N8" s="34">
        <v>10755</v>
      </c>
      <c r="O8" s="34">
        <v>16311</v>
      </c>
      <c r="P8" s="34">
        <f>17389*0.9</f>
        <v>15650.1</v>
      </c>
      <c r="Q8" s="34">
        <f>19460*0.9</f>
        <v>17514</v>
      </c>
      <c r="R8" s="34">
        <f>13935*0.9</f>
        <v>12541.5</v>
      </c>
      <c r="S8" s="34">
        <f>9890*0.9</f>
        <v>8901</v>
      </c>
      <c r="T8" s="34">
        <f>15475*0.9</f>
        <v>13927.5</v>
      </c>
      <c r="U8" s="34">
        <f>7490*0.9</f>
        <v>6741</v>
      </c>
      <c r="V8" s="34">
        <f>5390*0.9</f>
        <v>4851</v>
      </c>
      <c r="W8" s="34">
        <f>6440*0.9</f>
        <v>5796</v>
      </c>
      <c r="X8" s="34">
        <v>0</v>
      </c>
      <c r="Y8" s="34">
        <f>14175*0.9</f>
        <v>12757.5</v>
      </c>
      <c r="Z8" s="69">
        <f>(SUM(F8:Y8)/(COUNT(F8:Y8)))</f>
        <v>9643.2150000000001</v>
      </c>
      <c r="AA8" s="103"/>
      <c r="AX8"/>
    </row>
    <row r="9" spans="2:50">
      <c r="B9" s="4" t="s">
        <v>3</v>
      </c>
      <c r="C9" s="21">
        <f>+C43/20</f>
        <v>19270</v>
      </c>
      <c r="D9" s="13"/>
      <c r="E9" s="40">
        <f>6224*1.6</f>
        <v>9958.4000000000015</v>
      </c>
      <c r="F9" s="35">
        <f>13813*1.64</f>
        <v>22653.32</v>
      </c>
      <c r="G9" s="35">
        <f>10615*1.64</f>
        <v>17408.599999999999</v>
      </c>
      <c r="H9" s="35">
        <f>15149*1.64</f>
        <v>24844.359999999997</v>
      </c>
      <c r="I9" s="35">
        <f>22057*1.6</f>
        <v>35291.200000000004</v>
      </c>
      <c r="J9" s="35">
        <v>22317</v>
      </c>
      <c r="K9" s="35">
        <v>9897</v>
      </c>
      <c r="L9" s="35">
        <v>16647</v>
      </c>
      <c r="M9" s="35">
        <v>18318</v>
      </c>
      <c r="N9" s="35">
        <v>20583</v>
      </c>
      <c r="O9" s="35">
        <v>34262</v>
      </c>
      <c r="P9" s="35">
        <f>2932*1.64</f>
        <v>4808.4799999999996</v>
      </c>
      <c r="Q9" s="35">
        <f>7345*1.64</f>
        <v>12045.8</v>
      </c>
      <c r="R9" s="35">
        <f>10665*1.64</f>
        <v>17490.599999999999</v>
      </c>
      <c r="S9" s="35">
        <f>11303*1.64</f>
        <v>18536.919999999998</v>
      </c>
      <c r="T9" s="35">
        <f>7747*1.64</f>
        <v>12705.08</v>
      </c>
      <c r="U9" s="35">
        <f>15657*1.64</f>
        <v>25677.48</v>
      </c>
      <c r="V9" s="35">
        <f>19507*1.64</f>
        <v>31991.48</v>
      </c>
      <c r="W9" s="35">
        <f>9130*1.64</f>
        <v>14973.199999999999</v>
      </c>
      <c r="X9" s="35">
        <f>8578*1.64</f>
        <v>14067.919999999998</v>
      </c>
      <c r="Y9" s="35">
        <f>14334*1.64</f>
        <v>23507.759999999998</v>
      </c>
      <c r="Z9" s="112">
        <f>(SUM(F9:Y9)/(COUNT(F9:Y9)))</f>
        <v>19901.310000000001</v>
      </c>
      <c r="AA9" s="103"/>
      <c r="AX9"/>
    </row>
    <row r="10" spans="2:50" ht="15.75" thickBot="1">
      <c r="B10" s="14" t="s">
        <v>27</v>
      </c>
      <c r="C10" s="20">
        <f>SUM(C6:C9)</f>
        <v>65745</v>
      </c>
      <c r="D10" s="10"/>
      <c r="E10" s="11">
        <f t="shared" ref="E10:Y10" si="0">SUM(E6:E9)</f>
        <v>26047.4</v>
      </c>
      <c r="F10" s="10">
        <f t="shared" si="0"/>
        <v>61718.32</v>
      </c>
      <c r="G10" s="10">
        <f t="shared" si="0"/>
        <v>57437</v>
      </c>
      <c r="H10" s="10">
        <f t="shared" si="0"/>
        <v>64215.259999999995</v>
      </c>
      <c r="I10" s="10">
        <f t="shared" si="0"/>
        <v>60670.600000000006</v>
      </c>
      <c r="J10" s="10">
        <f t="shared" si="0"/>
        <v>55326</v>
      </c>
      <c r="K10" s="10">
        <f t="shared" si="0"/>
        <v>43697</v>
      </c>
      <c r="L10" s="10">
        <f t="shared" si="0"/>
        <v>64770</v>
      </c>
      <c r="M10" s="10">
        <f t="shared" si="0"/>
        <v>56146</v>
      </c>
      <c r="N10" s="10">
        <f t="shared" si="0"/>
        <v>54803</v>
      </c>
      <c r="O10" s="10">
        <f t="shared" si="0"/>
        <v>73183</v>
      </c>
      <c r="P10" s="10">
        <f t="shared" si="0"/>
        <v>41005.58</v>
      </c>
      <c r="Q10" s="10">
        <f t="shared" si="0"/>
        <v>44068.800000000003</v>
      </c>
      <c r="R10" s="10">
        <f t="shared" si="0"/>
        <v>44464.1</v>
      </c>
      <c r="S10" s="10">
        <f t="shared" si="0"/>
        <v>69059.92</v>
      </c>
      <c r="T10" s="10">
        <f t="shared" si="0"/>
        <v>66498.58</v>
      </c>
      <c r="U10" s="10">
        <f t="shared" si="0"/>
        <v>79166.48</v>
      </c>
      <c r="V10" s="10">
        <f t="shared" si="0"/>
        <v>42576.479999999996</v>
      </c>
      <c r="W10" s="10">
        <f t="shared" si="0"/>
        <v>53931.199999999997</v>
      </c>
      <c r="X10" s="10">
        <f t="shared" si="0"/>
        <v>54268.92</v>
      </c>
      <c r="Y10" s="10">
        <f t="shared" si="0"/>
        <v>66348.259999999995</v>
      </c>
      <c r="Z10" s="67"/>
      <c r="AA10" s="10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(SUM(F10:Y10)/(COUNT(F10:Y10)))</f>
        <v>57667.724999999999</v>
      </c>
      <c r="AA11" s="104"/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4"/>
      <c r="AA12" s="104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04"/>
      <c r="AA13" s="104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  <c r="Z14" s="104"/>
      <c r="AA14" s="104"/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0.84581333333333331</v>
      </c>
      <c r="G15" s="25">
        <f t="shared" si="2"/>
        <v>1.1854933333333333</v>
      </c>
      <c r="H15" s="25">
        <f t="shared" si="2"/>
        <v>0.72181333333333331</v>
      </c>
      <c r="I15" s="25">
        <f t="shared" si="2"/>
        <v>0.60581333333333331</v>
      </c>
      <c r="J15" s="25">
        <f t="shared" si="2"/>
        <v>1.47648</v>
      </c>
      <c r="K15" s="25">
        <f t="shared" si="2"/>
        <v>1.3160000000000001</v>
      </c>
      <c r="L15" s="25">
        <f t="shared" si="2"/>
        <v>1.5014933333333333</v>
      </c>
      <c r="M15" s="25">
        <f t="shared" si="2"/>
        <v>1.07152</v>
      </c>
      <c r="N15" s="25">
        <f t="shared" si="2"/>
        <v>0.81440000000000001</v>
      </c>
      <c r="O15" s="25">
        <f t="shared" si="2"/>
        <v>0.7234666666666667</v>
      </c>
      <c r="P15" s="25">
        <f t="shared" si="2"/>
        <v>0.88250666666666666</v>
      </c>
      <c r="Q15" s="25">
        <f t="shared" si="2"/>
        <v>0.57674666666666674</v>
      </c>
      <c r="R15" s="25">
        <f t="shared" si="2"/>
        <v>0.56997333333333333</v>
      </c>
      <c r="S15" s="25">
        <f t="shared" si="2"/>
        <v>1.6766399999999999</v>
      </c>
      <c r="T15" s="25">
        <f t="shared" si="2"/>
        <v>1.5224533333333334</v>
      </c>
      <c r="U15" s="25">
        <f t="shared" si="2"/>
        <v>2.3494933333333332</v>
      </c>
      <c r="V15" s="25">
        <f t="shared" si="2"/>
        <v>0.16208</v>
      </c>
      <c r="W15" s="25">
        <f t="shared" si="2"/>
        <v>1.3961066666666666</v>
      </c>
      <c r="X15" s="25">
        <f t="shared" si="2"/>
        <v>1.8669866666666666</v>
      </c>
      <c r="Y15" s="25">
        <f t="shared" si="2"/>
        <v>0.57589333333333337</v>
      </c>
      <c r="Z15" s="104"/>
      <c r="AA15" s="104"/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0.83323076923076922</v>
      </c>
      <c r="G16" s="25">
        <f t="shared" si="2"/>
        <v>0.31969230769230772</v>
      </c>
      <c r="H16" s="25">
        <f t="shared" si="2"/>
        <v>0.83889230769230771</v>
      </c>
      <c r="I16" s="25">
        <f t="shared" si="2"/>
        <v>0.46092307692307688</v>
      </c>
      <c r="J16" s="25">
        <f t="shared" si="2"/>
        <v>0.12307692307692308</v>
      </c>
      <c r="K16" s="25">
        <f t="shared" si="2"/>
        <v>0.41230769230769226</v>
      </c>
      <c r="L16" s="25">
        <f t="shared" si="2"/>
        <v>0.66153846153846152</v>
      </c>
      <c r="M16" s="25">
        <f t="shared" si="2"/>
        <v>0.40584615384615386</v>
      </c>
      <c r="N16" s="25">
        <f t="shared" si="2"/>
        <v>0.50430769230769235</v>
      </c>
      <c r="O16" s="25">
        <f t="shared" si="2"/>
        <v>0.55661538461538462</v>
      </c>
      <c r="P16" s="25">
        <f t="shared" si="2"/>
        <v>0.24615384615384617</v>
      </c>
      <c r="Q16" s="25">
        <f t="shared" si="2"/>
        <v>0.22738461538461541</v>
      </c>
      <c r="R16" s="25">
        <f t="shared" si="2"/>
        <v>0.2304615384615385</v>
      </c>
      <c r="S16" s="25">
        <f t="shared" si="2"/>
        <v>0.62676923076923075</v>
      </c>
      <c r="T16" s="25">
        <f t="shared" si="2"/>
        <v>0.69661538461538464</v>
      </c>
      <c r="U16" s="25">
        <f t="shared" si="2"/>
        <v>0.16584615384615387</v>
      </c>
      <c r="V16" s="25">
        <f t="shared" si="2"/>
        <v>0.16584615384615387</v>
      </c>
      <c r="W16" s="25">
        <f t="shared" si="2"/>
        <v>0.42984615384615388</v>
      </c>
      <c r="X16" s="25">
        <f t="shared" si="2"/>
        <v>0.31969230769230772</v>
      </c>
      <c r="Y16" s="25">
        <f t="shared" si="2"/>
        <v>1.1867692307692308</v>
      </c>
      <c r="Z16" s="104"/>
      <c r="AA16" s="104"/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0.84235294117647053</v>
      </c>
      <c r="G17" s="25">
        <f t="shared" si="2"/>
        <v>1.0985098039215686</v>
      </c>
      <c r="H17" s="25">
        <f t="shared" si="2"/>
        <v>1.0636078431372549</v>
      </c>
      <c r="I17" s="25">
        <f t="shared" si="2"/>
        <v>0.56909803921568636</v>
      </c>
      <c r="J17" s="25">
        <f t="shared" si="2"/>
        <v>0.289760348583878</v>
      </c>
      <c r="K17" s="25">
        <f t="shared" si="2"/>
        <v>0.21132897603485834</v>
      </c>
      <c r="L17" s="25">
        <f t="shared" si="2"/>
        <v>0.80348583877995639</v>
      </c>
      <c r="M17" s="25">
        <f t="shared" si="2"/>
        <v>0.97098039215686271</v>
      </c>
      <c r="N17" s="25">
        <f t="shared" si="2"/>
        <v>0.93725490196078431</v>
      </c>
      <c r="O17" s="25">
        <f t="shared" si="2"/>
        <v>1.4214379084967321</v>
      </c>
      <c r="P17" s="25">
        <f t="shared" si="2"/>
        <v>1.363843137254902</v>
      </c>
      <c r="Q17" s="25">
        <f t="shared" si="2"/>
        <v>1.5262745098039217</v>
      </c>
      <c r="R17" s="25">
        <f t="shared" si="2"/>
        <v>1.0929411764705883</v>
      </c>
      <c r="S17" s="25">
        <f t="shared" si="2"/>
        <v>0.77568627450980387</v>
      </c>
      <c r="T17" s="25">
        <f t="shared" si="2"/>
        <v>1.2137254901960783</v>
      </c>
      <c r="U17" s="25">
        <f t="shared" si="2"/>
        <v>0.58745098039215682</v>
      </c>
      <c r="V17" s="25">
        <f t="shared" si="2"/>
        <v>0.42274509803921567</v>
      </c>
      <c r="W17" s="25">
        <f t="shared" si="2"/>
        <v>0.5050980392156863</v>
      </c>
      <c r="X17" s="25">
        <f t="shared" si="2"/>
        <v>0</v>
      </c>
      <c r="Y17" s="25">
        <f t="shared" si="2"/>
        <v>1.111764705882353</v>
      </c>
      <c r="Z17" s="104"/>
      <c r="AA17" s="104"/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1.1755744680851063</v>
      </c>
      <c r="G18" s="27">
        <f t="shared" si="2"/>
        <v>0.90340425531914881</v>
      </c>
      <c r="H18" s="27">
        <f t="shared" si="2"/>
        <v>1.2892765957446808</v>
      </c>
      <c r="I18" s="27">
        <f t="shared" si="2"/>
        <v>1.8314063310845876</v>
      </c>
      <c r="J18" s="27">
        <f t="shared" si="2"/>
        <v>1.1581214322781526</v>
      </c>
      <c r="K18" s="27">
        <f t="shared" si="2"/>
        <v>0.51359626362221067</v>
      </c>
      <c r="L18" s="27">
        <f t="shared" si="2"/>
        <v>0.86388168137000521</v>
      </c>
      <c r="M18" s="27">
        <f t="shared" si="2"/>
        <v>0.95059678256357028</v>
      </c>
      <c r="N18" s="27">
        <f t="shared" si="2"/>
        <v>1.0681370005189414</v>
      </c>
      <c r="O18" s="27">
        <f t="shared" si="2"/>
        <v>1.7779968863518423</v>
      </c>
      <c r="P18" s="27">
        <f t="shared" si="2"/>
        <v>0.24953191489361704</v>
      </c>
      <c r="Q18" s="27">
        <f t="shared" si="2"/>
        <v>0.62510638297872334</v>
      </c>
      <c r="R18" s="27">
        <f t="shared" si="2"/>
        <v>0.90765957446808498</v>
      </c>
      <c r="S18" s="27">
        <f t="shared" si="2"/>
        <v>0.96195744680851059</v>
      </c>
      <c r="T18" s="27">
        <f t="shared" si="2"/>
        <v>0.65931914893617027</v>
      </c>
      <c r="U18" s="27">
        <f t="shared" si="2"/>
        <v>1.3325106382978724</v>
      </c>
      <c r="V18" s="27">
        <f t="shared" si="2"/>
        <v>1.6601702127659574</v>
      </c>
      <c r="W18" s="27">
        <f t="shared" si="2"/>
        <v>0.7770212765957446</v>
      </c>
      <c r="X18" s="27">
        <f t="shared" si="2"/>
        <v>0.73004255319148925</v>
      </c>
      <c r="Y18" s="27">
        <f t="shared" si="2"/>
        <v>1.2199148936170212</v>
      </c>
      <c r="Z18" s="104"/>
      <c r="AA18" s="104"/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0.9387530610692828</v>
      </c>
      <c r="G19" s="25">
        <f t="shared" si="2"/>
        <v>0.87363297589170275</v>
      </c>
      <c r="H19" s="25">
        <f t="shared" si="2"/>
        <v>0.97673222298273621</v>
      </c>
      <c r="I19" s="25">
        <f t="shared" si="2"/>
        <v>0.92281694425431604</v>
      </c>
      <c r="J19" s="25">
        <f>(J10-$C10)/$C10+1</f>
        <v>0.84152407027150355</v>
      </c>
      <c r="K19" s="25">
        <f>(K10-$C10)/$C10+1</f>
        <v>0.66464369914061905</v>
      </c>
      <c r="L19" s="25">
        <f>(L10-$C10)/$C10+1</f>
        <v>0.98516997490303448</v>
      </c>
      <c r="M19" s="25">
        <f t="shared" si="2"/>
        <v>0.85399650163510532</v>
      </c>
      <c r="N19" s="25">
        <f t="shared" si="2"/>
        <v>0.83356909270666968</v>
      </c>
      <c r="O19" s="25">
        <f t="shared" si="2"/>
        <v>1.1131340786371586</v>
      </c>
      <c r="P19" s="25">
        <f t="shared" si="2"/>
        <v>0.62370644155449084</v>
      </c>
      <c r="Q19" s="25">
        <f t="shared" si="2"/>
        <v>0.67029888204426191</v>
      </c>
      <c r="R19" s="25">
        <f t="shared" si="2"/>
        <v>0.67631150657844707</v>
      </c>
      <c r="S19" s="25">
        <f>(S10-$C10)/$C10+1</f>
        <v>1.0504208685071108</v>
      </c>
      <c r="T19" s="25">
        <f>(T10-$C10)/$C10+1</f>
        <v>1.0114621644231501</v>
      </c>
      <c r="U19" s="25">
        <f>(U10-$C10)/$C10+1</f>
        <v>1.2041444976804319</v>
      </c>
      <c r="V19" s="25">
        <f>(V10-$C10)/$C10+1</f>
        <v>0.64760027378507867</v>
      </c>
      <c r="W19" s="25">
        <f>(W10-$C10)/$C10+1</f>
        <v>0.82030876872765979</v>
      </c>
      <c r="X19" s="25">
        <f t="shared" si="2"/>
        <v>0.82544558521560574</v>
      </c>
      <c r="Y19" s="25">
        <f t="shared" si="2"/>
        <v>1.0091757548102516</v>
      </c>
      <c r="Z19" s="104"/>
      <c r="AA19" s="104"/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03"/>
      <c r="AA20" s="103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105" t="s">
        <v>39</v>
      </c>
      <c r="AA21" s="106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107" t="s">
        <v>40</v>
      </c>
      <c r="AA22" s="108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18183</v>
      </c>
      <c r="G23" s="34">
        <v>40411</v>
      </c>
      <c r="H23" s="34">
        <v>53945</v>
      </c>
      <c r="I23" s="23">
        <v>62342</v>
      </c>
      <c r="J23" s="23">
        <v>90664</v>
      </c>
      <c r="K23" s="23">
        <v>117663</v>
      </c>
      <c r="L23" s="23">
        <v>142854</v>
      </c>
      <c r="M23" s="23">
        <v>162945</v>
      </c>
      <c r="N23" s="23">
        <v>178215</v>
      </c>
      <c r="O23" s="23">
        <v>196575</v>
      </c>
      <c r="P23" s="23">
        <v>213122</v>
      </c>
      <c r="Q23" s="23">
        <v>223936</v>
      </c>
      <c r="R23" s="23">
        <v>231838</v>
      </c>
      <c r="S23" s="23">
        <v>260313</v>
      </c>
      <c r="T23" s="23">
        <v>288859</v>
      </c>
      <c r="U23" s="23">
        <v>332912</v>
      </c>
      <c r="V23" s="23">
        <v>335951</v>
      </c>
      <c r="W23" s="23">
        <v>362128</v>
      </c>
      <c r="X23" s="23">
        <v>390712</v>
      </c>
      <c r="Y23" s="23">
        <v>380868</v>
      </c>
      <c r="Z23" s="109">
        <f>+Y23/C40</f>
        <v>1.0156480000000001</v>
      </c>
      <c r="AA23" s="97">
        <f>+Z23-Y$21</f>
        <v>1.5648000000000106E-2</v>
      </c>
      <c r="AX23"/>
    </row>
    <row r="24" spans="2:50">
      <c r="B24" s="4" t="str">
        <f>+B16</f>
        <v>Boston</v>
      </c>
      <c r="C24" s="4"/>
      <c r="D24" s="4"/>
      <c r="E24" s="23"/>
      <c r="F24" s="34">
        <v>2697</v>
      </c>
      <c r="G24" s="34">
        <v>8087</v>
      </c>
      <c r="H24" s="34">
        <v>16729</v>
      </c>
      <c r="I24" s="34">
        <v>26319</v>
      </c>
      <c r="J24" s="34">
        <v>41857</v>
      </c>
      <c r="K24" s="34">
        <v>35019</v>
      </c>
      <c r="L24" s="34">
        <v>45769</v>
      </c>
      <c r="M24" s="34">
        <v>52364</v>
      </c>
      <c r="N24" s="34">
        <v>60559</v>
      </c>
      <c r="O24" s="34">
        <v>69604</v>
      </c>
      <c r="P24" s="34">
        <v>73604</v>
      </c>
      <c r="Q24" s="23">
        <v>77299</v>
      </c>
      <c r="R24" s="23">
        <v>81044</v>
      </c>
      <c r="S24" s="23">
        <v>91229</v>
      </c>
      <c r="T24" s="23">
        <f>+S24+11320</f>
        <v>102549</v>
      </c>
      <c r="U24" s="23">
        <v>105244</v>
      </c>
      <c r="V24" s="121">
        <v>107939</v>
      </c>
      <c r="W24" s="23">
        <v>114924</v>
      </c>
      <c r="X24" s="23">
        <v>117424</v>
      </c>
      <c r="Y24" s="23">
        <v>105609</v>
      </c>
      <c r="Z24" s="109">
        <f>+Y24/C41</f>
        <v>0.32495076923076921</v>
      </c>
      <c r="AA24" s="79">
        <f>+Z24-Y$21</f>
        <v>-0.67504923076923085</v>
      </c>
      <c r="AX24"/>
    </row>
    <row r="25" spans="2:50" s="4" customFormat="1" ht="12.75">
      <c r="B25" s="4" t="str">
        <f>+B17</f>
        <v>Canada</v>
      </c>
      <c r="E25" s="23"/>
      <c r="F25" s="34">
        <f>7390*0.9</f>
        <v>6651</v>
      </c>
      <c r="G25" s="34">
        <f>21396*0.9</f>
        <v>19256.400000000001</v>
      </c>
      <c r="H25" s="34">
        <f>34957*0.9</f>
        <v>31461.3</v>
      </c>
      <c r="I25" s="34">
        <f>42035*0.9</f>
        <v>37831.5</v>
      </c>
      <c r="J25" s="34">
        <v>44172</v>
      </c>
      <c r="K25" s="34">
        <v>46008</v>
      </c>
      <c r="L25" s="34">
        <v>53338</v>
      </c>
      <c r="M25" s="34">
        <v>57654</v>
      </c>
      <c r="N25" s="34">
        <v>75236</v>
      </c>
      <c r="O25" s="34">
        <v>91548</v>
      </c>
      <c r="P25" s="34">
        <f>119109*0.9</f>
        <v>107198.1</v>
      </c>
      <c r="Q25" s="34">
        <f>138569*0.9</f>
        <v>124712.1</v>
      </c>
      <c r="R25" s="34">
        <f>152504*0.9</f>
        <v>137253.6</v>
      </c>
      <c r="S25" s="34">
        <f>162394*0.9</f>
        <v>146154.6</v>
      </c>
      <c r="T25" s="34">
        <f>175174*0.9</f>
        <v>157656.6</v>
      </c>
      <c r="U25" s="34">
        <f>187359*0.9</f>
        <v>168623.1</v>
      </c>
      <c r="V25" s="121">
        <f>168268+4851</f>
        <v>173119</v>
      </c>
      <c r="W25" s="34">
        <f>194999*0.9</f>
        <v>175499.1</v>
      </c>
      <c r="X25" s="34">
        <f>194999*0.9</f>
        <v>175499.1</v>
      </c>
      <c r="Y25" s="34">
        <v>180260</v>
      </c>
      <c r="Z25" s="109">
        <f>Y25/C42</f>
        <v>0.78544662309368196</v>
      </c>
      <c r="AA25" s="79">
        <f>+Z25-Y$21</f>
        <v>-0.21455337690631804</v>
      </c>
    </row>
    <row r="26" spans="2:50">
      <c r="B26" s="5" t="str">
        <f>+B18</f>
        <v>Norwich</v>
      </c>
      <c r="C26" s="19"/>
      <c r="D26" s="19"/>
      <c r="E26" s="35"/>
      <c r="F26" s="35">
        <f>9134*1.64</f>
        <v>14979.759999999998</v>
      </c>
      <c r="G26" s="35">
        <f>19575*1.64</f>
        <v>32102.999999999996</v>
      </c>
      <c r="H26" s="35">
        <f>33480*1.64</f>
        <v>54907.199999999997</v>
      </c>
      <c r="I26" s="35">
        <f>56781*1.6</f>
        <v>90849.600000000006</v>
      </c>
      <c r="J26" s="35">
        <v>114071</v>
      </c>
      <c r="K26" s="35">
        <v>125335</v>
      </c>
      <c r="L26" s="35">
        <v>141983</v>
      </c>
      <c r="M26" s="35">
        <v>160301</v>
      </c>
      <c r="N26" s="35">
        <v>180885</v>
      </c>
      <c r="O26" s="35">
        <v>212698</v>
      </c>
      <c r="P26" s="35">
        <f>132063*1.64</f>
        <v>216583.31999999998</v>
      </c>
      <c r="Q26" s="35">
        <f>138164*1.64</f>
        <v>226588.96</v>
      </c>
      <c r="R26" s="35">
        <f>148148*1.64</f>
        <v>242962.71999999997</v>
      </c>
      <c r="S26" s="35">
        <f>159450*1.64</f>
        <v>261497.99999999997</v>
      </c>
      <c r="T26" s="35">
        <f>172081*1.64</f>
        <v>282212.83999999997</v>
      </c>
      <c r="U26" s="35">
        <f>172081*1.64</f>
        <v>282212.83999999997</v>
      </c>
      <c r="V26" s="35">
        <f>177538*1.64</f>
        <v>291162.32</v>
      </c>
      <c r="W26" s="35">
        <f>186360*1.64</f>
        <v>305630.39999999997</v>
      </c>
      <c r="X26" s="35">
        <f>187555*1.64</f>
        <v>307590.19999999995</v>
      </c>
      <c r="Y26" s="35">
        <v>307368</v>
      </c>
      <c r="Z26" s="110">
        <f>+Y26/C43</f>
        <v>0.79752983912817854</v>
      </c>
      <c r="AA26" s="79">
        <f>+Z26-Y$21</f>
        <v>-0.20247016087182146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42510.759999999995</v>
      </c>
      <c r="G27" s="10">
        <f t="shared" ref="G27:Y27" si="5">SUM(G23:G26)</f>
        <v>99857.4</v>
      </c>
      <c r="H27" s="10">
        <f t="shared" si="5"/>
        <v>157042.5</v>
      </c>
      <c r="I27" s="4">
        <f t="shared" si="5"/>
        <v>217342.1</v>
      </c>
      <c r="J27" s="4">
        <f t="shared" si="5"/>
        <v>290764</v>
      </c>
      <c r="K27" s="10">
        <f t="shared" si="5"/>
        <v>324025</v>
      </c>
      <c r="L27" s="10">
        <f t="shared" si="5"/>
        <v>383944</v>
      </c>
      <c r="M27" s="10">
        <f t="shared" si="5"/>
        <v>433264</v>
      </c>
      <c r="N27" s="10">
        <f t="shared" si="5"/>
        <v>494895</v>
      </c>
      <c r="O27" s="4">
        <f>SUM(O23:O26)</f>
        <v>570425</v>
      </c>
      <c r="P27" s="10">
        <f t="shared" si="5"/>
        <v>610507.41999999993</v>
      </c>
      <c r="Q27" s="10">
        <f t="shared" si="5"/>
        <v>652536.05999999994</v>
      </c>
      <c r="R27" s="10">
        <f t="shared" si="5"/>
        <v>693098.32</v>
      </c>
      <c r="S27" s="10">
        <f t="shared" si="5"/>
        <v>759194.6</v>
      </c>
      <c r="T27" s="4">
        <f t="shared" si="5"/>
        <v>831277.44</v>
      </c>
      <c r="U27" s="10">
        <f t="shared" si="5"/>
        <v>888991.94</v>
      </c>
      <c r="V27" s="10">
        <f t="shared" si="5"/>
        <v>908171.32000000007</v>
      </c>
      <c r="W27" s="10">
        <f t="shared" si="5"/>
        <v>958181.5</v>
      </c>
      <c r="X27" s="10">
        <f t="shared" si="5"/>
        <v>991225.29999999993</v>
      </c>
      <c r="Y27" s="10">
        <f t="shared" si="5"/>
        <v>974105</v>
      </c>
      <c r="Z27" s="111">
        <f>+Y27/C44</f>
        <v>0.7408205947220321</v>
      </c>
      <c r="AA27" s="84">
        <f>+Z27-Y$21</f>
        <v>-0.2591794052779679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3.2330032702106618E-2</v>
      </c>
      <c r="G28" s="30">
        <f t="shared" si="6"/>
        <v>7.5942961441934742E-2</v>
      </c>
      <c r="H28" s="30">
        <f t="shared" si="6"/>
        <v>0.1194330367328314</v>
      </c>
      <c r="I28" s="30">
        <f t="shared" si="6"/>
        <v>0.16529173321165108</v>
      </c>
      <c r="J28" s="30">
        <f t="shared" si="6"/>
        <v>0.22113012396379952</v>
      </c>
      <c r="K28" s="30">
        <f t="shared" si="6"/>
        <v>0.24642558369457754</v>
      </c>
      <c r="L28" s="30">
        <f t="shared" si="6"/>
        <v>0.29199482850406877</v>
      </c>
      <c r="M28" s="30">
        <f t="shared" si="6"/>
        <v>0.32950338428777853</v>
      </c>
      <c r="N28" s="30">
        <f t="shared" si="6"/>
        <v>0.37637462924937259</v>
      </c>
      <c r="O28" s="30">
        <f>+O27/$C$44</f>
        <v>0.43381625979161914</v>
      </c>
      <c r="P28" s="30">
        <f t="shared" ref="P28:Y28" si="7">+P27/$C$44</f>
        <v>0.46429950566583006</v>
      </c>
      <c r="Q28" s="30">
        <f t="shared" si="7"/>
        <v>0.49626287930641111</v>
      </c>
      <c r="R28" s="30">
        <f t="shared" si="7"/>
        <v>0.52711105026998251</v>
      </c>
      <c r="S28" s="30">
        <f t="shared" si="7"/>
        <v>0.57737820366567794</v>
      </c>
      <c r="T28" s="30">
        <f t="shared" si="7"/>
        <v>0.63219822039698836</v>
      </c>
      <c r="U28" s="30">
        <f t="shared" si="7"/>
        <v>0.6760909118564149</v>
      </c>
      <c r="V28" s="30">
        <f t="shared" si="7"/>
        <v>0.69067710092022216</v>
      </c>
      <c r="W28" s="30">
        <f t="shared" si="7"/>
        <v>0.7287105483306715</v>
      </c>
      <c r="X28" s="30">
        <f t="shared" si="7"/>
        <v>0.7538408243972925</v>
      </c>
      <c r="Y28" s="30">
        <f t="shared" si="7"/>
        <v>0.7408205947220321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0.96975999999999996</v>
      </c>
      <c r="G32" s="17">
        <f t="shared" si="9"/>
        <v>1.0776266666666667</v>
      </c>
      <c r="H32" s="17">
        <f t="shared" si="9"/>
        <v>0.95902222222222233</v>
      </c>
      <c r="I32" s="17">
        <f t="shared" si="9"/>
        <v>0.83122666666666667</v>
      </c>
      <c r="J32" s="17">
        <f t="shared" si="9"/>
        <v>0.96708266666666665</v>
      </c>
      <c r="K32" s="17">
        <f t="shared" si="9"/>
        <v>1.0458933333333333</v>
      </c>
      <c r="L32" s="17">
        <f t="shared" si="9"/>
        <v>1.0884114285714286</v>
      </c>
      <c r="M32" s="17">
        <f t="shared" si="9"/>
        <v>1.0863</v>
      </c>
      <c r="N32" s="17">
        <f t="shared" si="9"/>
        <v>1.0560888888888891</v>
      </c>
      <c r="O32" s="17">
        <f t="shared" si="9"/>
        <v>1.0484</v>
      </c>
      <c r="P32" s="17">
        <f t="shared" si="9"/>
        <v>1.0333187878787877</v>
      </c>
      <c r="Q32" s="17">
        <f t="shared" si="9"/>
        <v>0.995271111111111</v>
      </c>
      <c r="R32" s="17">
        <f t="shared" si="9"/>
        <v>0.9511302564102565</v>
      </c>
      <c r="S32" s="17">
        <f t="shared" si="9"/>
        <v>0.99166857142857134</v>
      </c>
      <c r="T32" s="17">
        <f t="shared" si="9"/>
        <v>1.0270542222222221</v>
      </c>
      <c r="U32" s="17">
        <f t="shared" si="9"/>
        <v>1.1097066666666666</v>
      </c>
      <c r="V32" s="17">
        <f t="shared" si="9"/>
        <v>1.0539639215686274</v>
      </c>
      <c r="W32" s="17">
        <f t="shared" si="9"/>
        <v>1.0729718518518518</v>
      </c>
      <c r="X32" s="17">
        <f t="shared" si="9"/>
        <v>1.0967354385964911</v>
      </c>
      <c r="Y32" s="17">
        <f t="shared" si="9"/>
        <v>1.0156480000000001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0.16596923076923076</v>
      </c>
      <c r="G33" s="17">
        <f t="shared" si="10"/>
        <v>0.24883076923076924</v>
      </c>
      <c r="H33" s="17">
        <f t="shared" si="10"/>
        <v>0.34315897435897436</v>
      </c>
      <c r="I33" s="17">
        <f t="shared" si="10"/>
        <v>0.4049076923076923</v>
      </c>
      <c r="J33" s="17">
        <f t="shared" si="10"/>
        <v>0.51516307692307695</v>
      </c>
      <c r="K33" s="17">
        <f t="shared" si="10"/>
        <v>0.3591692307692308</v>
      </c>
      <c r="L33" s="17">
        <f t="shared" si="10"/>
        <v>0.40236483516483518</v>
      </c>
      <c r="M33" s="17">
        <f t="shared" si="10"/>
        <v>0.40279999999999999</v>
      </c>
      <c r="N33" s="17">
        <f t="shared" si="10"/>
        <v>0.41407863247863252</v>
      </c>
      <c r="O33" s="17">
        <f t="shared" si="10"/>
        <v>0.42833230769230768</v>
      </c>
      <c r="P33" s="17">
        <f t="shared" si="10"/>
        <v>0.4117706293706293</v>
      </c>
      <c r="Q33" s="17">
        <f t="shared" si="10"/>
        <v>0.39640512820512819</v>
      </c>
      <c r="R33" s="17">
        <f t="shared" si="10"/>
        <v>0.38364023668639047</v>
      </c>
      <c r="S33" s="17">
        <f t="shared" si="10"/>
        <v>0.40100659340659345</v>
      </c>
      <c r="T33" s="17">
        <f t="shared" si="10"/>
        <v>0.42071384615384616</v>
      </c>
      <c r="U33" s="17">
        <f t="shared" si="10"/>
        <v>0.40478461538461541</v>
      </c>
      <c r="V33" s="17">
        <f t="shared" si="10"/>
        <v>0.39072941176470583</v>
      </c>
      <c r="W33" s="17">
        <f t="shared" si="10"/>
        <v>0.39290256410256413</v>
      </c>
      <c r="X33" s="17">
        <f t="shared" si="10"/>
        <v>0.38032064777327934</v>
      </c>
      <c r="Y33" s="17">
        <f t="shared" si="10"/>
        <v>0.32495076923076921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0.57960784313725489</v>
      </c>
      <c r="G34" s="17">
        <f t="shared" si="11"/>
        <v>0.83905882352941175</v>
      </c>
      <c r="H34" s="17">
        <f t="shared" si="11"/>
        <v>0.91390849673202612</v>
      </c>
      <c r="I34" s="17">
        <f t="shared" si="11"/>
        <v>0.82421568627450981</v>
      </c>
      <c r="J34" s="17">
        <f t="shared" si="11"/>
        <v>0.76988235294117646</v>
      </c>
      <c r="K34" s="17">
        <f t="shared" si="11"/>
        <v>0.66823529411764704</v>
      </c>
      <c r="L34" s="17">
        <f t="shared" si="11"/>
        <v>0.66402738873327105</v>
      </c>
      <c r="M34" s="17">
        <f t="shared" si="11"/>
        <v>0.62803921568627452</v>
      </c>
      <c r="N34" s="17">
        <f t="shared" si="11"/>
        <v>0.72850157346889366</v>
      </c>
      <c r="O34" s="17">
        <f t="shared" si="11"/>
        <v>0.79780392156862745</v>
      </c>
      <c r="P34" s="17">
        <f t="shared" si="11"/>
        <v>0.8492620320855615</v>
      </c>
      <c r="Q34" s="17">
        <f t="shared" si="11"/>
        <v>0.90567973856209161</v>
      </c>
      <c r="R34" s="17">
        <f t="shared" si="11"/>
        <v>0.92008446455505288</v>
      </c>
      <c r="S34" s="17">
        <f t="shared" si="11"/>
        <v>0.90977030812324933</v>
      </c>
      <c r="T34" s="17">
        <f t="shared" si="11"/>
        <v>0.91594248366013076</v>
      </c>
      <c r="U34" s="17">
        <f t="shared" si="11"/>
        <v>0.91842647058823534</v>
      </c>
      <c r="V34" s="17">
        <f t="shared" si="11"/>
        <v>0.88744841727540691</v>
      </c>
      <c r="W34" s="17">
        <f t="shared" si="11"/>
        <v>0.84966884531590414</v>
      </c>
      <c r="X34" s="17">
        <f t="shared" si="11"/>
        <v>0.80494943240454087</v>
      </c>
      <c r="Y34" s="17">
        <f t="shared" si="11"/>
        <v>0.78544662309368196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0.77736170212765943</v>
      </c>
      <c r="G35" s="18">
        <f t="shared" si="12"/>
        <v>0.83297872340425516</v>
      </c>
      <c r="H35" s="18">
        <f t="shared" si="12"/>
        <v>0.94978723404255305</v>
      </c>
      <c r="I35" s="18">
        <f t="shared" si="12"/>
        <v>1.1786403736377788</v>
      </c>
      <c r="J35" s="18">
        <f t="shared" si="12"/>
        <v>1.1839231966787753</v>
      </c>
      <c r="K35" s="18">
        <f t="shared" si="12"/>
        <v>1.0840252551461687</v>
      </c>
      <c r="L35" s="18">
        <f t="shared" si="12"/>
        <v>1.0525835866261397</v>
      </c>
      <c r="M35" s="18">
        <f t="shared" si="12"/>
        <v>1.0398352361183187</v>
      </c>
      <c r="N35" s="18">
        <f t="shared" si="12"/>
        <v>1.0429856426223836</v>
      </c>
      <c r="O35" s="18">
        <f t="shared" si="12"/>
        <v>1.1037778930980799</v>
      </c>
      <c r="P35" s="18">
        <f t="shared" si="12"/>
        <v>1.0217640232108318</v>
      </c>
      <c r="Q35" s="18">
        <f t="shared" si="12"/>
        <v>0.979886524822695</v>
      </c>
      <c r="R35" s="18">
        <f t="shared" si="12"/>
        <v>0.96987234042553183</v>
      </c>
      <c r="S35" s="18">
        <f t="shared" si="12"/>
        <v>0.96930091185410316</v>
      </c>
      <c r="T35" s="18">
        <f t="shared" si="12"/>
        <v>0.97634609929077998</v>
      </c>
      <c r="U35" s="18">
        <f t="shared" si="12"/>
        <v>0.91532446808510615</v>
      </c>
      <c r="V35" s="18">
        <f t="shared" si="12"/>
        <v>0.88880100125156436</v>
      </c>
      <c r="W35" s="18">
        <f t="shared" si="12"/>
        <v>0.88113475177304945</v>
      </c>
      <c r="X35" s="18">
        <f t="shared" si="12"/>
        <v>0.84011198208286664</v>
      </c>
      <c r="Y35" s="18">
        <f t="shared" si="12"/>
        <v>0.79752983912817854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0.64660065404213241</v>
      </c>
      <c r="G36" s="17">
        <f t="shared" si="13"/>
        <v>0.75942961441934753</v>
      </c>
      <c r="H36" s="17">
        <f t="shared" si="13"/>
        <v>0.79622024488554266</v>
      </c>
      <c r="I36" s="17">
        <f t="shared" si="13"/>
        <v>0.82645866605825535</v>
      </c>
      <c r="J36" s="17">
        <f t="shared" si="13"/>
        <v>0.8845204958551981</v>
      </c>
      <c r="K36" s="17">
        <f t="shared" si="13"/>
        <v>0.82141861231525859</v>
      </c>
      <c r="L36" s="17">
        <f t="shared" si="13"/>
        <v>0.83427093858305346</v>
      </c>
      <c r="M36" s="17">
        <f t="shared" si="13"/>
        <v>0.82375846071944636</v>
      </c>
      <c r="N36" s="17">
        <f t="shared" si="13"/>
        <v>0.83638806499860574</v>
      </c>
      <c r="O36" s="17">
        <f t="shared" si="13"/>
        <v>0.86763251958323828</v>
      </c>
      <c r="P36" s="17">
        <f t="shared" si="13"/>
        <v>0.84418091939241824</v>
      </c>
      <c r="Q36" s="17">
        <f t="shared" si="13"/>
        <v>0.82710479884401844</v>
      </c>
      <c r="R36" s="17">
        <f t="shared" si="13"/>
        <v>0.81094007733843465</v>
      </c>
      <c r="S36" s="17">
        <f t="shared" si="13"/>
        <v>0.8248260052366827</v>
      </c>
      <c r="T36" s="17">
        <f t="shared" si="13"/>
        <v>0.84293096052931771</v>
      </c>
      <c r="U36" s="17">
        <f t="shared" si="13"/>
        <v>0.84511363982051857</v>
      </c>
      <c r="V36" s="17">
        <f t="shared" si="13"/>
        <v>0.81256129520026132</v>
      </c>
      <c r="W36" s="17">
        <f t="shared" si="13"/>
        <v>0.80967838703407935</v>
      </c>
      <c r="X36" s="17">
        <f t="shared" si="13"/>
        <v>0.79351665726030796</v>
      </c>
      <c r="Y36" s="17">
        <f t="shared" si="13"/>
        <v>0.7408205947220321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375000</v>
      </c>
      <c r="D40" s="4"/>
      <c r="E40" s="4"/>
      <c r="F40" s="55">
        <f t="shared" ref="F40:Y43" si="15">(F23)/F$1*$Y$1</f>
        <v>363660</v>
      </c>
      <c r="G40" s="55">
        <f t="shared" si="15"/>
        <v>404110</v>
      </c>
      <c r="H40" s="55">
        <f t="shared" si="15"/>
        <v>359633.33333333337</v>
      </c>
      <c r="I40" s="55">
        <f t="shared" si="15"/>
        <v>311710</v>
      </c>
      <c r="J40" s="55">
        <f t="shared" si="15"/>
        <v>362656</v>
      </c>
      <c r="K40" s="55">
        <f t="shared" si="15"/>
        <v>392210</v>
      </c>
      <c r="L40" s="55">
        <f t="shared" si="15"/>
        <v>408154.28571428574</v>
      </c>
      <c r="M40" s="55">
        <f t="shared" si="15"/>
        <v>407362.5</v>
      </c>
      <c r="N40" s="55">
        <f t="shared" si="15"/>
        <v>396033.33333333337</v>
      </c>
      <c r="O40" s="55">
        <f t="shared" si="15"/>
        <v>393150</v>
      </c>
      <c r="P40" s="55">
        <f t="shared" si="15"/>
        <v>387494.54545454541</v>
      </c>
      <c r="Q40" s="55">
        <f t="shared" si="15"/>
        <v>373226.66666666663</v>
      </c>
      <c r="R40" s="55">
        <f t="shared" si="15"/>
        <v>356673.84615384619</v>
      </c>
      <c r="S40" s="55">
        <f t="shared" si="15"/>
        <v>371875.71428571426</v>
      </c>
      <c r="T40" s="55">
        <f t="shared" si="15"/>
        <v>385145.33333333331</v>
      </c>
      <c r="U40" s="55">
        <f t="shared" si="15"/>
        <v>416140</v>
      </c>
      <c r="V40" s="55">
        <f t="shared" si="15"/>
        <v>395236.4705882353</v>
      </c>
      <c r="W40" s="55">
        <f t="shared" si="15"/>
        <v>402364.44444444444</v>
      </c>
      <c r="X40" s="55">
        <f>(X23)/X$1*$Y$1</f>
        <v>411275.78947368421</v>
      </c>
      <c r="Y40" s="55">
        <f t="shared" si="15"/>
        <v>380868</v>
      </c>
      <c r="AX40"/>
    </row>
    <row r="41" spans="2:50">
      <c r="B41" s="4" t="s">
        <v>1</v>
      </c>
      <c r="C41" s="37">
        <v>325000</v>
      </c>
      <c r="D41" s="4"/>
      <c r="E41" s="4"/>
      <c r="F41" s="55">
        <f t="shared" si="15"/>
        <v>53940</v>
      </c>
      <c r="G41" s="55">
        <f t="shared" si="15"/>
        <v>80870</v>
      </c>
      <c r="H41" s="55">
        <f t="shared" si="15"/>
        <v>111526.66666666666</v>
      </c>
      <c r="I41" s="55">
        <f t="shared" si="15"/>
        <v>131595</v>
      </c>
      <c r="J41" s="55">
        <f t="shared" si="15"/>
        <v>167428</v>
      </c>
      <c r="K41" s="55">
        <f t="shared" si="15"/>
        <v>116730</v>
      </c>
      <c r="L41" s="55">
        <f t="shared" si="15"/>
        <v>130768.57142857143</v>
      </c>
      <c r="M41" s="55">
        <f t="shared" si="15"/>
        <v>130910</v>
      </c>
      <c r="N41" s="55">
        <f t="shared" si="15"/>
        <v>134575.55555555556</v>
      </c>
      <c r="O41" s="55">
        <f t="shared" si="15"/>
        <v>139208</v>
      </c>
      <c r="P41" s="55">
        <f t="shared" si="15"/>
        <v>133825.45454545453</v>
      </c>
      <c r="Q41" s="55">
        <f t="shared" si="15"/>
        <v>128831.66666666666</v>
      </c>
      <c r="R41" s="55">
        <f t="shared" si="15"/>
        <v>124683.07692307691</v>
      </c>
      <c r="S41" s="55">
        <f t="shared" si="15"/>
        <v>130327.14285714287</v>
      </c>
      <c r="T41" s="55">
        <f t="shared" si="15"/>
        <v>136732</v>
      </c>
      <c r="U41" s="55">
        <f t="shared" si="15"/>
        <v>131555</v>
      </c>
      <c r="V41" s="55">
        <f t="shared" si="15"/>
        <v>126987.0588235294</v>
      </c>
      <c r="W41" s="55">
        <f t="shared" si="15"/>
        <v>127693.33333333334</v>
      </c>
      <c r="X41" s="55">
        <f t="shared" si="15"/>
        <v>123604.21052631579</v>
      </c>
      <c r="Y41" s="55">
        <f t="shared" si="15"/>
        <v>105609</v>
      </c>
      <c r="AX41"/>
    </row>
    <row r="42" spans="2:50">
      <c r="B42" s="4" t="s">
        <v>2</v>
      </c>
      <c r="C42" s="37">
        <f>255000*0.9</f>
        <v>229500</v>
      </c>
      <c r="D42" s="4"/>
      <c r="E42" s="4"/>
      <c r="F42" s="55">
        <f t="shared" si="15"/>
        <v>133020</v>
      </c>
      <c r="G42" s="55">
        <f t="shared" si="15"/>
        <v>192564</v>
      </c>
      <c r="H42" s="55">
        <f t="shared" si="15"/>
        <v>209742</v>
      </c>
      <c r="I42" s="55">
        <f t="shared" si="15"/>
        <v>189157.5</v>
      </c>
      <c r="J42" s="55">
        <f t="shared" si="15"/>
        <v>176688</v>
      </c>
      <c r="K42" s="55">
        <f t="shared" si="15"/>
        <v>153360</v>
      </c>
      <c r="L42" s="55">
        <f t="shared" si="15"/>
        <v>152394.28571428571</v>
      </c>
      <c r="M42" s="55">
        <f t="shared" si="15"/>
        <v>144135</v>
      </c>
      <c r="N42" s="55">
        <f t="shared" si="15"/>
        <v>167191.11111111109</v>
      </c>
      <c r="O42" s="55">
        <f t="shared" si="15"/>
        <v>183096</v>
      </c>
      <c r="P42" s="55">
        <f t="shared" si="15"/>
        <v>194905.63636363635</v>
      </c>
      <c r="Q42" s="55">
        <f t="shared" si="15"/>
        <v>207853.50000000003</v>
      </c>
      <c r="R42" s="55">
        <f t="shared" si="15"/>
        <v>211159.38461538462</v>
      </c>
      <c r="S42" s="55">
        <f t="shared" si="15"/>
        <v>208792.28571428571</v>
      </c>
      <c r="T42" s="55">
        <f t="shared" si="15"/>
        <v>210208.80000000002</v>
      </c>
      <c r="U42" s="55">
        <f t="shared" si="15"/>
        <v>210778.875</v>
      </c>
      <c r="V42" s="55">
        <f t="shared" si="15"/>
        <v>203669.41176470587</v>
      </c>
      <c r="W42" s="55">
        <f t="shared" si="15"/>
        <v>194999</v>
      </c>
      <c r="X42" s="55">
        <f t="shared" si="15"/>
        <v>184735.89473684214</v>
      </c>
      <c r="Y42" s="55">
        <f t="shared" si="15"/>
        <v>180260</v>
      </c>
      <c r="AA42" s="48"/>
    </row>
    <row r="43" spans="2:50">
      <c r="B43" s="4" t="s">
        <v>3</v>
      </c>
      <c r="C43" s="38">
        <f>235000*1.64</f>
        <v>385400</v>
      </c>
      <c r="D43" s="19"/>
      <c r="E43" s="19"/>
      <c r="F43" s="98">
        <f t="shared" si="15"/>
        <v>299595.19999999995</v>
      </c>
      <c r="G43" s="98">
        <f t="shared" si="15"/>
        <v>321029.99999999994</v>
      </c>
      <c r="H43" s="98">
        <f t="shared" si="15"/>
        <v>366047.99999999994</v>
      </c>
      <c r="I43" s="98">
        <f t="shared" si="15"/>
        <v>454248</v>
      </c>
      <c r="J43" s="98">
        <f t="shared" si="15"/>
        <v>456284</v>
      </c>
      <c r="K43" s="98">
        <f t="shared" si="15"/>
        <v>417783.33333333337</v>
      </c>
      <c r="L43" s="98">
        <f t="shared" si="15"/>
        <v>405665.71428571426</v>
      </c>
      <c r="M43" s="98">
        <f t="shared" si="15"/>
        <v>400752.5</v>
      </c>
      <c r="N43" s="98">
        <f t="shared" si="15"/>
        <v>401966.66666666663</v>
      </c>
      <c r="O43" s="98">
        <f t="shared" si="15"/>
        <v>425396</v>
      </c>
      <c r="P43" s="98">
        <f t="shared" si="15"/>
        <v>393787.85454545455</v>
      </c>
      <c r="Q43" s="98">
        <f t="shared" si="15"/>
        <v>377648.26666666666</v>
      </c>
      <c r="R43" s="98">
        <f t="shared" si="15"/>
        <v>373788.8</v>
      </c>
      <c r="S43" s="98">
        <f t="shared" si="15"/>
        <v>373568.57142857136</v>
      </c>
      <c r="T43" s="98">
        <f t="shared" si="15"/>
        <v>376283.78666666662</v>
      </c>
      <c r="U43" s="98">
        <f t="shared" si="15"/>
        <v>352766.04999999993</v>
      </c>
      <c r="V43" s="98">
        <f t="shared" si="15"/>
        <v>342543.9058823529</v>
      </c>
      <c r="W43" s="98">
        <f t="shared" si="15"/>
        <v>339589.33333333326</v>
      </c>
      <c r="X43" s="98">
        <f>(X26)/X$1*$Y$1</f>
        <v>323779.1578947368</v>
      </c>
      <c r="Y43" s="98">
        <f t="shared" si="15"/>
        <v>307368</v>
      </c>
    </row>
    <row r="44" spans="2:50">
      <c r="B44" s="14" t="s">
        <v>27</v>
      </c>
      <c r="C44" s="39">
        <f>SUM(C40:C43)</f>
        <v>1314900</v>
      </c>
      <c r="D44" s="10">
        <f>SUM(D40:D43)</f>
        <v>0</v>
      </c>
      <c r="E44" s="10"/>
      <c r="F44" s="10">
        <f t="shared" ref="F44:Y44" si="16">SUM(F40:F43)</f>
        <v>850215.2</v>
      </c>
      <c r="G44" s="10">
        <f t="shared" si="16"/>
        <v>998574</v>
      </c>
      <c r="H44" s="10">
        <f t="shared" si="16"/>
        <v>1046950</v>
      </c>
      <c r="I44" s="10">
        <f t="shared" si="16"/>
        <v>1086710.5</v>
      </c>
      <c r="J44" s="10">
        <f t="shared" si="16"/>
        <v>1163056</v>
      </c>
      <c r="K44" s="10">
        <f t="shared" si="16"/>
        <v>1080083.3333333335</v>
      </c>
      <c r="L44" s="10">
        <f t="shared" si="16"/>
        <v>1096982.857142857</v>
      </c>
      <c r="M44" s="10">
        <f t="shared" si="16"/>
        <v>1083160</v>
      </c>
      <c r="N44" s="10">
        <f t="shared" si="16"/>
        <v>1099766.6666666667</v>
      </c>
      <c r="O44" s="10">
        <f t="shared" si="16"/>
        <v>1140850</v>
      </c>
      <c r="P44" s="10">
        <f t="shared" si="16"/>
        <v>1110013.4909090907</v>
      </c>
      <c r="Q44" s="10">
        <f t="shared" si="16"/>
        <v>1087560.0999999999</v>
      </c>
      <c r="R44" s="10">
        <f t="shared" si="16"/>
        <v>1066305.1076923078</v>
      </c>
      <c r="S44" s="10">
        <f t="shared" si="16"/>
        <v>1084563.7142857141</v>
      </c>
      <c r="T44" s="10">
        <f t="shared" si="16"/>
        <v>1108369.9199999999</v>
      </c>
      <c r="U44" s="10">
        <f t="shared" si="16"/>
        <v>1111239.9249999998</v>
      </c>
      <c r="V44" s="10">
        <f t="shared" si="16"/>
        <v>1068436.8470588236</v>
      </c>
      <c r="W44" s="10">
        <f t="shared" si="16"/>
        <v>1064646.111111111</v>
      </c>
      <c r="X44" s="10">
        <f t="shared" si="16"/>
        <v>1043395.0526315789</v>
      </c>
      <c r="Y44" s="10">
        <f t="shared" si="16"/>
        <v>974105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B1:AX69"/>
  <sheetViews>
    <sheetView showGridLines="0" topLeftCell="A13" workbookViewId="0">
      <selection activeCell="Y31" sqref="Y31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61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62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+C44/20</f>
        <v>13000</v>
      </c>
      <c r="D6" s="10"/>
      <c r="E6" s="11">
        <v>8260</v>
      </c>
      <c r="F6" s="34">
        <f>21941+7490</f>
        <v>29431</v>
      </c>
      <c r="G6" s="34">
        <f>18629+2238</f>
        <v>20867</v>
      </c>
      <c r="H6" s="34">
        <v>14742</v>
      </c>
      <c r="I6" s="34">
        <v>19745</v>
      </c>
      <c r="J6" s="34">
        <v>15456</v>
      </c>
      <c r="K6" s="34">
        <v>18322</v>
      </c>
      <c r="L6" s="34">
        <v>15292</v>
      </c>
      <c r="M6" s="34">
        <v>6078</v>
      </c>
      <c r="N6" s="34">
        <v>17238</v>
      </c>
      <c r="O6" s="81">
        <v>0</v>
      </c>
      <c r="P6" s="81">
        <v>0</v>
      </c>
      <c r="Q6" s="34">
        <v>23200</v>
      </c>
      <c r="R6" s="34">
        <v>11655</v>
      </c>
      <c r="S6" s="34">
        <v>19776</v>
      </c>
      <c r="T6" s="34">
        <v>13849</v>
      </c>
      <c r="U6" s="34">
        <v>28708</v>
      </c>
      <c r="V6" s="34">
        <v>6078</v>
      </c>
      <c r="W6" s="34">
        <v>8272</v>
      </c>
      <c r="X6" s="34">
        <v>32729</v>
      </c>
      <c r="Y6" s="34">
        <v>31926</v>
      </c>
      <c r="Z6" s="115">
        <f>(SUM(F6:Y6)/(COUNT(F6:Y6)))</f>
        <v>16668.2</v>
      </c>
      <c r="AA6" s="103"/>
      <c r="AX6"/>
    </row>
    <row r="7" spans="2:50">
      <c r="B7" s="4" t="s">
        <v>1</v>
      </c>
      <c r="C7" s="20">
        <f>+C45/20</f>
        <v>13000</v>
      </c>
      <c r="D7" s="10"/>
      <c r="E7" s="11">
        <v>15185</v>
      </c>
      <c r="F7" s="34">
        <v>10795</v>
      </c>
      <c r="G7" s="34">
        <v>12045</v>
      </c>
      <c r="H7" s="34">
        <v>9040</v>
      </c>
      <c r="I7" s="34">
        <v>6195</v>
      </c>
      <c r="J7" s="34">
        <v>11990</v>
      </c>
      <c r="K7" s="34">
        <v>4795</v>
      </c>
      <c r="L7" s="34">
        <v>26170</v>
      </c>
      <c r="M7" s="34">
        <v>19080</v>
      </c>
      <c r="N7" s="81">
        <v>0</v>
      </c>
      <c r="O7" s="81">
        <v>0</v>
      </c>
      <c r="P7" s="34">
        <v>8490</v>
      </c>
      <c r="Q7" s="34">
        <v>13000</v>
      </c>
      <c r="R7" s="34">
        <v>0</v>
      </c>
      <c r="S7" s="34">
        <v>8730</v>
      </c>
      <c r="T7" s="34">
        <v>4795</v>
      </c>
      <c r="U7" s="34">
        <v>15490</v>
      </c>
      <c r="V7" s="34">
        <v>28930</v>
      </c>
      <c r="W7" s="34">
        <v>12185</v>
      </c>
      <c r="X7" s="34">
        <v>12195</v>
      </c>
      <c r="Y7" s="34">
        <v>7490</v>
      </c>
      <c r="Z7" s="69">
        <f>(SUM(F7:Y7)/(COUNT(F7:Y7)))</f>
        <v>10570.75</v>
      </c>
      <c r="AA7" s="103"/>
      <c r="AX7"/>
    </row>
    <row r="8" spans="2:50">
      <c r="B8" s="4" t="s">
        <v>2</v>
      </c>
      <c r="C8" s="20">
        <f>+C46/20</f>
        <v>7875</v>
      </c>
      <c r="D8" s="10"/>
      <c r="E8" s="11">
        <f>8880*0.9</f>
        <v>7992</v>
      </c>
      <c r="F8" s="34">
        <f>2695*0.9</f>
        <v>2425.5</v>
      </c>
      <c r="G8" s="34">
        <f>7845*0.9</f>
        <v>7060.5</v>
      </c>
      <c r="H8" s="34">
        <f>1684*0.9</f>
        <v>1515.6000000000001</v>
      </c>
      <c r="I8" s="34">
        <f>2695*0.9</f>
        <v>2425.5</v>
      </c>
      <c r="J8" s="34">
        <v>8091</v>
      </c>
      <c r="K8" s="34">
        <v>11641</v>
      </c>
      <c r="L8" s="34">
        <v>10180</v>
      </c>
      <c r="M8" s="34">
        <v>16169</v>
      </c>
      <c r="N8" s="34">
        <v>11795</v>
      </c>
      <c r="O8" s="34">
        <v>8541</v>
      </c>
      <c r="P8" s="34">
        <v>14591</v>
      </c>
      <c r="Q8" s="34">
        <v>4315</v>
      </c>
      <c r="R8" s="34">
        <v>8725</v>
      </c>
      <c r="S8" s="34">
        <v>4950</v>
      </c>
      <c r="T8" s="34">
        <v>15192</v>
      </c>
      <c r="U8" s="34">
        <v>5260</v>
      </c>
      <c r="V8" s="34">
        <v>10635</v>
      </c>
      <c r="W8" s="34">
        <v>7871</v>
      </c>
      <c r="X8" s="34">
        <v>12555</v>
      </c>
      <c r="Y8" s="34">
        <v>6030</v>
      </c>
      <c r="Z8" s="115">
        <f>(SUM(F8:Y8)/(COUNT(F8:Y8)))</f>
        <v>8498.4050000000007</v>
      </c>
      <c r="AA8" s="103"/>
      <c r="AX8"/>
    </row>
    <row r="9" spans="2:50">
      <c r="B9" s="4" t="s">
        <v>63</v>
      </c>
      <c r="C9" s="20">
        <f>+C47/20</f>
        <v>2500</v>
      </c>
      <c r="D9" s="10"/>
      <c r="E9" s="11">
        <v>3000</v>
      </c>
      <c r="F9" s="34">
        <v>0.1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1000</v>
      </c>
      <c r="W9" s="34">
        <v>4795</v>
      </c>
      <c r="X9" s="34">
        <v>0</v>
      </c>
      <c r="Y9" s="34">
        <v>0</v>
      </c>
      <c r="Z9" s="69">
        <f>(SUM(F9:Y9)/(COUNT(F9:Y9)))</f>
        <v>289.755</v>
      </c>
      <c r="AA9" s="103"/>
      <c r="AX9"/>
    </row>
    <row r="10" spans="2:50">
      <c r="B10" s="4" t="s">
        <v>3</v>
      </c>
      <c r="C10" s="21">
        <f>+C48/20</f>
        <v>14350</v>
      </c>
      <c r="D10" s="13"/>
      <c r="E10" s="40">
        <f>24584*1.64</f>
        <v>40317.759999999995</v>
      </c>
      <c r="F10" s="35">
        <f>10047*1.64</f>
        <v>16477.079999999998</v>
      </c>
      <c r="G10" s="35">
        <f>12226*1.64</f>
        <v>20050.64</v>
      </c>
      <c r="H10" s="35">
        <f>10157*1.64</f>
        <v>16657.48</v>
      </c>
      <c r="I10" s="35">
        <f>10907*1.64</f>
        <v>17887.48</v>
      </c>
      <c r="J10" s="35">
        <v>28081</v>
      </c>
      <c r="K10" s="35">
        <v>22379</v>
      </c>
      <c r="L10" s="35">
        <v>14305</v>
      </c>
      <c r="M10" s="35">
        <v>29736</v>
      </c>
      <c r="N10" s="35">
        <v>27822</v>
      </c>
      <c r="O10" s="35">
        <v>16349</v>
      </c>
      <c r="P10" s="35">
        <v>18792</v>
      </c>
      <c r="Q10" s="35">
        <v>36721</v>
      </c>
      <c r="R10" s="35">
        <v>16709</v>
      </c>
      <c r="S10" s="35">
        <v>15099</v>
      </c>
      <c r="T10" s="35">
        <v>18715</v>
      </c>
      <c r="U10" s="35">
        <v>17552</v>
      </c>
      <c r="V10" s="35">
        <v>9323</v>
      </c>
      <c r="W10" s="35">
        <v>15130</v>
      </c>
      <c r="X10" s="35">
        <v>6217</v>
      </c>
      <c r="Y10" s="35">
        <v>35320</v>
      </c>
      <c r="Z10" s="112">
        <f>(SUM(F10:Y10)/(COUNT(F10:Y10)))</f>
        <v>19966.133999999998</v>
      </c>
      <c r="AA10" s="103"/>
      <c r="AX10"/>
    </row>
    <row r="11" spans="2:50" ht="15.75" thickBot="1">
      <c r="B11" s="14" t="s">
        <v>27</v>
      </c>
      <c r="C11" s="20">
        <f>SUM(C6:C10)</f>
        <v>50725</v>
      </c>
      <c r="D11" s="10"/>
      <c r="E11" s="11">
        <f t="shared" ref="E11:Y11" si="0">SUM(E6:E10)</f>
        <v>74754.759999999995</v>
      </c>
      <c r="F11" s="10">
        <f t="shared" si="0"/>
        <v>59128.679999999993</v>
      </c>
      <c r="G11" s="10">
        <f t="shared" si="0"/>
        <v>60023.14</v>
      </c>
      <c r="H11" s="10">
        <f t="shared" si="0"/>
        <v>41955.08</v>
      </c>
      <c r="I11" s="10">
        <f t="shared" si="0"/>
        <v>46252.979999999996</v>
      </c>
      <c r="J11" s="10">
        <f t="shared" si="0"/>
        <v>63618</v>
      </c>
      <c r="K11" s="10">
        <f t="shared" si="0"/>
        <v>57137</v>
      </c>
      <c r="L11" s="10">
        <f t="shared" si="0"/>
        <v>65947</v>
      </c>
      <c r="M11" s="10">
        <f t="shared" si="0"/>
        <v>71063</v>
      </c>
      <c r="N11" s="10">
        <f t="shared" si="0"/>
        <v>56855</v>
      </c>
      <c r="O11" s="10">
        <f t="shared" si="0"/>
        <v>24890</v>
      </c>
      <c r="P11" s="10">
        <f t="shared" si="0"/>
        <v>41873</v>
      </c>
      <c r="Q11" s="10">
        <f t="shared" si="0"/>
        <v>77236</v>
      </c>
      <c r="R11" s="10">
        <f t="shared" si="0"/>
        <v>37089</v>
      </c>
      <c r="S11" s="10">
        <f t="shared" si="0"/>
        <v>48555</v>
      </c>
      <c r="T11" s="10">
        <f t="shared" si="0"/>
        <v>52551</v>
      </c>
      <c r="U11" s="10">
        <f t="shared" si="0"/>
        <v>67010</v>
      </c>
      <c r="V11" s="10">
        <f t="shared" si="0"/>
        <v>55966</v>
      </c>
      <c r="W11" s="10">
        <f t="shared" si="0"/>
        <v>48253</v>
      </c>
      <c r="X11" s="10">
        <f t="shared" si="0"/>
        <v>63696</v>
      </c>
      <c r="Y11" s="10">
        <f t="shared" si="0"/>
        <v>80766</v>
      </c>
      <c r="Z11" s="67"/>
      <c r="AA11" s="103"/>
      <c r="AX11"/>
    </row>
    <row r="12" spans="2:50" s="1" customFormat="1" ht="13.5" thickBot="1">
      <c r="B12" s="14"/>
      <c r="C12" s="20"/>
      <c r="D12" s="12"/>
      <c r="E12" s="41"/>
      <c r="F12" s="12"/>
      <c r="G12" s="12"/>
      <c r="H12" s="12"/>
      <c r="I12" s="12"/>
      <c r="J12" s="7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Y12" s="43" t="s">
        <v>36</v>
      </c>
      <c r="Z12" s="116">
        <f>(SUM(F11:Y11)/(COUNT(F11:Y11)))</f>
        <v>55993.243999999992</v>
      </c>
      <c r="AA12" s="104"/>
    </row>
    <row r="13" spans="2:50" s="1" customFormat="1" ht="12.75">
      <c r="B13" s="14"/>
      <c r="C13" s="14"/>
      <c r="D13" s="14"/>
      <c r="E13" s="12"/>
      <c r="F13" s="12"/>
      <c r="G13" s="12"/>
      <c r="H13" s="12"/>
      <c r="I13" s="12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4"/>
      <c r="AA13" s="104"/>
    </row>
    <row r="14" spans="2:50" s="1" customFormat="1" ht="12.75">
      <c r="B14" s="22" t="s">
        <v>29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104"/>
      <c r="AA14" s="104"/>
    </row>
    <row r="15" spans="2:50" s="1" customFormat="1" ht="12.75">
      <c r="B15" s="23"/>
      <c r="C15" s="23"/>
      <c r="D15" s="23"/>
      <c r="E15" s="23"/>
      <c r="F15" s="23" t="str">
        <f>+F5</f>
        <v>Day 1</v>
      </c>
      <c r="G15" s="23" t="str">
        <f t="shared" ref="G15:Y15" si="1">+G5</f>
        <v>Day 2</v>
      </c>
      <c r="H15" s="23" t="str">
        <f t="shared" si="1"/>
        <v>Day 3</v>
      </c>
      <c r="I15" s="23" t="str">
        <f t="shared" si="1"/>
        <v>Day 4</v>
      </c>
      <c r="J15" s="23" t="str">
        <f t="shared" si="1"/>
        <v>Day 5</v>
      </c>
      <c r="K15" s="23" t="str">
        <f t="shared" si="1"/>
        <v>Day 6</v>
      </c>
      <c r="L15" s="23" t="str">
        <f t="shared" si="1"/>
        <v>Day 7</v>
      </c>
      <c r="M15" s="23" t="str">
        <f t="shared" si="1"/>
        <v>Day 8</v>
      </c>
      <c r="N15" s="23" t="str">
        <f t="shared" si="1"/>
        <v>Day 9</v>
      </c>
      <c r="O15" s="23" t="str">
        <f t="shared" si="1"/>
        <v>Day 10</v>
      </c>
      <c r="P15" s="23" t="str">
        <f t="shared" si="1"/>
        <v>Day 11</v>
      </c>
      <c r="Q15" s="23" t="str">
        <f t="shared" si="1"/>
        <v>Day 12</v>
      </c>
      <c r="R15" s="23" t="str">
        <f t="shared" si="1"/>
        <v>Day 13</v>
      </c>
      <c r="S15" s="23" t="str">
        <f t="shared" si="1"/>
        <v>Day 14</v>
      </c>
      <c r="T15" s="23" t="str">
        <f t="shared" si="1"/>
        <v>Day 15</v>
      </c>
      <c r="U15" s="23" t="str">
        <f t="shared" si="1"/>
        <v>Day 16</v>
      </c>
      <c r="V15" s="23" t="str">
        <f t="shared" si="1"/>
        <v>Day 17</v>
      </c>
      <c r="W15" s="23" t="str">
        <f t="shared" si="1"/>
        <v>Day 18</v>
      </c>
      <c r="X15" s="23" t="str">
        <f t="shared" si="1"/>
        <v>Day 19</v>
      </c>
      <c r="Y15" s="23" t="str">
        <f t="shared" si="1"/>
        <v>Day 20</v>
      </c>
      <c r="Z15" s="104"/>
      <c r="AA15" s="104"/>
    </row>
    <row r="16" spans="2:50" s="1" customFormat="1" ht="12.75">
      <c r="B16" s="23" t="s">
        <v>0</v>
      </c>
      <c r="C16" s="25">
        <f t="shared" ref="C16:C21" si="2">(C6-$C6)/$C6+1</f>
        <v>1</v>
      </c>
      <c r="D16" s="25"/>
      <c r="E16" s="25"/>
      <c r="F16" s="25">
        <f t="shared" ref="F16:Y16" si="3">(F6-$C6)/$C6+1</f>
        <v>2.2639230769230769</v>
      </c>
      <c r="G16" s="25">
        <f t="shared" si="3"/>
        <v>1.6051538461538462</v>
      </c>
      <c r="H16" s="25">
        <f t="shared" si="3"/>
        <v>1.1339999999999999</v>
      </c>
      <c r="I16" s="25">
        <f t="shared" si="3"/>
        <v>1.518846153846154</v>
      </c>
      <c r="J16" s="25">
        <f t="shared" si="3"/>
        <v>1.188923076923077</v>
      </c>
      <c r="K16" s="25">
        <f t="shared" si="3"/>
        <v>1.4093846153846155</v>
      </c>
      <c r="L16" s="25">
        <f t="shared" si="3"/>
        <v>1.1763076923076923</v>
      </c>
      <c r="M16" s="25">
        <f t="shared" si="3"/>
        <v>0.46753846153846157</v>
      </c>
      <c r="N16" s="25">
        <f t="shared" si="3"/>
        <v>1.3260000000000001</v>
      </c>
      <c r="O16" s="25">
        <f t="shared" si="3"/>
        <v>0</v>
      </c>
      <c r="P16" s="25">
        <f t="shared" si="3"/>
        <v>0</v>
      </c>
      <c r="Q16" s="25">
        <f t="shared" si="3"/>
        <v>1.7846153846153845</v>
      </c>
      <c r="R16" s="25">
        <f t="shared" si="3"/>
        <v>0.89653846153846151</v>
      </c>
      <c r="S16" s="25">
        <f t="shared" si="3"/>
        <v>1.5212307692307694</v>
      </c>
      <c r="T16" s="25">
        <f t="shared" si="3"/>
        <v>1.0653076923076923</v>
      </c>
      <c r="U16" s="25">
        <f t="shared" si="3"/>
        <v>2.2083076923076925</v>
      </c>
      <c r="V16" s="25">
        <f t="shared" si="3"/>
        <v>0.46753846153846157</v>
      </c>
      <c r="W16" s="25">
        <f t="shared" si="3"/>
        <v>0.63630769230769224</v>
      </c>
      <c r="X16" s="25">
        <f t="shared" si="3"/>
        <v>2.5176153846153846</v>
      </c>
      <c r="Y16" s="25">
        <f t="shared" si="3"/>
        <v>2.4558461538461538</v>
      </c>
      <c r="Z16" s="104"/>
      <c r="AA16" s="104"/>
    </row>
    <row r="17" spans="2:50" s="1" customFormat="1" ht="12.75">
      <c r="B17" s="23" t="s">
        <v>1</v>
      </c>
      <c r="C17" s="25">
        <f t="shared" si="2"/>
        <v>1</v>
      </c>
      <c r="D17" s="25"/>
      <c r="E17" s="25"/>
      <c r="F17" s="25">
        <f t="shared" ref="F17:Y17" si="4">(F7-$C7)/$C7+1</f>
        <v>0.83038461538461539</v>
      </c>
      <c r="G17" s="25">
        <f t="shared" si="4"/>
        <v>0.92653846153846153</v>
      </c>
      <c r="H17" s="25">
        <f t="shared" si="4"/>
        <v>0.69538461538461538</v>
      </c>
      <c r="I17" s="25">
        <f t="shared" si="4"/>
        <v>0.47653846153846158</v>
      </c>
      <c r="J17" s="25">
        <f t="shared" si="4"/>
        <v>0.92230769230769227</v>
      </c>
      <c r="K17" s="25">
        <f t="shared" si="4"/>
        <v>0.36884615384615382</v>
      </c>
      <c r="L17" s="25">
        <f t="shared" si="4"/>
        <v>2.0130769230769232</v>
      </c>
      <c r="M17" s="25">
        <f t="shared" si="4"/>
        <v>1.4676923076923076</v>
      </c>
      <c r="N17" s="25">
        <f t="shared" si="4"/>
        <v>0</v>
      </c>
      <c r="O17" s="25">
        <f t="shared" si="4"/>
        <v>0</v>
      </c>
      <c r="P17" s="25">
        <f t="shared" si="4"/>
        <v>0.65307692307692311</v>
      </c>
      <c r="Q17" s="25">
        <f t="shared" si="4"/>
        <v>1</v>
      </c>
      <c r="R17" s="25">
        <f t="shared" si="4"/>
        <v>0</v>
      </c>
      <c r="S17" s="25">
        <f t="shared" si="4"/>
        <v>0.67153846153846153</v>
      </c>
      <c r="T17" s="25">
        <f t="shared" si="4"/>
        <v>0.36884615384615382</v>
      </c>
      <c r="U17" s="25">
        <f t="shared" si="4"/>
        <v>1.1915384615384617</v>
      </c>
      <c r="V17" s="25">
        <f t="shared" si="4"/>
        <v>2.2253846153846153</v>
      </c>
      <c r="W17" s="25">
        <f t="shared" si="4"/>
        <v>0.93730769230769229</v>
      </c>
      <c r="X17" s="25">
        <f t="shared" si="4"/>
        <v>0.93807692307692303</v>
      </c>
      <c r="Y17" s="25">
        <f t="shared" si="4"/>
        <v>0.57615384615384613</v>
      </c>
      <c r="Z17" s="104"/>
      <c r="AA17" s="104"/>
    </row>
    <row r="18" spans="2:50" s="1" customFormat="1" ht="12.75">
      <c r="B18" s="23" t="s">
        <v>2</v>
      </c>
      <c r="C18" s="25">
        <f t="shared" si="2"/>
        <v>1</v>
      </c>
      <c r="D18" s="25"/>
      <c r="E18" s="25"/>
      <c r="F18" s="25">
        <f t="shared" ref="F18:Y18" si="5">(F8-$C8)/$C8+1</f>
        <v>0.30800000000000005</v>
      </c>
      <c r="G18" s="25">
        <f t="shared" si="5"/>
        <v>0.89657142857142857</v>
      </c>
      <c r="H18" s="25">
        <f t="shared" si="5"/>
        <v>0.19245714285714288</v>
      </c>
      <c r="I18" s="25">
        <f t="shared" si="5"/>
        <v>0.30800000000000005</v>
      </c>
      <c r="J18" s="25">
        <f t="shared" si="5"/>
        <v>1.0274285714285714</v>
      </c>
      <c r="K18" s="25">
        <f t="shared" si="5"/>
        <v>1.4782222222222221</v>
      </c>
      <c r="L18" s="25">
        <f t="shared" si="5"/>
        <v>1.2926984126984127</v>
      </c>
      <c r="M18" s="25">
        <f t="shared" si="5"/>
        <v>2.0532063492063495</v>
      </c>
      <c r="N18" s="25">
        <f t="shared" si="5"/>
        <v>1.4977777777777779</v>
      </c>
      <c r="O18" s="25">
        <f t="shared" si="5"/>
        <v>1.0845714285714285</v>
      </c>
      <c r="P18" s="25">
        <f t="shared" si="5"/>
        <v>1.8528253968253967</v>
      </c>
      <c r="Q18" s="25">
        <f t="shared" si="5"/>
        <v>0.54793650793650794</v>
      </c>
      <c r="R18" s="25">
        <f t="shared" si="5"/>
        <v>1.107936507936508</v>
      </c>
      <c r="S18" s="25">
        <f t="shared" si="5"/>
        <v>0.62857142857142856</v>
      </c>
      <c r="T18" s="25">
        <f t="shared" si="5"/>
        <v>1.9291428571428573</v>
      </c>
      <c r="U18" s="25">
        <f t="shared" si="5"/>
        <v>0.66793650793650794</v>
      </c>
      <c r="V18" s="25">
        <f t="shared" si="5"/>
        <v>1.3504761904761904</v>
      </c>
      <c r="W18" s="25">
        <f t="shared" si="5"/>
        <v>0.99949206349206354</v>
      </c>
      <c r="X18" s="25">
        <f t="shared" si="5"/>
        <v>1.5942857142857143</v>
      </c>
      <c r="Y18" s="25">
        <f t="shared" si="5"/>
        <v>0.76571428571428568</v>
      </c>
      <c r="Z18" s="104"/>
      <c r="AA18" s="104"/>
    </row>
    <row r="19" spans="2:50" s="1" customFormat="1" ht="12.75">
      <c r="B19" s="4" t="s">
        <v>63</v>
      </c>
      <c r="C19" s="25">
        <f t="shared" si="2"/>
        <v>1</v>
      </c>
      <c r="D19" s="25"/>
      <c r="E19" s="25"/>
      <c r="F19" s="25">
        <f t="shared" ref="F19:Y19" si="6">(F9-$C9)/$C9+1</f>
        <v>3.9999999999928981E-5</v>
      </c>
      <c r="G19" s="25">
        <f t="shared" si="6"/>
        <v>0</v>
      </c>
      <c r="H19" s="25">
        <f t="shared" si="6"/>
        <v>0</v>
      </c>
      <c r="I19" s="25">
        <f t="shared" si="6"/>
        <v>0</v>
      </c>
      <c r="J19" s="25">
        <f t="shared" si="6"/>
        <v>0</v>
      </c>
      <c r="K19" s="25">
        <f t="shared" si="6"/>
        <v>0</v>
      </c>
      <c r="L19" s="25">
        <f t="shared" si="6"/>
        <v>0</v>
      </c>
      <c r="M19" s="25">
        <f t="shared" si="6"/>
        <v>0</v>
      </c>
      <c r="N19" s="25">
        <f t="shared" si="6"/>
        <v>0</v>
      </c>
      <c r="O19" s="25">
        <f t="shared" si="6"/>
        <v>0</v>
      </c>
      <c r="P19" s="25">
        <f t="shared" si="6"/>
        <v>0</v>
      </c>
      <c r="Q19" s="25">
        <f t="shared" si="6"/>
        <v>0</v>
      </c>
      <c r="R19" s="25">
        <f t="shared" si="6"/>
        <v>0</v>
      </c>
      <c r="S19" s="25">
        <f t="shared" si="6"/>
        <v>0</v>
      </c>
      <c r="T19" s="25">
        <f t="shared" si="6"/>
        <v>0</v>
      </c>
      <c r="U19" s="25">
        <f t="shared" si="6"/>
        <v>0</v>
      </c>
      <c r="V19" s="25">
        <f t="shared" si="6"/>
        <v>0.4</v>
      </c>
      <c r="W19" s="25">
        <f t="shared" si="6"/>
        <v>1.9180000000000001</v>
      </c>
      <c r="X19" s="25">
        <f t="shared" si="6"/>
        <v>0</v>
      </c>
      <c r="Y19" s="25">
        <f t="shared" si="6"/>
        <v>0</v>
      </c>
      <c r="Z19" s="104"/>
      <c r="AA19" s="104"/>
    </row>
    <row r="20" spans="2:50" s="1" customFormat="1" ht="12.75">
      <c r="B20" s="23" t="s">
        <v>3</v>
      </c>
      <c r="C20" s="27">
        <f t="shared" si="2"/>
        <v>1</v>
      </c>
      <c r="D20" s="27"/>
      <c r="E20" s="27"/>
      <c r="F20" s="27">
        <f t="shared" ref="F20:Y21" si="7">(F10-$C10)/$C10+1</f>
        <v>1.1482285714285714</v>
      </c>
      <c r="G20" s="27">
        <f t="shared" si="7"/>
        <v>1.3972571428571428</v>
      </c>
      <c r="H20" s="27">
        <f t="shared" si="7"/>
        <v>1.1608000000000001</v>
      </c>
      <c r="I20" s="27">
        <f t="shared" si="7"/>
        <v>1.2465142857142857</v>
      </c>
      <c r="J20" s="27">
        <f t="shared" si="7"/>
        <v>1.9568641114982577</v>
      </c>
      <c r="K20" s="27">
        <f t="shared" si="7"/>
        <v>1.5595121951219513</v>
      </c>
      <c r="L20" s="27">
        <f t="shared" si="7"/>
        <v>0.99686411149825782</v>
      </c>
      <c r="M20" s="27">
        <f t="shared" si="7"/>
        <v>2.0721951219512196</v>
      </c>
      <c r="N20" s="27">
        <f t="shared" si="7"/>
        <v>1.938815331010453</v>
      </c>
      <c r="O20" s="27">
        <f t="shared" si="7"/>
        <v>1.1393031358885017</v>
      </c>
      <c r="P20" s="27">
        <f t="shared" si="7"/>
        <v>1.3095470383275261</v>
      </c>
      <c r="Q20" s="27">
        <f t="shared" si="7"/>
        <v>2.5589547038327529</v>
      </c>
      <c r="R20" s="27">
        <f t="shared" si="7"/>
        <v>1.1643902439024389</v>
      </c>
      <c r="S20" s="27">
        <f t="shared" si="7"/>
        <v>1.0521951219512196</v>
      </c>
      <c r="T20" s="27">
        <f t="shared" si="7"/>
        <v>1.3041811846689895</v>
      </c>
      <c r="U20" s="27">
        <f t="shared" si="7"/>
        <v>1.223135888501742</v>
      </c>
      <c r="V20" s="27">
        <f t="shared" si="7"/>
        <v>0.64968641114982573</v>
      </c>
      <c r="W20" s="27">
        <f t="shared" si="7"/>
        <v>1.0543554006968641</v>
      </c>
      <c r="X20" s="27">
        <f t="shared" si="7"/>
        <v>0.43324041811846692</v>
      </c>
      <c r="Y20" s="27">
        <f t="shared" si="7"/>
        <v>2.4613240418118467</v>
      </c>
      <c r="Z20" s="104"/>
      <c r="AA20" s="104"/>
    </row>
    <row r="21" spans="2:50" s="1" customFormat="1" ht="12.75">
      <c r="B21" s="29" t="s">
        <v>27</v>
      </c>
      <c r="C21" s="25">
        <f t="shared" si="2"/>
        <v>1</v>
      </c>
      <c r="D21" s="25"/>
      <c r="E21" s="25"/>
      <c r="F21" s="25">
        <f>(F11-$C11)/$C11+1</f>
        <v>1.1656713652045341</v>
      </c>
      <c r="G21" s="25">
        <f t="shared" si="7"/>
        <v>1.1833048792508625</v>
      </c>
      <c r="H21" s="25">
        <f t="shared" si="7"/>
        <v>0.82710852636766885</v>
      </c>
      <c r="I21" s="25">
        <f t="shared" si="7"/>
        <v>0.9118379497289304</v>
      </c>
      <c r="J21" s="25">
        <f>(J11-$C11)/$C11+1</f>
        <v>1.2541744701823558</v>
      </c>
      <c r="K21" s="25">
        <f>(K11-$C11)/$C11+1</f>
        <v>1.1264070970921636</v>
      </c>
      <c r="L21" s="25">
        <f>(L11-$C11)/$C11+1</f>
        <v>1.3000887136520454</v>
      </c>
      <c r="M21" s="25">
        <f t="shared" si="7"/>
        <v>1.4009462789551503</v>
      </c>
      <c r="N21" s="25">
        <f t="shared" si="7"/>
        <v>1.1208477082306554</v>
      </c>
      <c r="O21" s="25">
        <f t="shared" si="7"/>
        <v>0.49068506653523902</v>
      </c>
      <c r="P21" s="25">
        <f t="shared" si="7"/>
        <v>0.8254903893543617</v>
      </c>
      <c r="Q21" s="25">
        <f t="shared" si="7"/>
        <v>1.5226416954164614</v>
      </c>
      <c r="R21" s="25">
        <f t="shared" si="7"/>
        <v>0.7311779201577131</v>
      </c>
      <c r="S21" s="25">
        <f>(S11-$C11)/$C11+1</f>
        <v>0.95722030556924598</v>
      </c>
      <c r="T21" s="25">
        <f>(T11-$C11)/$C11+1</f>
        <v>1.0359980285855102</v>
      </c>
      <c r="U21" s="25">
        <f>(U11-$C11)/$C11+1</f>
        <v>1.3210448496796452</v>
      </c>
      <c r="V21" s="25">
        <f>(V11-$C11)/$C11+1</f>
        <v>1.1033218334154755</v>
      </c>
      <c r="W21" s="25">
        <f>(W11-$C11)/$C11+1</f>
        <v>0.95126663380975851</v>
      </c>
      <c r="X21" s="25">
        <f t="shared" si="7"/>
        <v>1.2557121734844752</v>
      </c>
      <c r="Y21" s="25">
        <f t="shared" si="7"/>
        <v>1.5922326269098077</v>
      </c>
      <c r="Z21" s="104"/>
      <c r="AA21" s="104"/>
    </row>
    <row r="22" spans="2:50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03"/>
      <c r="AA22" s="103"/>
      <c r="AX22"/>
    </row>
    <row r="23" spans="2:50">
      <c r="B23" s="9" t="s">
        <v>33</v>
      </c>
      <c r="C23" s="4"/>
      <c r="D23" s="4"/>
      <c r="E23" s="4"/>
      <c r="F23" s="49">
        <f>+F1/$Y$1</f>
        <v>0.05</v>
      </c>
      <c r="G23" s="49">
        <f t="shared" ref="G23:Y23" si="8">+G1/$Y$1</f>
        <v>0.1</v>
      </c>
      <c r="H23" s="49">
        <f t="shared" si="8"/>
        <v>0.15</v>
      </c>
      <c r="I23" s="49">
        <f t="shared" si="8"/>
        <v>0.2</v>
      </c>
      <c r="J23" s="49">
        <f t="shared" si="8"/>
        <v>0.25</v>
      </c>
      <c r="K23" s="49">
        <f t="shared" si="8"/>
        <v>0.3</v>
      </c>
      <c r="L23" s="49">
        <f t="shared" si="8"/>
        <v>0.35</v>
      </c>
      <c r="M23" s="49">
        <f t="shared" si="8"/>
        <v>0.4</v>
      </c>
      <c r="N23" s="49">
        <f t="shared" si="8"/>
        <v>0.45</v>
      </c>
      <c r="O23" s="49">
        <f t="shared" si="8"/>
        <v>0.5</v>
      </c>
      <c r="P23" s="49">
        <f t="shared" si="8"/>
        <v>0.55000000000000004</v>
      </c>
      <c r="Q23" s="49">
        <f t="shared" si="8"/>
        <v>0.6</v>
      </c>
      <c r="R23" s="49">
        <f t="shared" si="8"/>
        <v>0.65</v>
      </c>
      <c r="S23" s="49">
        <f t="shared" si="8"/>
        <v>0.7</v>
      </c>
      <c r="T23" s="49">
        <f t="shared" si="8"/>
        <v>0.75</v>
      </c>
      <c r="U23" s="49">
        <f t="shared" si="8"/>
        <v>0.8</v>
      </c>
      <c r="V23" s="49">
        <f t="shared" si="8"/>
        <v>0.85</v>
      </c>
      <c r="W23" s="49">
        <f t="shared" si="8"/>
        <v>0.9</v>
      </c>
      <c r="X23" s="49">
        <f t="shared" si="8"/>
        <v>0.95</v>
      </c>
      <c r="Y23" s="49">
        <f t="shared" si="8"/>
        <v>1</v>
      </c>
      <c r="Z23" s="105" t="s">
        <v>39</v>
      </c>
      <c r="AA23" s="106" t="s">
        <v>37</v>
      </c>
      <c r="AX23"/>
    </row>
    <row r="24" spans="2:50">
      <c r="B24" s="4"/>
      <c r="C24" s="4"/>
      <c r="D24" s="4"/>
      <c r="E24" s="4"/>
      <c r="F24" s="4" t="str">
        <f t="shared" ref="F24:Y24" si="9">+F15</f>
        <v>Day 1</v>
      </c>
      <c r="G24" s="4" t="str">
        <f t="shared" si="9"/>
        <v>Day 2</v>
      </c>
      <c r="H24" s="4" t="str">
        <f t="shared" si="9"/>
        <v>Day 3</v>
      </c>
      <c r="I24" s="4" t="str">
        <f t="shared" si="9"/>
        <v>Day 4</v>
      </c>
      <c r="J24" s="4" t="str">
        <f t="shared" si="9"/>
        <v>Day 5</v>
      </c>
      <c r="K24" s="4" t="str">
        <f t="shared" si="9"/>
        <v>Day 6</v>
      </c>
      <c r="L24" s="4" t="str">
        <f t="shared" si="9"/>
        <v>Day 7</v>
      </c>
      <c r="M24" s="4" t="str">
        <f t="shared" si="9"/>
        <v>Day 8</v>
      </c>
      <c r="N24" s="4" t="str">
        <f t="shared" si="9"/>
        <v>Day 9</v>
      </c>
      <c r="O24" s="4" t="str">
        <f t="shared" si="9"/>
        <v>Day 10</v>
      </c>
      <c r="P24" s="4" t="str">
        <f t="shared" si="9"/>
        <v>Day 11</v>
      </c>
      <c r="Q24" s="4" t="str">
        <f t="shared" si="9"/>
        <v>Day 12</v>
      </c>
      <c r="R24" s="4" t="str">
        <f t="shared" si="9"/>
        <v>Day 13</v>
      </c>
      <c r="S24" s="4" t="str">
        <f t="shared" si="9"/>
        <v>Day 14</v>
      </c>
      <c r="T24" s="4" t="str">
        <f t="shared" si="9"/>
        <v>Day 15</v>
      </c>
      <c r="U24" s="4" t="str">
        <f t="shared" si="9"/>
        <v>Day 16</v>
      </c>
      <c r="V24" s="4" t="str">
        <f t="shared" si="9"/>
        <v>Day 17</v>
      </c>
      <c r="W24" s="4" t="str">
        <f t="shared" si="9"/>
        <v>Day 18</v>
      </c>
      <c r="X24" s="4" t="str">
        <f t="shared" si="9"/>
        <v>Day 19</v>
      </c>
      <c r="Y24" s="4" t="str">
        <f t="shared" si="9"/>
        <v>Day 20</v>
      </c>
      <c r="Z24" s="107" t="s">
        <v>40</v>
      </c>
      <c r="AA24" s="108" t="s">
        <v>38</v>
      </c>
      <c r="AX24"/>
    </row>
    <row r="25" spans="2:50">
      <c r="B25" s="4" t="str">
        <f>+B16</f>
        <v>San Diego</v>
      </c>
      <c r="C25" s="4"/>
      <c r="D25" s="4"/>
      <c r="E25" s="23"/>
      <c r="F25" s="34">
        <v>22109</v>
      </c>
      <c r="G25" s="34">
        <v>42976</v>
      </c>
      <c r="H25" s="34">
        <v>57718</v>
      </c>
      <c r="I25" s="23">
        <v>77463</v>
      </c>
      <c r="J25" s="23">
        <v>92919</v>
      </c>
      <c r="K25" s="23">
        <v>111241</v>
      </c>
      <c r="L25" s="23">
        <v>123213</v>
      </c>
      <c r="M25" s="23">
        <v>129291</v>
      </c>
      <c r="N25" s="23">
        <v>146529</v>
      </c>
      <c r="O25" s="23">
        <v>146529</v>
      </c>
      <c r="P25" s="23">
        <v>146529</v>
      </c>
      <c r="Q25" s="23">
        <v>165758</v>
      </c>
      <c r="R25" s="23">
        <v>177413</v>
      </c>
      <c r="S25" s="23">
        <v>197189</v>
      </c>
      <c r="T25" s="23">
        <v>211038</v>
      </c>
      <c r="U25" s="23">
        <v>245824</v>
      </c>
      <c r="V25" s="23">
        <v>245824</v>
      </c>
      <c r="W25" s="23">
        <v>251401</v>
      </c>
      <c r="X25" s="23">
        <v>272495</v>
      </c>
      <c r="Y25" s="23">
        <v>355896</v>
      </c>
      <c r="Z25" s="109">
        <f>+Y25/C44</f>
        <v>1.3688307692307693</v>
      </c>
      <c r="AA25" s="97">
        <f t="shared" ref="AA25:AA30" si="10">+Z25-Y$23</f>
        <v>0.3688307692307693</v>
      </c>
      <c r="AX25"/>
    </row>
    <row r="26" spans="2:50">
      <c r="B26" s="4" t="str">
        <f>+B17</f>
        <v>Boston</v>
      </c>
      <c r="C26" s="4"/>
      <c r="D26" s="4"/>
      <c r="E26" s="23"/>
      <c r="F26" s="34">
        <v>16185</v>
      </c>
      <c r="G26" s="34">
        <v>40220</v>
      </c>
      <c r="H26" s="34">
        <v>49260</v>
      </c>
      <c r="I26" s="34">
        <v>55455</v>
      </c>
      <c r="J26" s="34">
        <v>66445</v>
      </c>
      <c r="K26" s="34">
        <v>71240</v>
      </c>
      <c r="L26" s="34">
        <v>97410</v>
      </c>
      <c r="M26" s="34">
        <v>116490</v>
      </c>
      <c r="N26" s="34">
        <v>116490</v>
      </c>
      <c r="O26" s="34">
        <v>116490</v>
      </c>
      <c r="P26" s="34">
        <v>124980</v>
      </c>
      <c r="Q26" s="23">
        <v>134285</v>
      </c>
      <c r="R26" s="23">
        <v>134285</v>
      </c>
      <c r="S26" s="23">
        <v>142015</v>
      </c>
      <c r="T26" s="23">
        <v>142015</v>
      </c>
      <c r="U26" s="23">
        <v>160800</v>
      </c>
      <c r="V26" s="121">
        <v>191230</v>
      </c>
      <c r="W26" s="23">
        <v>203415</v>
      </c>
      <c r="X26" s="23">
        <v>215610</v>
      </c>
      <c r="Y26" s="23">
        <v>196235</v>
      </c>
      <c r="Z26" s="109">
        <f>+Y26/C45</f>
        <v>0.75475000000000003</v>
      </c>
      <c r="AA26" s="79">
        <f t="shared" si="10"/>
        <v>-0.24524999999999997</v>
      </c>
      <c r="AX26"/>
    </row>
    <row r="27" spans="2:50" s="4" customFormat="1" ht="12.75">
      <c r="B27" s="4" t="str">
        <f>+B18</f>
        <v>Canada</v>
      </c>
      <c r="E27" s="23"/>
      <c r="F27" s="34">
        <f>11575*0.9</f>
        <v>10417.5</v>
      </c>
      <c r="G27" s="34">
        <f>19420*0.9</f>
        <v>17478</v>
      </c>
      <c r="H27" s="34">
        <f>21104*0.9</f>
        <v>18993.600000000002</v>
      </c>
      <c r="I27" s="34">
        <f>23454*0.9</f>
        <v>21108.600000000002</v>
      </c>
      <c r="J27" s="34">
        <v>29199</v>
      </c>
      <c r="K27" s="34">
        <v>43266</v>
      </c>
      <c r="L27" s="34">
        <v>46004</v>
      </c>
      <c r="M27" s="34">
        <v>62224</v>
      </c>
      <c r="N27" s="34">
        <v>74019</v>
      </c>
      <c r="O27" s="34">
        <v>82564</v>
      </c>
      <c r="P27" s="34">
        <v>94730</v>
      </c>
      <c r="Q27" s="34">
        <v>99045</v>
      </c>
      <c r="R27" s="34">
        <v>107771</v>
      </c>
      <c r="S27" s="34">
        <v>112721</v>
      </c>
      <c r="T27" s="34">
        <v>127921</v>
      </c>
      <c r="U27" s="34">
        <v>133182</v>
      </c>
      <c r="V27" s="121">
        <v>133182</v>
      </c>
      <c r="W27" s="34">
        <v>142556</v>
      </c>
      <c r="X27" s="34">
        <v>153612</v>
      </c>
      <c r="Y27" s="34">
        <v>150989</v>
      </c>
      <c r="Z27" s="109">
        <f>Y27/C46</f>
        <v>0.95866031746031743</v>
      </c>
      <c r="AA27" s="113">
        <f t="shared" si="10"/>
        <v>-4.1339682539682565E-2</v>
      </c>
    </row>
    <row r="28" spans="2:50" s="4" customFormat="1" ht="12.75">
      <c r="B28" s="4" t="s">
        <v>63</v>
      </c>
      <c r="E28" s="23"/>
      <c r="F28" s="34">
        <v>3000</v>
      </c>
      <c r="G28" s="34">
        <v>3000</v>
      </c>
      <c r="H28" s="34">
        <v>3000</v>
      </c>
      <c r="I28" s="34">
        <v>3000</v>
      </c>
      <c r="J28" s="34">
        <v>3000</v>
      </c>
      <c r="K28" s="34">
        <v>3000</v>
      </c>
      <c r="L28" s="34">
        <v>3000</v>
      </c>
      <c r="M28" s="34">
        <v>3000</v>
      </c>
      <c r="N28" s="34">
        <v>3000</v>
      </c>
      <c r="O28" s="34">
        <v>3000</v>
      </c>
      <c r="P28" s="34">
        <v>3000</v>
      </c>
      <c r="Q28" s="34">
        <v>3000</v>
      </c>
      <c r="R28" s="34">
        <v>3000</v>
      </c>
      <c r="S28" s="34">
        <v>3000</v>
      </c>
      <c r="T28" s="34">
        <v>3000</v>
      </c>
      <c r="U28" s="34">
        <v>3000</v>
      </c>
      <c r="V28" s="121">
        <v>4000</v>
      </c>
      <c r="W28" s="34">
        <v>8795</v>
      </c>
      <c r="X28" s="34">
        <v>8795</v>
      </c>
      <c r="Y28" s="34">
        <v>4000</v>
      </c>
      <c r="Z28" s="109">
        <f>Y28/C47</f>
        <v>0.08</v>
      </c>
      <c r="AA28" s="79">
        <f t="shared" si="10"/>
        <v>-0.92</v>
      </c>
    </row>
    <row r="29" spans="2:50">
      <c r="B29" s="5" t="str">
        <f>+B20</f>
        <v>Norwich</v>
      </c>
      <c r="C29" s="19"/>
      <c r="D29" s="19"/>
      <c r="E29" s="35"/>
      <c r="F29" s="35">
        <f>29232*1.64</f>
        <v>47940.479999999996</v>
      </c>
      <c r="G29" s="35">
        <f>41458*1.64</f>
        <v>67991.12</v>
      </c>
      <c r="H29" s="35">
        <f>51615*1.64</f>
        <v>84648.599999999991</v>
      </c>
      <c r="I29" s="35">
        <f>62522*1.64</f>
        <v>102536.07999999999</v>
      </c>
      <c r="J29" s="35">
        <v>126732</v>
      </c>
      <c r="K29" s="35">
        <v>149112</v>
      </c>
      <c r="L29" s="35">
        <v>163417</v>
      </c>
      <c r="M29" s="35">
        <v>193154</v>
      </c>
      <c r="N29" s="35">
        <v>221026</v>
      </c>
      <c r="O29" s="35">
        <v>237375</v>
      </c>
      <c r="P29" s="35">
        <v>256168</v>
      </c>
      <c r="Q29" s="35">
        <v>288923</v>
      </c>
      <c r="R29" s="35">
        <v>305627</v>
      </c>
      <c r="S29" s="35">
        <v>313443</v>
      </c>
      <c r="T29" s="35">
        <v>322750</v>
      </c>
      <c r="U29" s="35">
        <v>340303</v>
      </c>
      <c r="V29" s="35">
        <v>338705</v>
      </c>
      <c r="W29" s="35">
        <v>347468</v>
      </c>
      <c r="X29" s="35">
        <v>358928</v>
      </c>
      <c r="Y29" s="35">
        <v>356560</v>
      </c>
      <c r="Z29" s="110">
        <f>+Y29/C48</f>
        <v>1.2423693379790941</v>
      </c>
      <c r="AA29" s="113">
        <f t="shared" si="10"/>
        <v>0.2423693379790941</v>
      </c>
      <c r="AX29"/>
    </row>
    <row r="30" spans="2:50">
      <c r="B30" s="4" t="str">
        <f>+B21</f>
        <v>Group</v>
      </c>
      <c r="C30" s="4"/>
      <c r="D30" s="4"/>
      <c r="E30" s="4"/>
      <c r="F30" s="10">
        <f>SUM(F25:F29)</f>
        <v>99651.98</v>
      </c>
      <c r="G30" s="10">
        <f t="shared" ref="G30:Y30" si="11">SUM(G25:G29)</f>
        <v>171665.12</v>
      </c>
      <c r="H30" s="10">
        <f t="shared" si="11"/>
        <v>213620.2</v>
      </c>
      <c r="I30" s="4">
        <f t="shared" si="11"/>
        <v>259562.68</v>
      </c>
      <c r="J30" s="4">
        <f t="shared" si="11"/>
        <v>318295</v>
      </c>
      <c r="K30" s="10">
        <f t="shared" si="11"/>
        <v>377859</v>
      </c>
      <c r="L30" s="10">
        <f t="shared" si="11"/>
        <v>433044</v>
      </c>
      <c r="M30" s="10">
        <f t="shared" si="11"/>
        <v>504159</v>
      </c>
      <c r="N30" s="10">
        <f t="shared" si="11"/>
        <v>561064</v>
      </c>
      <c r="O30" s="4">
        <f>SUM(O25:O29)</f>
        <v>585958</v>
      </c>
      <c r="P30" s="10">
        <f t="shared" si="11"/>
        <v>625407</v>
      </c>
      <c r="Q30" s="10">
        <f t="shared" si="11"/>
        <v>691011</v>
      </c>
      <c r="R30" s="10">
        <f t="shared" si="11"/>
        <v>728096</v>
      </c>
      <c r="S30" s="10">
        <f t="shared" si="11"/>
        <v>768368</v>
      </c>
      <c r="T30" s="4">
        <f t="shared" si="11"/>
        <v>806724</v>
      </c>
      <c r="U30" s="10">
        <f t="shared" si="11"/>
        <v>883109</v>
      </c>
      <c r="V30" s="10">
        <f t="shared" si="11"/>
        <v>912941</v>
      </c>
      <c r="W30" s="10">
        <f t="shared" si="11"/>
        <v>953635</v>
      </c>
      <c r="X30" s="10">
        <f t="shared" si="11"/>
        <v>1009440</v>
      </c>
      <c r="Y30" s="10">
        <f t="shared" si="11"/>
        <v>1063680</v>
      </c>
      <c r="Z30" s="111">
        <f>+Y30/C49</f>
        <v>1.048477082306555</v>
      </c>
      <c r="AA30" s="118">
        <f t="shared" si="10"/>
        <v>4.8477082306555008E-2</v>
      </c>
      <c r="AX30"/>
    </row>
    <row r="31" spans="2:50" s="1" customFormat="1" ht="11.25">
      <c r="B31" s="1" t="s">
        <v>34</v>
      </c>
      <c r="E31" s="30"/>
      <c r="F31" s="30">
        <f t="shared" ref="F31:N31" si="12">+F30/$C$49</f>
        <v>9.8227678659438142E-2</v>
      </c>
      <c r="G31" s="30">
        <f t="shared" si="12"/>
        <v>0.16921155248891079</v>
      </c>
      <c r="H31" s="30">
        <f t="shared" si="12"/>
        <v>0.21056697880729425</v>
      </c>
      <c r="I31" s="30">
        <f t="shared" si="12"/>
        <v>0.25585281419418432</v>
      </c>
      <c r="J31" s="30">
        <f t="shared" si="12"/>
        <v>0.31374568753080334</v>
      </c>
      <c r="K31" s="30">
        <f t="shared" si="12"/>
        <v>0.37245835386890092</v>
      </c>
      <c r="L31" s="30">
        <f t="shared" si="12"/>
        <v>0.42685460818137011</v>
      </c>
      <c r="M31" s="30">
        <f t="shared" si="12"/>
        <v>0.49695317890586493</v>
      </c>
      <c r="N31" s="30">
        <f t="shared" si="12"/>
        <v>0.55304484967964518</v>
      </c>
      <c r="O31" s="30">
        <f>+O30/$C$49</f>
        <v>0.57758304583538689</v>
      </c>
      <c r="P31" s="30">
        <f t="shared" ref="P31:Y31" si="13">+P30/$C$49</f>
        <v>0.6164682109413504</v>
      </c>
      <c r="Q31" s="30">
        <f t="shared" si="13"/>
        <v>0.68113454903893544</v>
      </c>
      <c r="R31" s="30">
        <f t="shared" si="13"/>
        <v>0.71768950221784134</v>
      </c>
      <c r="S31" s="30">
        <f t="shared" si="13"/>
        <v>0.75738590438639719</v>
      </c>
      <c r="T31" s="30">
        <f t="shared" si="13"/>
        <v>0.79519369147363228</v>
      </c>
      <c r="U31" s="30">
        <f t="shared" si="13"/>
        <v>0.87048693937900445</v>
      </c>
      <c r="V31" s="30">
        <f t="shared" si="13"/>
        <v>0.89989255791030065</v>
      </c>
      <c r="W31" s="30">
        <f t="shared" si="13"/>
        <v>0.94000492853622475</v>
      </c>
      <c r="X31" s="30">
        <f t="shared" si="13"/>
        <v>0.99501232134056183</v>
      </c>
      <c r="Y31" s="30">
        <f t="shared" si="13"/>
        <v>1.048477082306555</v>
      </c>
    </row>
    <row r="32" spans="2:50" s="1" customFormat="1" ht="11.25"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50">
      <c r="B33" s="9" t="s">
        <v>25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X33"/>
    </row>
    <row r="34" spans="2:50">
      <c r="B34" s="4"/>
      <c r="C34" s="4"/>
      <c r="D34" s="4"/>
      <c r="E34" s="4"/>
      <c r="F34" s="4" t="str">
        <f>+F15</f>
        <v>Day 1</v>
      </c>
      <c r="G34" s="4" t="str">
        <f t="shared" ref="G34:Y34" si="14">+G15</f>
        <v>Day 2</v>
      </c>
      <c r="H34" s="4" t="str">
        <f t="shared" si="14"/>
        <v>Day 3</v>
      </c>
      <c r="I34" s="4" t="str">
        <f t="shared" si="14"/>
        <v>Day 4</v>
      </c>
      <c r="J34" s="4" t="str">
        <f t="shared" si="14"/>
        <v>Day 5</v>
      </c>
      <c r="K34" s="4" t="str">
        <f t="shared" si="14"/>
        <v>Day 6</v>
      </c>
      <c r="L34" s="4" t="str">
        <f t="shared" si="14"/>
        <v>Day 7</v>
      </c>
      <c r="M34" s="4" t="str">
        <f t="shared" si="14"/>
        <v>Day 8</v>
      </c>
      <c r="N34" s="4" t="str">
        <f t="shared" si="14"/>
        <v>Day 9</v>
      </c>
      <c r="O34" s="4" t="str">
        <f t="shared" si="14"/>
        <v>Day 10</v>
      </c>
      <c r="P34" s="4" t="str">
        <f t="shared" si="14"/>
        <v>Day 11</v>
      </c>
      <c r="Q34" s="4" t="str">
        <f t="shared" si="14"/>
        <v>Day 12</v>
      </c>
      <c r="R34" s="4" t="str">
        <f t="shared" si="14"/>
        <v>Day 13</v>
      </c>
      <c r="S34" s="4" t="str">
        <f t="shared" si="14"/>
        <v>Day 14</v>
      </c>
      <c r="T34" s="4" t="str">
        <f t="shared" si="14"/>
        <v>Day 15</v>
      </c>
      <c r="U34" s="4" t="str">
        <f t="shared" si="14"/>
        <v>Day 16</v>
      </c>
      <c r="V34" s="4" t="str">
        <f t="shared" si="14"/>
        <v>Day 17</v>
      </c>
      <c r="W34" s="4" t="str">
        <f t="shared" si="14"/>
        <v>Day 18</v>
      </c>
      <c r="X34" s="4" t="str">
        <f t="shared" si="14"/>
        <v>Day 19</v>
      </c>
      <c r="Y34" s="4" t="str">
        <f t="shared" si="14"/>
        <v>Day 20</v>
      </c>
      <c r="AX34"/>
    </row>
    <row r="35" spans="2:50">
      <c r="B35" s="4" t="s">
        <v>0</v>
      </c>
      <c r="C35" s="17"/>
      <c r="D35" s="17"/>
      <c r="E35" s="17"/>
      <c r="F35" s="17">
        <f t="shared" ref="F35:Y35" si="15">(F44/$C$44)</f>
        <v>1.7006923076923077</v>
      </c>
      <c r="G35" s="17">
        <f t="shared" si="15"/>
        <v>1.6529230769230769</v>
      </c>
      <c r="H35" s="17">
        <f t="shared" si="15"/>
        <v>1.4799487179487179</v>
      </c>
      <c r="I35" s="17">
        <f t="shared" si="15"/>
        <v>1.4896730769230768</v>
      </c>
      <c r="J35" s="17">
        <f t="shared" si="15"/>
        <v>1.4295230769230769</v>
      </c>
      <c r="K35" s="17">
        <f t="shared" si="15"/>
        <v>1.4261666666666668</v>
      </c>
      <c r="L35" s="17">
        <f t="shared" si="15"/>
        <v>1.3539890109890109</v>
      </c>
      <c r="M35" s="17">
        <f t="shared" si="15"/>
        <v>1.2431826923076923</v>
      </c>
      <c r="N35" s="17">
        <f t="shared" si="15"/>
        <v>1.2523846153846154</v>
      </c>
      <c r="O35" s="17">
        <f t="shared" si="15"/>
        <v>1.1271461538461538</v>
      </c>
      <c r="P35" s="17">
        <f t="shared" si="15"/>
        <v>1.0246783216783217</v>
      </c>
      <c r="Q35" s="17">
        <f t="shared" si="15"/>
        <v>1.0625512820512819</v>
      </c>
      <c r="R35" s="17">
        <f t="shared" si="15"/>
        <v>1.0497810650887573</v>
      </c>
      <c r="S35" s="17">
        <f t="shared" si="15"/>
        <v>1.0834560439560439</v>
      </c>
      <c r="T35" s="17">
        <f t="shared" si="15"/>
        <v>1.0822461538461539</v>
      </c>
      <c r="U35" s="17">
        <f t="shared" si="15"/>
        <v>1.1818461538461538</v>
      </c>
      <c r="V35" s="17">
        <f t="shared" si="15"/>
        <v>1.1123257918552036</v>
      </c>
      <c r="W35" s="17">
        <f t="shared" si="15"/>
        <v>1.0743632478632479</v>
      </c>
      <c r="X35" s="17">
        <f t="shared" si="15"/>
        <v>1.1032186234817813</v>
      </c>
      <c r="Y35" s="17">
        <f t="shared" si="15"/>
        <v>1.3688307692307693</v>
      </c>
      <c r="AX35"/>
    </row>
    <row r="36" spans="2:50">
      <c r="B36" s="4" t="s">
        <v>1</v>
      </c>
      <c r="C36" s="17"/>
      <c r="D36" s="17"/>
      <c r="E36" s="17"/>
      <c r="F36" s="17">
        <f t="shared" ref="F36:Y36" si="16">(F45/$C$45)</f>
        <v>1.2450000000000001</v>
      </c>
      <c r="G36" s="17">
        <f t="shared" si="16"/>
        <v>1.5469230769230768</v>
      </c>
      <c r="H36" s="17">
        <f t="shared" si="16"/>
        <v>1.263076923076923</v>
      </c>
      <c r="I36" s="17">
        <f t="shared" si="16"/>
        <v>1.0664423076923077</v>
      </c>
      <c r="J36" s="17">
        <f t="shared" si="16"/>
        <v>1.0222307692307693</v>
      </c>
      <c r="K36" s="17">
        <f t="shared" si="16"/>
        <v>0.91333333333333344</v>
      </c>
      <c r="L36" s="17">
        <f t="shared" si="16"/>
        <v>1.0704395604395605</v>
      </c>
      <c r="M36" s="17">
        <f t="shared" si="16"/>
        <v>1.1200961538461538</v>
      </c>
      <c r="N36" s="17">
        <f t="shared" si="16"/>
        <v>0.99564102564102575</v>
      </c>
      <c r="O36" s="17">
        <f t="shared" si="16"/>
        <v>0.8960769230769231</v>
      </c>
      <c r="P36" s="17">
        <f t="shared" si="16"/>
        <v>0.87398601398601405</v>
      </c>
      <c r="Q36" s="17">
        <f t="shared" si="16"/>
        <v>0.86080128205128192</v>
      </c>
      <c r="R36" s="17">
        <f t="shared" si="16"/>
        <v>0.79458579881656799</v>
      </c>
      <c r="S36" s="17">
        <f t="shared" si="16"/>
        <v>0.78030219780219778</v>
      </c>
      <c r="T36" s="17">
        <f t="shared" si="16"/>
        <v>0.72828205128205126</v>
      </c>
      <c r="U36" s="17">
        <f t="shared" si="16"/>
        <v>0.77307692307692311</v>
      </c>
      <c r="V36" s="17">
        <f t="shared" si="16"/>
        <v>0.86529411764705877</v>
      </c>
      <c r="W36" s="17">
        <f t="shared" si="16"/>
        <v>0.86929487179487186</v>
      </c>
      <c r="X36" s="17">
        <f t="shared" si="16"/>
        <v>0.87291497975708499</v>
      </c>
      <c r="Y36" s="17">
        <f t="shared" si="16"/>
        <v>0.75475000000000003</v>
      </c>
      <c r="AX36"/>
    </row>
    <row r="37" spans="2:50">
      <c r="B37" s="4" t="s">
        <v>2</v>
      </c>
      <c r="C37" s="17"/>
      <c r="D37" s="17"/>
      <c r="E37" s="17"/>
      <c r="F37" s="17">
        <f t="shared" ref="F37:Y38" si="17">(F46/$C$46)</f>
        <v>1.322857142857143</v>
      </c>
      <c r="G37" s="17">
        <f t="shared" si="17"/>
        <v>1.1097142857142857</v>
      </c>
      <c r="H37" s="17">
        <f t="shared" si="17"/>
        <v>0.80396190476190488</v>
      </c>
      <c r="I37" s="17">
        <f t="shared" si="17"/>
        <v>0.67011428571428577</v>
      </c>
      <c r="J37" s="17">
        <f t="shared" si="17"/>
        <v>0.74156190476190476</v>
      </c>
      <c r="K37" s="17">
        <f t="shared" si="17"/>
        <v>0.91568253968253965</v>
      </c>
      <c r="L37" s="17">
        <f t="shared" si="17"/>
        <v>0.83453968253968258</v>
      </c>
      <c r="M37" s="17">
        <f t="shared" si="17"/>
        <v>0.98768253968253972</v>
      </c>
      <c r="N37" s="17">
        <f t="shared" si="17"/>
        <v>1.0443597883597884</v>
      </c>
      <c r="O37" s="17">
        <f t="shared" si="17"/>
        <v>1.048431746031746</v>
      </c>
      <c r="P37" s="17">
        <f t="shared" si="17"/>
        <v>1.0935642135642136</v>
      </c>
      <c r="Q37" s="17">
        <f t="shared" si="17"/>
        <v>1.0480952380952382</v>
      </c>
      <c r="R37" s="17">
        <f t="shared" si="17"/>
        <v>1.0527081807081808</v>
      </c>
      <c r="S37" s="17">
        <f t="shared" si="17"/>
        <v>1.0224126984126984</v>
      </c>
      <c r="T37" s="17">
        <f t="shared" si="17"/>
        <v>1.0829291005291006</v>
      </c>
      <c r="U37" s="17">
        <f t="shared" si="17"/>
        <v>1.0569999999999999</v>
      </c>
      <c r="V37" s="17">
        <f t="shared" si="17"/>
        <v>0.99482352941176477</v>
      </c>
      <c r="W37" s="17">
        <f t="shared" si="17"/>
        <v>1.0056860670194003</v>
      </c>
      <c r="X37" s="17">
        <f t="shared" si="17"/>
        <v>1.0266466165413533</v>
      </c>
      <c r="Y37" s="17">
        <f t="shared" si="17"/>
        <v>0.95866031746031743</v>
      </c>
      <c r="AX37"/>
    </row>
    <row r="38" spans="2:50">
      <c r="B38" s="4" t="s">
        <v>63</v>
      </c>
      <c r="C38" s="17"/>
      <c r="D38" s="17"/>
      <c r="E38" s="17"/>
      <c r="F38" s="17">
        <f t="shared" si="17"/>
        <v>0.38095238095238093</v>
      </c>
      <c r="G38" s="17">
        <f t="shared" si="17"/>
        <v>0.19047619047619047</v>
      </c>
      <c r="H38" s="17">
        <f t="shared" si="17"/>
        <v>0.12698412698412698</v>
      </c>
      <c r="I38" s="17">
        <f t="shared" si="17"/>
        <v>9.5238095238095233E-2</v>
      </c>
      <c r="J38" s="17">
        <f t="shared" si="17"/>
        <v>7.6190476190476197E-2</v>
      </c>
      <c r="K38" s="17">
        <f t="shared" si="17"/>
        <v>6.3492063492063489E-2</v>
      </c>
      <c r="L38" s="17">
        <f t="shared" si="17"/>
        <v>5.4421768707482991E-2</v>
      </c>
      <c r="M38" s="17">
        <f t="shared" si="17"/>
        <v>4.7619047619047616E-2</v>
      </c>
      <c r="N38" s="17">
        <f t="shared" si="17"/>
        <v>4.2328042328042326E-2</v>
      </c>
      <c r="O38" s="17">
        <f t="shared" si="17"/>
        <v>3.8095238095238099E-2</v>
      </c>
      <c r="P38" s="17">
        <f t="shared" si="17"/>
        <v>3.4632034632034632E-2</v>
      </c>
      <c r="Q38" s="17">
        <f t="shared" si="17"/>
        <v>3.1746031746031744E-2</v>
      </c>
      <c r="R38" s="17">
        <f t="shared" si="17"/>
        <v>2.9304029304029304E-2</v>
      </c>
      <c r="S38" s="17">
        <f t="shared" si="17"/>
        <v>2.7210884353741496E-2</v>
      </c>
      <c r="T38" s="17">
        <f t="shared" si="17"/>
        <v>2.5396825396825397E-2</v>
      </c>
      <c r="U38" s="17">
        <f t="shared" si="17"/>
        <v>2.3809523809523808E-2</v>
      </c>
      <c r="V38" s="17">
        <f t="shared" si="17"/>
        <v>2.9878618113912233E-2</v>
      </c>
      <c r="W38" s="17">
        <f t="shared" si="17"/>
        <v>6.2045855379188712E-2</v>
      </c>
      <c r="X38" s="17">
        <f t="shared" si="17"/>
        <v>5.878028404344194E-2</v>
      </c>
      <c r="Y38" s="17">
        <f t="shared" si="17"/>
        <v>2.5396825396825397E-2</v>
      </c>
      <c r="AX38"/>
    </row>
    <row r="39" spans="2:50">
      <c r="B39" s="4" t="s">
        <v>3</v>
      </c>
      <c r="C39" s="18"/>
      <c r="D39" s="18"/>
      <c r="E39" s="18"/>
      <c r="F39" s="18">
        <f t="shared" ref="F39:Y39" si="18">(F48/$C$48)</f>
        <v>3.3407999999999993</v>
      </c>
      <c r="G39" s="18">
        <f t="shared" si="18"/>
        <v>2.3690285714285713</v>
      </c>
      <c r="H39" s="18">
        <f t="shared" si="18"/>
        <v>1.9662857142857142</v>
      </c>
      <c r="I39" s="18">
        <f t="shared" si="18"/>
        <v>1.7863428571428568</v>
      </c>
      <c r="J39" s="18">
        <f t="shared" si="18"/>
        <v>1.7662996515679443</v>
      </c>
      <c r="K39" s="18">
        <f t="shared" si="18"/>
        <v>1.7318466898954703</v>
      </c>
      <c r="L39" s="18">
        <f t="shared" si="18"/>
        <v>1.6268491786958685</v>
      </c>
      <c r="M39" s="18">
        <f t="shared" si="18"/>
        <v>1.6825261324041811</v>
      </c>
      <c r="N39" s="18">
        <f t="shared" si="18"/>
        <v>1.7113898567557104</v>
      </c>
      <c r="O39" s="18">
        <f t="shared" si="18"/>
        <v>1.6541811846689896</v>
      </c>
      <c r="P39" s="18">
        <f t="shared" si="18"/>
        <v>1.6228571428571428</v>
      </c>
      <c r="Q39" s="18">
        <f t="shared" si="18"/>
        <v>1.6778339140534264</v>
      </c>
      <c r="R39" s="18">
        <f t="shared" si="18"/>
        <v>1.6383114446529081</v>
      </c>
      <c r="S39" s="18">
        <f t="shared" si="18"/>
        <v>1.5601941264310601</v>
      </c>
      <c r="T39" s="18">
        <f t="shared" si="18"/>
        <v>1.4994192799070849</v>
      </c>
      <c r="U39" s="18">
        <f t="shared" si="18"/>
        <v>1.4821559233449477</v>
      </c>
      <c r="V39" s="18">
        <f t="shared" si="18"/>
        <v>1.3884197581471613</v>
      </c>
      <c r="W39" s="18">
        <f t="shared" si="18"/>
        <v>1.3452109949670925</v>
      </c>
      <c r="X39" s="18">
        <f t="shared" si="18"/>
        <v>1.3164423253255089</v>
      </c>
      <c r="Y39" s="18">
        <f t="shared" si="18"/>
        <v>1.2423693379790941</v>
      </c>
      <c r="AX39"/>
    </row>
    <row r="40" spans="2:50">
      <c r="B40" s="14" t="s">
        <v>27</v>
      </c>
      <c r="C40" s="17"/>
      <c r="D40" s="17"/>
      <c r="E40" s="17">
        <f t="shared" ref="E40:Y40" si="19">(E49/$C$49)</f>
        <v>0</v>
      </c>
      <c r="F40" s="17">
        <f t="shared" si="19"/>
        <v>1.9645535731887629</v>
      </c>
      <c r="G40" s="17">
        <f t="shared" si="19"/>
        <v>1.692115524889108</v>
      </c>
      <c r="H40" s="17">
        <f t="shared" si="19"/>
        <v>1.4037798587152948</v>
      </c>
      <c r="I40" s="17">
        <f t="shared" si="19"/>
        <v>1.2792640709709215</v>
      </c>
      <c r="J40" s="17">
        <f t="shared" si="19"/>
        <v>1.2549827501232134</v>
      </c>
      <c r="K40" s="17">
        <f t="shared" si="19"/>
        <v>1.2415278462296697</v>
      </c>
      <c r="L40" s="17">
        <f t="shared" si="19"/>
        <v>1.2195845948039146</v>
      </c>
      <c r="M40" s="17">
        <f t="shared" si="19"/>
        <v>1.2423829472646624</v>
      </c>
      <c r="N40" s="17">
        <f t="shared" si="19"/>
        <v>1.2289885548436559</v>
      </c>
      <c r="O40" s="17">
        <f t="shared" si="19"/>
        <v>1.1551660916707738</v>
      </c>
      <c r="P40" s="17">
        <f t="shared" si="19"/>
        <v>1.1208512926206371</v>
      </c>
      <c r="Q40" s="17">
        <f t="shared" si="19"/>
        <v>1.1352242483982258</v>
      </c>
      <c r="R40" s="17">
        <f t="shared" si="19"/>
        <v>1.104137695719756</v>
      </c>
      <c r="S40" s="17">
        <f t="shared" si="19"/>
        <v>1.0819798634091389</v>
      </c>
      <c r="T40" s="17">
        <f t="shared" si="19"/>
        <v>1.0602582552981765</v>
      </c>
      <c r="U40" s="17">
        <f t="shared" si="19"/>
        <v>1.0881086742237556</v>
      </c>
      <c r="V40" s="17">
        <f t="shared" si="19"/>
        <v>1.0586971269532948</v>
      </c>
      <c r="W40" s="17">
        <f t="shared" si="19"/>
        <v>1.0444499205958053</v>
      </c>
      <c r="X40" s="17">
        <f t="shared" si="19"/>
        <v>1.047381390884802</v>
      </c>
      <c r="Y40" s="17">
        <f t="shared" si="19"/>
        <v>1.048477082306555</v>
      </c>
      <c r="AX40"/>
    </row>
    <row r="41" spans="2:50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X41"/>
    </row>
    <row r="42" spans="2:50">
      <c r="B42" s="9" t="s">
        <v>26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AX42"/>
    </row>
    <row r="43" spans="2:50">
      <c r="B43" s="4"/>
      <c r="C43" s="4"/>
      <c r="D43" s="4"/>
      <c r="E43" s="4"/>
      <c r="F43" s="4" t="str">
        <f>+F34</f>
        <v>Day 1</v>
      </c>
      <c r="G43" s="4" t="str">
        <f t="shared" ref="G43:Y43" si="20">+G34</f>
        <v>Day 2</v>
      </c>
      <c r="H43" s="4" t="str">
        <f t="shared" si="20"/>
        <v>Day 3</v>
      </c>
      <c r="I43" s="4" t="str">
        <f t="shared" si="20"/>
        <v>Day 4</v>
      </c>
      <c r="J43" s="4" t="str">
        <f t="shared" si="20"/>
        <v>Day 5</v>
      </c>
      <c r="K43" s="4" t="str">
        <f t="shared" si="20"/>
        <v>Day 6</v>
      </c>
      <c r="L43" s="4" t="str">
        <f t="shared" si="20"/>
        <v>Day 7</v>
      </c>
      <c r="M43" s="4" t="str">
        <f t="shared" si="20"/>
        <v>Day 8</v>
      </c>
      <c r="N43" s="4" t="str">
        <f t="shared" si="20"/>
        <v>Day 9</v>
      </c>
      <c r="O43" s="4" t="str">
        <f t="shared" si="20"/>
        <v>Day 10</v>
      </c>
      <c r="P43" s="4" t="str">
        <f t="shared" si="20"/>
        <v>Day 11</v>
      </c>
      <c r="Q43" s="4" t="str">
        <f t="shared" si="20"/>
        <v>Day 12</v>
      </c>
      <c r="R43" s="4" t="str">
        <f t="shared" si="20"/>
        <v>Day 13</v>
      </c>
      <c r="S43" s="4" t="str">
        <f t="shared" si="20"/>
        <v>Day 14</v>
      </c>
      <c r="T43" s="4" t="str">
        <f t="shared" si="20"/>
        <v>Day 15</v>
      </c>
      <c r="U43" s="4" t="str">
        <f t="shared" si="20"/>
        <v>Day 16</v>
      </c>
      <c r="V43" s="4" t="str">
        <f t="shared" si="20"/>
        <v>Day 17</v>
      </c>
      <c r="W43" s="4" t="str">
        <f t="shared" si="20"/>
        <v>Day 18</v>
      </c>
      <c r="X43" s="4" t="str">
        <f t="shared" si="20"/>
        <v>Day 19</v>
      </c>
      <c r="Y43" s="4" t="str">
        <f t="shared" si="20"/>
        <v>Day 20</v>
      </c>
      <c r="AX43"/>
    </row>
    <row r="44" spans="2:50">
      <c r="B44" s="4" t="s">
        <v>0</v>
      </c>
      <c r="C44" s="37">
        <v>260000</v>
      </c>
      <c r="D44" s="4"/>
      <c r="E44" s="4"/>
      <c r="F44" s="55">
        <f t="shared" ref="F44:Y47" si="21">(F25)/F$1*$Y$1</f>
        <v>442180</v>
      </c>
      <c r="G44" s="55">
        <f t="shared" si="21"/>
        <v>429760</v>
      </c>
      <c r="H44" s="55">
        <f t="shared" si="21"/>
        <v>384786.66666666663</v>
      </c>
      <c r="I44" s="55">
        <f t="shared" si="21"/>
        <v>387315</v>
      </c>
      <c r="J44" s="55">
        <f t="shared" si="21"/>
        <v>371676</v>
      </c>
      <c r="K44" s="55">
        <f t="shared" si="21"/>
        <v>370803.33333333337</v>
      </c>
      <c r="L44" s="55">
        <f t="shared" si="21"/>
        <v>352037.14285714284</v>
      </c>
      <c r="M44" s="55">
        <f t="shared" si="21"/>
        <v>323227.5</v>
      </c>
      <c r="N44" s="55">
        <f t="shared" si="21"/>
        <v>325620</v>
      </c>
      <c r="O44" s="55">
        <f t="shared" si="21"/>
        <v>293058</v>
      </c>
      <c r="P44" s="55">
        <f t="shared" si="21"/>
        <v>266416.36363636365</v>
      </c>
      <c r="Q44" s="55">
        <f t="shared" si="21"/>
        <v>276263.33333333331</v>
      </c>
      <c r="R44" s="55">
        <f t="shared" si="21"/>
        <v>272943.07692307694</v>
      </c>
      <c r="S44" s="55">
        <f t="shared" si="21"/>
        <v>281698.57142857142</v>
      </c>
      <c r="T44" s="55">
        <f t="shared" si="21"/>
        <v>281384</v>
      </c>
      <c r="U44" s="55">
        <f t="shared" si="21"/>
        <v>307280</v>
      </c>
      <c r="V44" s="55">
        <f t="shared" si="21"/>
        <v>289204.70588235295</v>
      </c>
      <c r="W44" s="55">
        <f t="shared" si="21"/>
        <v>279334.44444444444</v>
      </c>
      <c r="X44" s="55">
        <f>(X25)/X$1*$Y$1</f>
        <v>286836.84210526315</v>
      </c>
      <c r="Y44" s="55">
        <f t="shared" si="21"/>
        <v>355896</v>
      </c>
      <c r="AX44"/>
    </row>
    <row r="45" spans="2:50">
      <c r="B45" s="4" t="s">
        <v>1</v>
      </c>
      <c r="C45" s="37">
        <v>260000</v>
      </c>
      <c r="D45" s="4"/>
      <c r="E45" s="4"/>
      <c r="F45" s="55">
        <f t="shared" si="21"/>
        <v>323700</v>
      </c>
      <c r="G45" s="55">
        <f t="shared" si="21"/>
        <v>402200</v>
      </c>
      <c r="H45" s="55">
        <f t="shared" si="21"/>
        <v>328400</v>
      </c>
      <c r="I45" s="55">
        <f t="shared" si="21"/>
        <v>277275</v>
      </c>
      <c r="J45" s="55">
        <f t="shared" si="21"/>
        <v>265780</v>
      </c>
      <c r="K45" s="55">
        <f t="shared" si="21"/>
        <v>237466.66666666669</v>
      </c>
      <c r="L45" s="55">
        <f t="shared" si="21"/>
        <v>278314.28571428574</v>
      </c>
      <c r="M45" s="55">
        <f t="shared" si="21"/>
        <v>291225</v>
      </c>
      <c r="N45" s="55">
        <f t="shared" si="21"/>
        <v>258866.66666666669</v>
      </c>
      <c r="O45" s="55">
        <f t="shared" si="21"/>
        <v>232980</v>
      </c>
      <c r="P45" s="55">
        <f t="shared" si="21"/>
        <v>227236.36363636365</v>
      </c>
      <c r="Q45" s="55">
        <f t="shared" si="21"/>
        <v>223808.33333333331</v>
      </c>
      <c r="R45" s="55">
        <f t="shared" si="21"/>
        <v>206592.30769230769</v>
      </c>
      <c r="S45" s="55">
        <f t="shared" si="21"/>
        <v>202878.57142857142</v>
      </c>
      <c r="T45" s="55">
        <f t="shared" si="21"/>
        <v>189353.33333333331</v>
      </c>
      <c r="U45" s="55">
        <f t="shared" si="21"/>
        <v>201000</v>
      </c>
      <c r="V45" s="55">
        <f t="shared" si="21"/>
        <v>224976.47058823527</v>
      </c>
      <c r="W45" s="55">
        <f t="shared" si="21"/>
        <v>226016.66666666669</v>
      </c>
      <c r="X45" s="55">
        <f t="shared" si="21"/>
        <v>226957.89473684211</v>
      </c>
      <c r="Y45" s="55">
        <f t="shared" si="21"/>
        <v>196235</v>
      </c>
      <c r="AX45"/>
    </row>
    <row r="46" spans="2:50">
      <c r="B46" s="4" t="s">
        <v>2</v>
      </c>
      <c r="C46" s="37">
        <f>175000*0.9</f>
        <v>157500</v>
      </c>
      <c r="D46" s="4"/>
      <c r="E46" s="4"/>
      <c r="F46" s="55">
        <f>(F27)/F$1*$Y$1</f>
        <v>208350</v>
      </c>
      <c r="G46" s="55">
        <f t="shared" si="21"/>
        <v>174780</v>
      </c>
      <c r="H46" s="55">
        <f t="shared" si="21"/>
        <v>126624.00000000001</v>
      </c>
      <c r="I46" s="55">
        <f t="shared" si="21"/>
        <v>105543.00000000001</v>
      </c>
      <c r="J46" s="55">
        <f t="shared" si="21"/>
        <v>116796</v>
      </c>
      <c r="K46" s="55">
        <f t="shared" si="21"/>
        <v>144220</v>
      </c>
      <c r="L46" s="55">
        <f t="shared" si="21"/>
        <v>131440</v>
      </c>
      <c r="M46" s="55">
        <f t="shared" si="21"/>
        <v>155560</v>
      </c>
      <c r="N46" s="55">
        <f t="shared" si="21"/>
        <v>164486.66666666669</v>
      </c>
      <c r="O46" s="55">
        <f t="shared" si="21"/>
        <v>165128</v>
      </c>
      <c r="P46" s="55">
        <f t="shared" si="21"/>
        <v>172236.36363636365</v>
      </c>
      <c r="Q46" s="55">
        <f t="shared" si="21"/>
        <v>165075</v>
      </c>
      <c r="R46" s="55">
        <f t="shared" si="21"/>
        <v>165801.53846153847</v>
      </c>
      <c r="S46" s="55">
        <f t="shared" si="21"/>
        <v>161030</v>
      </c>
      <c r="T46" s="55">
        <f t="shared" si="21"/>
        <v>170561.33333333334</v>
      </c>
      <c r="U46" s="55">
        <f t="shared" si="21"/>
        <v>166477.5</v>
      </c>
      <c r="V46" s="55">
        <f t="shared" si="21"/>
        <v>156684.70588235295</v>
      </c>
      <c r="W46" s="55">
        <f t="shared" si="21"/>
        <v>158395.55555555556</v>
      </c>
      <c r="X46" s="55">
        <f t="shared" si="21"/>
        <v>161696.84210526315</v>
      </c>
      <c r="Y46" s="55">
        <f t="shared" si="21"/>
        <v>150989</v>
      </c>
      <c r="AA46" s="48"/>
    </row>
    <row r="47" spans="2:50">
      <c r="B47" s="4" t="s">
        <v>63</v>
      </c>
      <c r="C47" s="37">
        <v>50000</v>
      </c>
      <c r="D47" s="4"/>
      <c r="E47" s="4"/>
      <c r="F47" s="55">
        <f>(F28)/F$1*$Y$1</f>
        <v>60000</v>
      </c>
      <c r="G47" s="55">
        <f t="shared" si="21"/>
        <v>30000</v>
      </c>
      <c r="H47" s="55">
        <f t="shared" si="21"/>
        <v>20000</v>
      </c>
      <c r="I47" s="55">
        <f t="shared" si="21"/>
        <v>15000</v>
      </c>
      <c r="J47" s="55">
        <f t="shared" si="21"/>
        <v>12000</v>
      </c>
      <c r="K47" s="55">
        <f t="shared" si="21"/>
        <v>10000</v>
      </c>
      <c r="L47" s="55">
        <f t="shared" si="21"/>
        <v>8571.4285714285706</v>
      </c>
      <c r="M47" s="55">
        <f t="shared" si="21"/>
        <v>7500</v>
      </c>
      <c r="N47" s="55">
        <f t="shared" si="21"/>
        <v>6666.6666666666661</v>
      </c>
      <c r="O47" s="55">
        <f t="shared" si="21"/>
        <v>6000</v>
      </c>
      <c r="P47" s="55">
        <f t="shared" si="21"/>
        <v>5454.545454545455</v>
      </c>
      <c r="Q47" s="55">
        <f t="shared" si="21"/>
        <v>5000</v>
      </c>
      <c r="R47" s="55">
        <f t="shared" si="21"/>
        <v>4615.3846153846152</v>
      </c>
      <c r="S47" s="55">
        <f t="shared" si="21"/>
        <v>4285.7142857142853</v>
      </c>
      <c r="T47" s="55">
        <f t="shared" si="21"/>
        <v>4000</v>
      </c>
      <c r="U47" s="55">
        <f t="shared" si="21"/>
        <v>3750</v>
      </c>
      <c r="V47" s="55">
        <f t="shared" si="21"/>
        <v>4705.8823529411766</v>
      </c>
      <c r="W47" s="55">
        <f t="shared" si="21"/>
        <v>9772.2222222222226</v>
      </c>
      <c r="X47" s="55">
        <f t="shared" si="21"/>
        <v>9257.894736842105</v>
      </c>
      <c r="Y47" s="55">
        <f t="shared" si="21"/>
        <v>4000</v>
      </c>
      <c r="AA47" s="48"/>
    </row>
    <row r="48" spans="2:50">
      <c r="B48" s="4" t="s">
        <v>3</v>
      </c>
      <c r="C48" s="38">
        <f>175000*1.64</f>
        <v>287000</v>
      </c>
      <c r="D48" s="19"/>
      <c r="E48" s="19"/>
      <c r="F48" s="98">
        <f t="shared" ref="F48:Y48" si="22">(F29)/F$1*$Y$1</f>
        <v>958809.59999999986</v>
      </c>
      <c r="G48" s="98">
        <f t="shared" si="22"/>
        <v>679911.2</v>
      </c>
      <c r="H48" s="98">
        <f t="shared" si="22"/>
        <v>564324</v>
      </c>
      <c r="I48" s="98">
        <f t="shared" si="22"/>
        <v>512680.39999999991</v>
      </c>
      <c r="J48" s="98">
        <f t="shared" si="22"/>
        <v>506928</v>
      </c>
      <c r="K48" s="98">
        <f t="shared" si="22"/>
        <v>497040</v>
      </c>
      <c r="L48" s="98">
        <f t="shared" si="22"/>
        <v>466905.71428571426</v>
      </c>
      <c r="M48" s="98">
        <f t="shared" si="22"/>
        <v>482885</v>
      </c>
      <c r="N48" s="98">
        <f t="shared" si="22"/>
        <v>491168.88888888888</v>
      </c>
      <c r="O48" s="98">
        <f t="shared" si="22"/>
        <v>474750</v>
      </c>
      <c r="P48" s="98">
        <f t="shared" si="22"/>
        <v>465760</v>
      </c>
      <c r="Q48" s="98">
        <f t="shared" si="22"/>
        <v>481538.33333333337</v>
      </c>
      <c r="R48" s="98">
        <f t="shared" si="22"/>
        <v>470195.38461538462</v>
      </c>
      <c r="S48" s="98">
        <f t="shared" si="22"/>
        <v>447775.71428571426</v>
      </c>
      <c r="T48" s="98">
        <f t="shared" si="22"/>
        <v>430333.33333333337</v>
      </c>
      <c r="U48" s="98">
        <f t="shared" si="22"/>
        <v>425378.75</v>
      </c>
      <c r="V48" s="98">
        <f t="shared" si="22"/>
        <v>398476.4705882353</v>
      </c>
      <c r="W48" s="98">
        <f t="shared" si="22"/>
        <v>386075.55555555556</v>
      </c>
      <c r="X48" s="98">
        <f t="shared" si="22"/>
        <v>377818.94736842107</v>
      </c>
      <c r="Y48" s="98">
        <f t="shared" si="22"/>
        <v>356560</v>
      </c>
    </row>
    <row r="49" spans="2:25">
      <c r="B49" s="14" t="s">
        <v>27</v>
      </c>
      <c r="C49" s="39">
        <f>SUM(C44:C48)</f>
        <v>1014500</v>
      </c>
      <c r="D49" s="10">
        <f>SUM(D44:D48)</f>
        <v>0</v>
      </c>
      <c r="E49" s="10"/>
      <c r="F49" s="10">
        <f t="shared" ref="F49:Y49" si="23">SUM(F44:F48)</f>
        <v>1993039.5999999999</v>
      </c>
      <c r="G49" s="10">
        <f t="shared" si="23"/>
        <v>1716651.2</v>
      </c>
      <c r="H49" s="10">
        <f t="shared" si="23"/>
        <v>1424134.6666666665</v>
      </c>
      <c r="I49" s="10">
        <f t="shared" si="23"/>
        <v>1297813.3999999999</v>
      </c>
      <c r="J49" s="10">
        <f t="shared" si="23"/>
        <v>1273180</v>
      </c>
      <c r="K49" s="10">
        <f t="shared" si="23"/>
        <v>1259530</v>
      </c>
      <c r="L49" s="10">
        <f t="shared" si="23"/>
        <v>1237268.5714285714</v>
      </c>
      <c r="M49" s="10">
        <f t="shared" si="23"/>
        <v>1260397.5</v>
      </c>
      <c r="N49" s="10">
        <f t="shared" si="23"/>
        <v>1246808.888888889</v>
      </c>
      <c r="O49" s="10">
        <f t="shared" si="23"/>
        <v>1171916</v>
      </c>
      <c r="P49" s="10">
        <f t="shared" si="23"/>
        <v>1137103.6363636362</v>
      </c>
      <c r="Q49" s="10">
        <f t="shared" si="23"/>
        <v>1151685</v>
      </c>
      <c r="R49" s="10">
        <f t="shared" si="23"/>
        <v>1120147.6923076925</v>
      </c>
      <c r="S49" s="10">
        <f t="shared" si="23"/>
        <v>1097668.5714285714</v>
      </c>
      <c r="T49" s="10">
        <f t="shared" si="23"/>
        <v>1075632</v>
      </c>
      <c r="U49" s="10">
        <f t="shared" si="23"/>
        <v>1103886.25</v>
      </c>
      <c r="V49" s="10">
        <f t="shared" si="23"/>
        <v>1074048.2352941176</v>
      </c>
      <c r="W49" s="10">
        <f t="shared" si="23"/>
        <v>1059594.4444444445</v>
      </c>
      <c r="X49" s="10">
        <f t="shared" si="23"/>
        <v>1062568.4210526317</v>
      </c>
      <c r="Y49" s="10">
        <f t="shared" si="23"/>
        <v>1063680</v>
      </c>
    </row>
    <row r="50" spans="2:25">
      <c r="B50" s="5"/>
      <c r="C50" s="37" t="s">
        <v>28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5">
      <c r="B51" s="1"/>
      <c r="J51" s="28"/>
      <c r="K51" s="28"/>
      <c r="L51" s="28"/>
    </row>
    <row r="52" spans="2:25">
      <c r="B52" s="1"/>
      <c r="C52" s="28"/>
    </row>
    <row r="53" spans="2:25">
      <c r="B53" s="1"/>
      <c r="F53" s="1"/>
    </row>
    <row r="54" spans="2:25">
      <c r="E54" s="1"/>
      <c r="F54" s="1"/>
    </row>
    <row r="55" spans="2:25">
      <c r="B55" s="1"/>
      <c r="E55" s="1"/>
      <c r="F55" s="1"/>
    </row>
    <row r="56" spans="2:25">
      <c r="B56" s="1"/>
      <c r="E56" s="1"/>
      <c r="F56" s="1"/>
    </row>
    <row r="57" spans="2:25">
      <c r="B57" s="1"/>
      <c r="F57" s="1"/>
    </row>
    <row r="58" spans="2:25">
      <c r="E58" s="1"/>
      <c r="F58" s="1"/>
    </row>
    <row r="59" spans="2:25">
      <c r="B59" s="1"/>
      <c r="E59" s="1"/>
      <c r="F59" s="1"/>
    </row>
    <row r="60" spans="2:25">
      <c r="B60" s="1"/>
      <c r="E60" s="1"/>
      <c r="F60" s="1"/>
    </row>
    <row r="61" spans="2:25">
      <c r="B61" s="1"/>
      <c r="F61" s="1"/>
    </row>
    <row r="62" spans="2:25">
      <c r="E62" s="1"/>
      <c r="F62" s="1"/>
    </row>
    <row r="63" spans="2:25">
      <c r="B63" s="1"/>
      <c r="E63" s="1"/>
      <c r="F63" s="1"/>
    </row>
    <row r="64" spans="2:25">
      <c r="B64" s="1"/>
      <c r="E64" s="1"/>
      <c r="F64" s="1"/>
    </row>
    <row r="65" spans="2:6">
      <c r="B65" s="1"/>
      <c r="F65" s="1"/>
    </row>
    <row r="66" spans="2:6">
      <c r="B66" s="1"/>
      <c r="E66" s="1"/>
      <c r="F66" s="1"/>
    </row>
    <row r="67" spans="2:6">
      <c r="E67" s="1"/>
      <c r="F67" s="1"/>
    </row>
    <row r="68" spans="2:6">
      <c r="E68" s="1"/>
      <c r="F68" s="1"/>
    </row>
    <row r="69" spans="2:6">
      <c r="E69" s="1"/>
      <c r="F69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1" min="1" max="26" man="1"/>
    <brk id="99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79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35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13750</v>
      </c>
      <c r="D6" s="10"/>
      <c r="E6" s="11">
        <v>192937</v>
      </c>
      <c r="F6" s="81"/>
      <c r="G6" s="81"/>
      <c r="H6" s="81"/>
      <c r="I6" s="81"/>
      <c r="J6" s="81"/>
      <c r="K6" s="81"/>
      <c r="L6" s="122">
        <v>18987</v>
      </c>
      <c r="M6" s="122">
        <v>8616</v>
      </c>
      <c r="N6" s="122">
        <v>11154</v>
      </c>
      <c r="O6" s="122">
        <v>5577</v>
      </c>
      <c r="P6" s="122">
        <v>16230</v>
      </c>
      <c r="Q6" s="34">
        <v>18711</v>
      </c>
      <c r="R6" s="34">
        <v>23121</v>
      </c>
      <c r="S6" s="34">
        <v>6078</v>
      </c>
      <c r="T6" s="34">
        <v>17232</v>
      </c>
      <c r="U6" s="34">
        <v>19770</v>
      </c>
      <c r="V6" s="34">
        <v>16731</v>
      </c>
      <c r="W6" s="34">
        <v>14694</v>
      </c>
      <c r="X6" s="34">
        <v>14193</v>
      </c>
      <c r="Y6" s="34">
        <v>34775</v>
      </c>
      <c r="Z6" s="115">
        <f t="shared" ref="Z6:Z11" si="1">(SUM(E6:Y6)/(COUNT(E6:Y6)))</f>
        <v>27920.400000000001</v>
      </c>
      <c r="AA6" s="103"/>
      <c r="AX6"/>
    </row>
    <row r="7" spans="1:50">
      <c r="B7" s="4" t="s">
        <v>64</v>
      </c>
      <c r="C7" s="20">
        <f t="shared" si="0"/>
        <v>3750</v>
      </c>
      <c r="D7" s="10"/>
      <c r="E7" s="11">
        <v>22790</v>
      </c>
      <c r="F7" s="81"/>
      <c r="G7" s="81"/>
      <c r="H7" s="81"/>
      <c r="I7" s="81"/>
      <c r="J7" s="81"/>
      <c r="K7" s="122">
        <v>0</v>
      </c>
      <c r="L7" s="122">
        <v>0</v>
      </c>
      <c r="M7" s="122">
        <v>0</v>
      </c>
      <c r="N7" s="122">
        <v>6995</v>
      </c>
      <c r="O7" s="122">
        <v>0</v>
      </c>
      <c r="P7" s="122">
        <v>10295</v>
      </c>
      <c r="Q7" s="34">
        <v>4795</v>
      </c>
      <c r="R7" s="34">
        <v>2695</v>
      </c>
      <c r="S7" s="34">
        <v>4795</v>
      </c>
      <c r="T7" s="34">
        <v>0</v>
      </c>
      <c r="U7" s="34">
        <v>0</v>
      </c>
      <c r="V7" s="34">
        <v>0</v>
      </c>
      <c r="W7" s="34">
        <v>0</v>
      </c>
      <c r="X7" s="34">
        <v>5390</v>
      </c>
      <c r="Y7" s="34">
        <v>4290</v>
      </c>
      <c r="Z7" s="115">
        <f t="shared" si="1"/>
        <v>3877.8125</v>
      </c>
      <c r="AA7" s="103"/>
      <c r="AX7"/>
    </row>
    <row r="8" spans="1:50">
      <c r="B8" s="4" t="s">
        <v>1</v>
      </c>
      <c r="C8" s="20">
        <f t="shared" si="0"/>
        <v>8750</v>
      </c>
      <c r="D8" s="10"/>
      <c r="E8" s="11">
        <v>99245</v>
      </c>
      <c r="F8" s="81"/>
      <c r="G8" s="81"/>
      <c r="H8" s="81"/>
      <c r="I8" s="81"/>
      <c r="J8" s="81"/>
      <c r="K8" s="122">
        <v>0</v>
      </c>
      <c r="L8" s="122">
        <v>5000</v>
      </c>
      <c r="M8" s="122">
        <v>0</v>
      </c>
      <c r="N8" s="122">
        <v>2695</v>
      </c>
      <c r="O8" s="122">
        <v>19680</v>
      </c>
      <c r="P8" s="122">
        <v>13765</v>
      </c>
      <c r="Q8" s="34">
        <v>5390</v>
      </c>
      <c r="R8" s="34">
        <v>7085</v>
      </c>
      <c r="S8" s="34">
        <v>5390</v>
      </c>
      <c r="T8" s="34">
        <v>17290</v>
      </c>
      <c r="U8" s="34">
        <v>9590</v>
      </c>
      <c r="V8" s="34">
        <v>10375</v>
      </c>
      <c r="W8" s="34">
        <v>11680</v>
      </c>
      <c r="X8" s="34">
        <v>8520</v>
      </c>
      <c r="Y8" s="34">
        <v>17240</v>
      </c>
      <c r="Z8" s="115">
        <f t="shared" si="1"/>
        <v>14559.0625</v>
      </c>
      <c r="AA8" s="103"/>
      <c r="AX8"/>
    </row>
    <row r="9" spans="1:50">
      <c r="B9" s="4" t="s">
        <v>2</v>
      </c>
      <c r="C9" s="20">
        <f t="shared" si="0"/>
        <v>9000</v>
      </c>
      <c r="D9" s="10"/>
      <c r="E9" s="11">
        <v>89666</v>
      </c>
      <c r="F9" s="81"/>
      <c r="G9" s="81"/>
      <c r="H9" s="81"/>
      <c r="I9" s="81"/>
      <c r="J9" s="81"/>
      <c r="K9" s="122">
        <v>4837</v>
      </c>
      <c r="L9" s="122">
        <v>3775</v>
      </c>
      <c r="M9" s="122">
        <v>8541</v>
      </c>
      <c r="N9" s="122">
        <v>15664</v>
      </c>
      <c r="O9" s="122">
        <v>12591</v>
      </c>
      <c r="P9" s="122">
        <v>4851</v>
      </c>
      <c r="Q9" s="34">
        <v>4005</v>
      </c>
      <c r="R9" s="34">
        <v>11133</v>
      </c>
      <c r="S9" s="34">
        <v>20173</v>
      </c>
      <c r="T9" s="34">
        <v>9126</v>
      </c>
      <c r="U9" s="34">
        <v>16274</v>
      </c>
      <c r="V9" s="34">
        <v>5526</v>
      </c>
      <c r="W9" s="34">
        <v>12361</v>
      </c>
      <c r="X9" s="34">
        <v>4045</v>
      </c>
      <c r="Y9" s="34">
        <v>5436</v>
      </c>
      <c r="Z9" s="115">
        <f t="shared" si="1"/>
        <v>14250.25</v>
      </c>
      <c r="AA9" s="103"/>
      <c r="AX9"/>
    </row>
    <row r="10" spans="1:50">
      <c r="B10" s="4" t="s">
        <v>63</v>
      </c>
      <c r="C10" s="20">
        <f t="shared" si="0"/>
        <v>2500</v>
      </c>
      <c r="D10" s="10"/>
      <c r="E10" s="11">
        <v>5427</v>
      </c>
      <c r="F10" s="81"/>
      <c r="G10" s="81"/>
      <c r="H10" s="81"/>
      <c r="I10" s="81"/>
      <c r="J10" s="81"/>
      <c r="K10" s="122">
        <v>0</v>
      </c>
      <c r="L10" s="122">
        <v>0</v>
      </c>
      <c r="M10" s="122">
        <v>8995</v>
      </c>
      <c r="N10" s="122">
        <v>0</v>
      </c>
      <c r="O10" s="122">
        <v>0</v>
      </c>
      <c r="P10" s="122">
        <v>0</v>
      </c>
      <c r="Q10" s="34">
        <v>0</v>
      </c>
      <c r="R10" s="34">
        <v>0</v>
      </c>
      <c r="S10" s="34">
        <v>7000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5000</v>
      </c>
      <c r="Z10" s="69">
        <f t="shared" si="1"/>
        <v>1651.375</v>
      </c>
      <c r="AA10" s="103"/>
      <c r="AX10"/>
    </row>
    <row r="11" spans="1:50">
      <c r="B11" s="4" t="s">
        <v>3</v>
      </c>
      <c r="C11" s="21">
        <f t="shared" si="0"/>
        <v>16400</v>
      </c>
      <c r="D11" s="13"/>
      <c r="E11" s="40">
        <v>147781</v>
      </c>
      <c r="F11" s="80"/>
      <c r="G11" s="80"/>
      <c r="H11" s="80"/>
      <c r="I11" s="80"/>
      <c r="J11" s="80"/>
      <c r="K11" s="80"/>
      <c r="L11" s="124">
        <v>0</v>
      </c>
      <c r="M11" s="124">
        <v>2176</v>
      </c>
      <c r="N11" s="124">
        <v>4924</v>
      </c>
      <c r="O11" s="124">
        <v>5621</v>
      </c>
      <c r="P11" s="124">
        <v>17570</v>
      </c>
      <c r="Q11" s="35">
        <v>9616</v>
      </c>
      <c r="R11" s="35">
        <v>9251</v>
      </c>
      <c r="S11" s="35">
        <v>17111</v>
      </c>
      <c r="T11" s="35">
        <v>7668</v>
      </c>
      <c r="U11" s="35">
        <v>1366</v>
      </c>
      <c r="V11" s="35">
        <v>9223</v>
      </c>
      <c r="W11" s="35">
        <v>6842</v>
      </c>
      <c r="X11" s="35">
        <v>3837</v>
      </c>
      <c r="Y11" s="35">
        <v>20598</v>
      </c>
      <c r="Z11" s="115">
        <f t="shared" si="1"/>
        <v>17572.266666666666</v>
      </c>
      <c r="AA11" s="103"/>
      <c r="AX11"/>
    </row>
    <row r="12" spans="1:50" ht="15.75" thickBot="1">
      <c r="B12" s="14" t="s">
        <v>27</v>
      </c>
      <c r="C12" s="20">
        <f>SUM(C6:C11)</f>
        <v>54150</v>
      </c>
      <c r="D12" s="10"/>
      <c r="E12" s="11">
        <f>SUM(E6:E11)</f>
        <v>557846</v>
      </c>
      <c r="F12" s="10"/>
      <c r="G12" s="10"/>
      <c r="H12" s="10"/>
      <c r="I12" s="10"/>
      <c r="J12" s="10"/>
      <c r="K12" s="10">
        <f t="shared" ref="K12:Y12" si="2">SUM(K6:K11)</f>
        <v>4837</v>
      </c>
      <c r="L12" s="10">
        <f t="shared" si="2"/>
        <v>27762</v>
      </c>
      <c r="M12" s="10">
        <f t="shared" si="2"/>
        <v>28328</v>
      </c>
      <c r="N12" s="10">
        <f t="shared" si="2"/>
        <v>41432</v>
      </c>
      <c r="O12" s="10">
        <f t="shared" si="2"/>
        <v>43469</v>
      </c>
      <c r="P12" s="10">
        <f t="shared" si="2"/>
        <v>62711</v>
      </c>
      <c r="Q12" s="10">
        <f t="shared" si="2"/>
        <v>42517</v>
      </c>
      <c r="R12" s="10">
        <f t="shared" si="2"/>
        <v>53285</v>
      </c>
      <c r="S12" s="10">
        <f t="shared" si="2"/>
        <v>60547</v>
      </c>
      <c r="T12" s="10">
        <f t="shared" si="2"/>
        <v>51316</v>
      </c>
      <c r="U12" s="10">
        <f t="shared" si="2"/>
        <v>47000</v>
      </c>
      <c r="V12" s="10">
        <f t="shared" si="2"/>
        <v>41855</v>
      </c>
      <c r="W12" s="10">
        <f t="shared" si="2"/>
        <v>45577</v>
      </c>
      <c r="X12" s="10">
        <f t="shared" si="2"/>
        <v>35985</v>
      </c>
      <c r="Y12" s="10">
        <f t="shared" si="2"/>
        <v>87339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5">
        <f>(SUM(E12:Y12)/(COUNT(E12:Y12)))</f>
        <v>76987.875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17" si="4">(F6-$C6)/$C6+1</f>
        <v>0</v>
      </c>
      <c r="G17" s="25">
        <f t="shared" si="4"/>
        <v>0</v>
      </c>
      <c r="H17" s="25">
        <f t="shared" si="4"/>
        <v>0</v>
      </c>
      <c r="I17" s="25">
        <f t="shared" si="4"/>
        <v>0</v>
      </c>
      <c r="J17" s="25">
        <f t="shared" si="4"/>
        <v>0</v>
      </c>
      <c r="K17" s="25">
        <f t="shared" si="4"/>
        <v>0</v>
      </c>
      <c r="L17" s="25">
        <f t="shared" si="4"/>
        <v>1.3808727272727273</v>
      </c>
      <c r="M17" s="25">
        <f t="shared" si="4"/>
        <v>0.62661818181818174</v>
      </c>
      <c r="N17" s="25">
        <f t="shared" si="4"/>
        <v>0.81120000000000003</v>
      </c>
      <c r="O17" s="25">
        <f t="shared" si="4"/>
        <v>0.40559999999999996</v>
      </c>
      <c r="P17" s="25">
        <f t="shared" si="4"/>
        <v>1.1803636363636363</v>
      </c>
      <c r="Q17" s="25">
        <f t="shared" si="4"/>
        <v>1.3608</v>
      </c>
      <c r="R17" s="25">
        <f t="shared" si="4"/>
        <v>1.6815272727272728</v>
      </c>
      <c r="S17" s="25">
        <f t="shared" si="4"/>
        <v>0.44203636363636367</v>
      </c>
      <c r="T17" s="25">
        <f t="shared" si="4"/>
        <v>1.2532363636363637</v>
      </c>
      <c r="U17" s="25">
        <f t="shared" si="4"/>
        <v>1.4378181818181819</v>
      </c>
      <c r="V17" s="25">
        <f t="shared" si="4"/>
        <v>1.2168000000000001</v>
      </c>
      <c r="W17" s="25">
        <f t="shared" si="4"/>
        <v>1.0686545454545455</v>
      </c>
      <c r="X17" s="25">
        <f t="shared" si="4"/>
        <v>1.0322181818181819</v>
      </c>
      <c r="Y17" s="25">
        <f t="shared" si="4"/>
        <v>2.5290909090909093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ref="F18:Y19" si="6">(F7-$C7)/$C7+1</f>
        <v>0</v>
      </c>
      <c r="G18" s="25">
        <f t="shared" si="6"/>
        <v>0</v>
      </c>
      <c r="H18" s="25">
        <f t="shared" si="6"/>
        <v>0</v>
      </c>
      <c r="I18" s="25">
        <f t="shared" si="6"/>
        <v>0</v>
      </c>
      <c r="J18" s="25">
        <f t="shared" si="6"/>
        <v>0</v>
      </c>
      <c r="K18" s="25">
        <f t="shared" si="6"/>
        <v>0</v>
      </c>
      <c r="L18" s="25">
        <f t="shared" si="6"/>
        <v>0</v>
      </c>
      <c r="M18" s="25">
        <f t="shared" si="6"/>
        <v>0</v>
      </c>
      <c r="N18" s="25">
        <f t="shared" si="6"/>
        <v>1.8653333333333333</v>
      </c>
      <c r="O18" s="25">
        <f t="shared" si="6"/>
        <v>0</v>
      </c>
      <c r="P18" s="25">
        <f t="shared" si="6"/>
        <v>2.7453333333333334</v>
      </c>
      <c r="Q18" s="25">
        <f t="shared" si="6"/>
        <v>1.2786666666666666</v>
      </c>
      <c r="R18" s="25">
        <f t="shared" si="6"/>
        <v>0.71866666666666668</v>
      </c>
      <c r="S18" s="25">
        <f t="shared" si="6"/>
        <v>1.2786666666666666</v>
      </c>
      <c r="T18" s="25">
        <f t="shared" si="6"/>
        <v>0</v>
      </c>
      <c r="U18" s="25">
        <f t="shared" si="6"/>
        <v>0</v>
      </c>
      <c r="V18" s="25">
        <f t="shared" si="6"/>
        <v>0</v>
      </c>
      <c r="W18" s="25">
        <f t="shared" si="6"/>
        <v>0</v>
      </c>
      <c r="X18" s="25">
        <f t="shared" si="6"/>
        <v>1.4373333333333334</v>
      </c>
      <c r="Y18" s="25">
        <f t="shared" si="6"/>
        <v>1.1439999999999999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6"/>
        <v>0</v>
      </c>
      <c r="G19" s="25">
        <f t="shared" si="6"/>
        <v>0</v>
      </c>
      <c r="H19" s="25">
        <f t="shared" si="6"/>
        <v>0</v>
      </c>
      <c r="I19" s="25">
        <f t="shared" si="6"/>
        <v>0</v>
      </c>
      <c r="J19" s="25">
        <f t="shared" si="6"/>
        <v>0</v>
      </c>
      <c r="K19" s="25">
        <f t="shared" si="6"/>
        <v>0</v>
      </c>
      <c r="L19" s="25">
        <f t="shared" si="6"/>
        <v>0.5714285714285714</v>
      </c>
      <c r="M19" s="25">
        <f t="shared" si="6"/>
        <v>0</v>
      </c>
      <c r="N19" s="25">
        <f t="shared" si="6"/>
        <v>0.30800000000000005</v>
      </c>
      <c r="O19" s="25">
        <f t="shared" si="6"/>
        <v>2.2491428571428571</v>
      </c>
      <c r="P19" s="25">
        <f t="shared" si="6"/>
        <v>1.5731428571428572</v>
      </c>
      <c r="Q19" s="25">
        <f t="shared" si="6"/>
        <v>0.61599999999999999</v>
      </c>
      <c r="R19" s="25">
        <f t="shared" si="6"/>
        <v>0.80971428571428572</v>
      </c>
      <c r="S19" s="25">
        <f t="shared" si="6"/>
        <v>0.61599999999999999</v>
      </c>
      <c r="T19" s="25">
        <f t="shared" si="6"/>
        <v>1.976</v>
      </c>
      <c r="U19" s="25">
        <f t="shared" si="6"/>
        <v>1.0960000000000001</v>
      </c>
      <c r="V19" s="25">
        <f t="shared" si="6"/>
        <v>1.1857142857142857</v>
      </c>
      <c r="W19" s="25">
        <f t="shared" si="6"/>
        <v>1.334857142857143</v>
      </c>
      <c r="X19" s="25">
        <f t="shared" si="6"/>
        <v>0.97371428571428575</v>
      </c>
      <c r="Y19" s="25">
        <f t="shared" si="6"/>
        <v>1.9702857142857142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ref="F20:Y20" si="7">(F9-$C9)/$C9+1</f>
        <v>0</v>
      </c>
      <c r="G20" s="25">
        <f t="shared" si="7"/>
        <v>0</v>
      </c>
      <c r="H20" s="25">
        <f t="shared" si="7"/>
        <v>0</v>
      </c>
      <c r="I20" s="25">
        <f t="shared" si="7"/>
        <v>0</v>
      </c>
      <c r="J20" s="25">
        <f t="shared" si="7"/>
        <v>0</v>
      </c>
      <c r="K20" s="25">
        <f t="shared" si="7"/>
        <v>0.53744444444444439</v>
      </c>
      <c r="L20" s="25">
        <f t="shared" si="7"/>
        <v>0.4194444444444444</v>
      </c>
      <c r="M20" s="25">
        <f t="shared" si="7"/>
        <v>0.94899999999999995</v>
      </c>
      <c r="N20" s="25">
        <f t="shared" si="7"/>
        <v>1.7404444444444445</v>
      </c>
      <c r="O20" s="25">
        <f t="shared" si="7"/>
        <v>1.399</v>
      </c>
      <c r="P20" s="25">
        <f t="shared" si="7"/>
        <v>0.53899999999999992</v>
      </c>
      <c r="Q20" s="25">
        <f t="shared" si="7"/>
        <v>0.44499999999999995</v>
      </c>
      <c r="R20" s="25">
        <f t="shared" si="7"/>
        <v>1.2370000000000001</v>
      </c>
      <c r="S20" s="25">
        <f t="shared" si="7"/>
        <v>2.2414444444444444</v>
      </c>
      <c r="T20" s="25">
        <f t="shared" si="7"/>
        <v>1.014</v>
      </c>
      <c r="U20" s="25">
        <f t="shared" si="7"/>
        <v>1.8082222222222222</v>
      </c>
      <c r="V20" s="25">
        <f t="shared" si="7"/>
        <v>0.61399999999999999</v>
      </c>
      <c r="W20" s="25">
        <f t="shared" si="7"/>
        <v>1.3734444444444445</v>
      </c>
      <c r="X20" s="25">
        <f t="shared" si="7"/>
        <v>0.44944444444444442</v>
      </c>
      <c r="Y20" s="25">
        <f t="shared" si="7"/>
        <v>0.60399999999999998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ref="F21:Y21" si="8">(F10-$C10)/$C10+1</f>
        <v>0</v>
      </c>
      <c r="G21" s="25">
        <f t="shared" si="8"/>
        <v>0</v>
      </c>
      <c r="H21" s="25">
        <f t="shared" si="8"/>
        <v>0</v>
      </c>
      <c r="I21" s="25">
        <f t="shared" si="8"/>
        <v>0</v>
      </c>
      <c r="J21" s="25">
        <f t="shared" si="8"/>
        <v>0</v>
      </c>
      <c r="K21" s="25">
        <f t="shared" si="8"/>
        <v>0</v>
      </c>
      <c r="L21" s="25">
        <f t="shared" si="8"/>
        <v>0</v>
      </c>
      <c r="M21" s="25">
        <f t="shared" si="8"/>
        <v>3.5979999999999999</v>
      </c>
      <c r="N21" s="25">
        <f t="shared" si="8"/>
        <v>0</v>
      </c>
      <c r="O21" s="25">
        <f t="shared" si="8"/>
        <v>0</v>
      </c>
      <c r="P21" s="25">
        <f t="shared" si="8"/>
        <v>0</v>
      </c>
      <c r="Q21" s="25">
        <f t="shared" si="8"/>
        <v>0</v>
      </c>
      <c r="R21" s="25">
        <f t="shared" si="8"/>
        <v>0</v>
      </c>
      <c r="S21" s="25">
        <f t="shared" si="8"/>
        <v>2.8</v>
      </c>
      <c r="T21" s="25">
        <f t="shared" si="8"/>
        <v>0</v>
      </c>
      <c r="U21" s="25">
        <f t="shared" si="8"/>
        <v>0</v>
      </c>
      <c r="V21" s="25">
        <f t="shared" si="8"/>
        <v>0</v>
      </c>
      <c r="W21" s="25">
        <f t="shared" si="8"/>
        <v>0</v>
      </c>
      <c r="X21" s="25">
        <f t="shared" si="8"/>
        <v>0</v>
      </c>
      <c r="Y21" s="25">
        <f t="shared" si="8"/>
        <v>2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ref="F22:Y23" si="9">(F11-$C11)/$C11+1</f>
        <v>0</v>
      </c>
      <c r="G22" s="27">
        <f t="shared" si="9"/>
        <v>0</v>
      </c>
      <c r="H22" s="27">
        <f t="shared" si="9"/>
        <v>0</v>
      </c>
      <c r="I22" s="27">
        <f t="shared" si="9"/>
        <v>0</v>
      </c>
      <c r="J22" s="27">
        <f t="shared" si="9"/>
        <v>0</v>
      </c>
      <c r="K22" s="27">
        <f t="shared" si="9"/>
        <v>0</v>
      </c>
      <c r="L22" s="27">
        <f t="shared" si="9"/>
        <v>0</v>
      </c>
      <c r="M22" s="27">
        <f t="shared" si="9"/>
        <v>0.1326829268292683</v>
      </c>
      <c r="N22" s="27">
        <f t="shared" si="9"/>
        <v>0.30024390243902443</v>
      </c>
      <c r="O22" s="27">
        <f t="shared" si="9"/>
        <v>0.34274390243902442</v>
      </c>
      <c r="P22" s="27">
        <f t="shared" si="9"/>
        <v>1.0713414634146341</v>
      </c>
      <c r="Q22" s="27">
        <f t="shared" si="9"/>
        <v>0.58634146341463422</v>
      </c>
      <c r="R22" s="27">
        <f t="shared" si="9"/>
        <v>0.56408536585365854</v>
      </c>
      <c r="S22" s="27">
        <f t="shared" si="9"/>
        <v>1.0433536585365855</v>
      </c>
      <c r="T22" s="27">
        <f t="shared" si="9"/>
        <v>0.46756097560975607</v>
      </c>
      <c r="U22" s="27">
        <f t="shared" si="9"/>
        <v>8.3292682926829231E-2</v>
      </c>
      <c r="V22" s="27">
        <f t="shared" si="9"/>
        <v>0.5623780487804878</v>
      </c>
      <c r="W22" s="27">
        <f t="shared" si="9"/>
        <v>0.41719512195121955</v>
      </c>
      <c r="X22" s="27">
        <f t="shared" si="9"/>
        <v>0.23396341463414638</v>
      </c>
      <c r="Y22" s="27">
        <f t="shared" si="9"/>
        <v>1.2559756097560975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</v>
      </c>
      <c r="G23" s="25">
        <f t="shared" si="9"/>
        <v>0</v>
      </c>
      <c r="H23" s="25">
        <f t="shared" si="9"/>
        <v>0</v>
      </c>
      <c r="I23" s="25">
        <f t="shared" si="9"/>
        <v>0</v>
      </c>
      <c r="J23" s="25">
        <f>(J12-$C12)/$C12+1</f>
        <v>0</v>
      </c>
      <c r="K23" s="25">
        <f>(K12-$C12)/$C12+1</f>
        <v>8.9325946445059978E-2</v>
      </c>
      <c r="L23" s="25">
        <f>(L12-$C12)/$C12+1</f>
        <v>0.51268698060941831</v>
      </c>
      <c r="M23" s="25">
        <f t="shared" si="9"/>
        <v>0.52313942751615883</v>
      </c>
      <c r="N23" s="25">
        <f t="shared" si="9"/>
        <v>0.7651338873499538</v>
      </c>
      <c r="O23" s="25">
        <f t="shared" si="9"/>
        <v>0.80275161588180977</v>
      </c>
      <c r="P23" s="25">
        <f t="shared" si="9"/>
        <v>1.1580978762696215</v>
      </c>
      <c r="Q23" s="25">
        <f t="shared" si="9"/>
        <v>0.78517082179132047</v>
      </c>
      <c r="R23" s="25">
        <f t="shared" si="9"/>
        <v>0.9840258541089566</v>
      </c>
      <c r="S23" s="25">
        <f>(S12-$C12)/$C12+1</f>
        <v>1.1181348107109881</v>
      </c>
      <c r="T23" s="25">
        <f>(T12-$C12)/$C12+1</f>
        <v>0.9476638965835642</v>
      </c>
      <c r="U23" s="25">
        <f>(U12-$C12)/$C12+1</f>
        <v>0.86795937211449681</v>
      </c>
      <c r="V23" s="25">
        <f>(V12-$C12)/$C12+1</f>
        <v>0.77294552169898434</v>
      </c>
      <c r="W23" s="25">
        <f>(W12-$C12)/$C12+1</f>
        <v>0.84168051708217917</v>
      </c>
      <c r="X23" s="25">
        <f t="shared" si="9"/>
        <v>0.66454293628808858</v>
      </c>
      <c r="Y23" s="25">
        <f t="shared" si="9"/>
        <v>1.6129085872576177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10">+G1/$Y$1</f>
        <v>0.1</v>
      </c>
      <c r="H25" s="49">
        <f t="shared" si="10"/>
        <v>0.15</v>
      </c>
      <c r="I25" s="49">
        <f t="shared" si="10"/>
        <v>0.2</v>
      </c>
      <c r="J25" s="49">
        <f t="shared" si="10"/>
        <v>0.25</v>
      </c>
      <c r="K25" s="49">
        <f t="shared" si="10"/>
        <v>0.3</v>
      </c>
      <c r="L25" s="49">
        <f t="shared" si="10"/>
        <v>0.35</v>
      </c>
      <c r="M25" s="49">
        <f t="shared" si="10"/>
        <v>0.4</v>
      </c>
      <c r="N25" s="49">
        <f t="shared" si="10"/>
        <v>0.45</v>
      </c>
      <c r="O25" s="49">
        <f t="shared" si="10"/>
        <v>0.5</v>
      </c>
      <c r="P25" s="49">
        <f t="shared" si="10"/>
        <v>0.55000000000000004</v>
      </c>
      <c r="Q25" s="49">
        <f t="shared" si="10"/>
        <v>0.6</v>
      </c>
      <c r="R25" s="49">
        <f t="shared" si="10"/>
        <v>0.65</v>
      </c>
      <c r="S25" s="49">
        <f t="shared" si="10"/>
        <v>0.7</v>
      </c>
      <c r="T25" s="49">
        <f t="shared" si="10"/>
        <v>0.75</v>
      </c>
      <c r="U25" s="49">
        <f t="shared" si="10"/>
        <v>0.8</v>
      </c>
      <c r="V25" s="49">
        <f t="shared" si="10"/>
        <v>0.85</v>
      </c>
      <c r="W25" s="49">
        <f t="shared" si="10"/>
        <v>0.9</v>
      </c>
      <c r="X25" s="49">
        <f t="shared" si="10"/>
        <v>0.95</v>
      </c>
      <c r="Y25" s="49">
        <f t="shared" si="10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11">+F16</f>
        <v>Day 1</v>
      </c>
      <c r="G26" s="4" t="str">
        <f t="shared" si="11"/>
        <v>Day 2</v>
      </c>
      <c r="H26" s="4" t="str">
        <f t="shared" si="11"/>
        <v>Day 3</v>
      </c>
      <c r="I26" s="4" t="str">
        <f t="shared" si="11"/>
        <v>Day 4</v>
      </c>
      <c r="J26" s="4" t="str">
        <f t="shared" si="11"/>
        <v>Day 5</v>
      </c>
      <c r="K26" s="4" t="str">
        <f t="shared" si="11"/>
        <v>Day 6</v>
      </c>
      <c r="L26" s="4" t="str">
        <f t="shared" si="11"/>
        <v>Day 7</v>
      </c>
      <c r="M26" s="4" t="str">
        <f t="shared" si="11"/>
        <v>Day 8</v>
      </c>
      <c r="N26" s="4" t="str">
        <f t="shared" si="11"/>
        <v>Day 9</v>
      </c>
      <c r="O26" s="4" t="str">
        <f t="shared" si="11"/>
        <v>Day 10</v>
      </c>
      <c r="P26" s="4" t="str">
        <f t="shared" si="11"/>
        <v>Day 11</v>
      </c>
      <c r="Q26" s="4" t="str">
        <f t="shared" si="11"/>
        <v>Day 12</v>
      </c>
      <c r="R26" s="4" t="str">
        <f t="shared" si="11"/>
        <v>Day 13</v>
      </c>
      <c r="S26" s="4" t="str">
        <f t="shared" si="11"/>
        <v>Day 14</v>
      </c>
      <c r="T26" s="4" t="str">
        <f t="shared" si="11"/>
        <v>Day 15</v>
      </c>
      <c r="U26" s="4" t="str">
        <f t="shared" si="11"/>
        <v>Day 16</v>
      </c>
      <c r="V26" s="4" t="str">
        <f t="shared" si="11"/>
        <v>Day 17</v>
      </c>
      <c r="W26" s="4" t="str">
        <f t="shared" si="11"/>
        <v>Day 18</v>
      </c>
      <c r="X26" s="4" t="str">
        <f t="shared" si="11"/>
        <v>Day 19</v>
      </c>
      <c r="Y26" s="4" t="str">
        <f t="shared" si="11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196659</v>
      </c>
      <c r="G27" s="23">
        <v>196659</v>
      </c>
      <c r="H27" s="23">
        <v>196659</v>
      </c>
      <c r="I27" s="23">
        <v>196659</v>
      </c>
      <c r="J27" s="23">
        <v>196659</v>
      </c>
      <c r="K27" s="23">
        <v>196659</v>
      </c>
      <c r="L27" s="122">
        <v>215646</v>
      </c>
      <c r="M27" s="122">
        <v>224262</v>
      </c>
      <c r="N27" s="122">
        <v>235416</v>
      </c>
      <c r="O27" s="122">
        <v>240911</v>
      </c>
      <c r="P27" s="122">
        <v>257141</v>
      </c>
      <c r="Q27" s="23">
        <v>275852</v>
      </c>
      <c r="R27" s="23">
        <v>294106</v>
      </c>
      <c r="S27" s="23">
        <v>297145</v>
      </c>
      <c r="T27" s="23">
        <v>308299</v>
      </c>
      <c r="U27" s="23">
        <v>318952</v>
      </c>
      <c r="V27" s="23">
        <v>318952</v>
      </c>
      <c r="W27" s="23">
        <v>318952</v>
      </c>
      <c r="X27" s="23">
        <v>305260</v>
      </c>
      <c r="Y27" s="23">
        <v>297400</v>
      </c>
      <c r="Z27" s="109">
        <f>+Y27/C48</f>
        <v>1.0814545454545454</v>
      </c>
      <c r="AA27" s="97">
        <f t="shared" ref="AA27:AA33" si="12">+Z27-Y$25</f>
        <v>8.1454545454545446E-2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39980</v>
      </c>
      <c r="G28" s="34">
        <v>39980</v>
      </c>
      <c r="H28" s="34">
        <v>39980</v>
      </c>
      <c r="I28" s="34">
        <v>39980</v>
      </c>
      <c r="J28" s="34">
        <v>39980</v>
      </c>
      <c r="K28" s="34">
        <v>39980</v>
      </c>
      <c r="L28" s="122">
        <v>39980</v>
      </c>
      <c r="M28" s="122">
        <v>39980</v>
      </c>
      <c r="N28" s="122">
        <v>46975</v>
      </c>
      <c r="O28" s="122">
        <v>46975</v>
      </c>
      <c r="P28" s="122">
        <v>57270</v>
      </c>
      <c r="Q28" s="23">
        <v>62065</v>
      </c>
      <c r="R28" s="23">
        <v>64760</v>
      </c>
      <c r="S28" s="23">
        <v>69555</v>
      </c>
      <c r="T28" s="23">
        <v>69555</v>
      </c>
      <c r="U28" s="23">
        <v>69555</v>
      </c>
      <c r="V28" s="121">
        <v>69555</v>
      </c>
      <c r="W28" s="23">
        <v>69555</v>
      </c>
      <c r="X28" s="23">
        <v>74945</v>
      </c>
      <c r="Y28" s="23">
        <v>82030</v>
      </c>
      <c r="Z28" s="109">
        <f>+Y28/C49</f>
        <v>1.0937333333333332</v>
      </c>
      <c r="AA28" s="113">
        <f t="shared" si="12"/>
        <v>9.3733333333333224E-2</v>
      </c>
      <c r="AX28"/>
    </row>
    <row r="29" spans="2:50">
      <c r="B29" s="4" t="str">
        <f>+B19</f>
        <v>Boston</v>
      </c>
      <c r="C29" s="4"/>
      <c r="D29" s="4"/>
      <c r="E29" s="23"/>
      <c r="F29" s="34">
        <v>116945</v>
      </c>
      <c r="G29" s="34">
        <v>116945</v>
      </c>
      <c r="H29" s="34">
        <v>116945</v>
      </c>
      <c r="I29" s="34">
        <v>116945</v>
      </c>
      <c r="J29" s="34">
        <v>116945</v>
      </c>
      <c r="K29" s="34">
        <v>116945</v>
      </c>
      <c r="L29" s="122">
        <v>121945</v>
      </c>
      <c r="M29" s="122">
        <v>121945</v>
      </c>
      <c r="N29" s="122">
        <v>124640</v>
      </c>
      <c r="O29" s="122">
        <v>141625</v>
      </c>
      <c r="P29" s="122">
        <v>158085</v>
      </c>
      <c r="Q29" s="23">
        <v>160780</v>
      </c>
      <c r="R29" s="23">
        <v>163475</v>
      </c>
      <c r="S29" s="23">
        <v>173255</v>
      </c>
      <c r="T29" s="23">
        <v>190545</v>
      </c>
      <c r="U29" s="23">
        <v>200135</v>
      </c>
      <c r="V29" s="121">
        <v>198035</v>
      </c>
      <c r="W29" s="23">
        <v>202225</v>
      </c>
      <c r="X29" s="23">
        <v>206670</v>
      </c>
      <c r="Y29" s="23">
        <v>211770</v>
      </c>
      <c r="Z29" s="109">
        <f>+Y29/C50</f>
        <v>1.2101142857142857</v>
      </c>
      <c r="AA29" s="113">
        <f t="shared" si="12"/>
        <v>0.2101142857142857</v>
      </c>
      <c r="AX29"/>
    </row>
    <row r="30" spans="2:50" s="4" customFormat="1" ht="12.75">
      <c r="B30" s="4" t="str">
        <f>+B20</f>
        <v>Canada</v>
      </c>
      <c r="E30" s="23"/>
      <c r="F30" s="34">
        <v>94007</v>
      </c>
      <c r="G30" s="34">
        <v>94007</v>
      </c>
      <c r="H30" s="34">
        <v>94007</v>
      </c>
      <c r="I30" s="34">
        <v>94007</v>
      </c>
      <c r="J30" s="34">
        <v>94007</v>
      </c>
      <c r="K30" s="34">
        <v>94007</v>
      </c>
      <c r="L30" s="122">
        <v>97783</v>
      </c>
      <c r="M30" s="122">
        <v>106324</v>
      </c>
      <c r="N30" s="122">
        <v>121988</v>
      </c>
      <c r="O30" s="122">
        <v>134579</v>
      </c>
      <c r="P30" s="122">
        <v>139430</v>
      </c>
      <c r="Q30" s="34">
        <v>143435</v>
      </c>
      <c r="R30" s="34">
        <v>154568</v>
      </c>
      <c r="S30" s="34">
        <v>174742</v>
      </c>
      <c r="T30" s="34">
        <v>183868</v>
      </c>
      <c r="U30" s="34">
        <v>196454</v>
      </c>
      <c r="V30" s="121">
        <v>201980</v>
      </c>
      <c r="W30" s="34">
        <v>207331</v>
      </c>
      <c r="X30" s="34">
        <v>207331</v>
      </c>
      <c r="Y30" s="34">
        <v>224000</v>
      </c>
      <c r="Z30" s="109">
        <f>Y30/C51</f>
        <v>1.2444444444444445</v>
      </c>
      <c r="AA30" s="113">
        <f t="shared" si="12"/>
        <v>0.24444444444444446</v>
      </c>
    </row>
    <row r="31" spans="2:50" s="4" customFormat="1" ht="12.75">
      <c r="B31" s="4" t="s">
        <v>63</v>
      </c>
      <c r="E31" s="23"/>
      <c r="F31" s="34">
        <v>5427</v>
      </c>
      <c r="G31" s="34">
        <v>5427</v>
      </c>
      <c r="H31" s="34">
        <v>5427</v>
      </c>
      <c r="I31" s="34">
        <v>5427</v>
      </c>
      <c r="J31" s="34">
        <v>5427</v>
      </c>
      <c r="K31" s="34">
        <v>5427</v>
      </c>
      <c r="L31" s="122">
        <v>5427</v>
      </c>
      <c r="M31" s="122">
        <v>14422</v>
      </c>
      <c r="N31" s="122">
        <v>14422</v>
      </c>
      <c r="O31" s="122">
        <v>14422</v>
      </c>
      <c r="P31" s="122">
        <v>14422</v>
      </c>
      <c r="Q31" s="34">
        <v>14422</v>
      </c>
      <c r="R31" s="34">
        <v>14422</v>
      </c>
      <c r="S31" s="34">
        <v>21422</v>
      </c>
      <c r="T31" s="34">
        <v>21422</v>
      </c>
      <c r="U31" s="34">
        <v>21422</v>
      </c>
      <c r="V31" s="121">
        <v>21422</v>
      </c>
      <c r="W31" s="34">
        <v>21422</v>
      </c>
      <c r="X31" s="34">
        <v>21422</v>
      </c>
      <c r="Y31" s="34">
        <v>21422</v>
      </c>
      <c r="Z31" s="109">
        <f>Y31/C52</f>
        <v>0.42843999999999999</v>
      </c>
      <c r="AA31" s="79">
        <f t="shared" si="12"/>
        <v>-0.57156000000000007</v>
      </c>
    </row>
    <row r="32" spans="2:50">
      <c r="B32" s="5" t="str">
        <f>+B22</f>
        <v>Norwich</v>
      </c>
      <c r="C32" s="19"/>
      <c r="D32" s="19"/>
      <c r="E32" s="35"/>
      <c r="F32" s="35">
        <v>127047</v>
      </c>
      <c r="G32" s="35">
        <v>127047</v>
      </c>
      <c r="H32" s="35">
        <v>127047</v>
      </c>
      <c r="I32" s="35">
        <v>127047</v>
      </c>
      <c r="J32" s="35">
        <v>127047</v>
      </c>
      <c r="K32" s="35">
        <v>127047</v>
      </c>
      <c r="L32" s="124">
        <v>127047</v>
      </c>
      <c r="M32" s="124">
        <v>131263</v>
      </c>
      <c r="N32" s="124">
        <v>133241</v>
      </c>
      <c r="O32" s="124">
        <v>138863</v>
      </c>
      <c r="P32" s="124">
        <v>156434</v>
      </c>
      <c r="Q32" s="35">
        <v>166051</v>
      </c>
      <c r="R32" s="35">
        <v>173262</v>
      </c>
      <c r="S32" s="35">
        <v>190374</v>
      </c>
      <c r="T32" s="35">
        <v>198043</v>
      </c>
      <c r="U32" s="35">
        <v>199409</v>
      </c>
      <c r="V32" s="35">
        <v>208632</v>
      </c>
      <c r="W32" s="35">
        <v>210818</v>
      </c>
      <c r="X32" s="35">
        <v>214656</v>
      </c>
      <c r="Y32" s="35">
        <v>221000</v>
      </c>
      <c r="Z32" s="110">
        <f>+Y32/C53</f>
        <v>0.67378048780487809</v>
      </c>
      <c r="AA32" s="79">
        <f t="shared" si="12"/>
        <v>-0.32621951219512191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580065</v>
      </c>
      <c r="G33" s="10">
        <f>SUM(G27:G32)</f>
        <v>580065</v>
      </c>
      <c r="H33" s="10">
        <f>SUM(H27:H32)</f>
        <v>580065</v>
      </c>
      <c r="I33" s="10">
        <f>SUM(I27:I32)</f>
        <v>580065</v>
      </c>
      <c r="J33" s="4">
        <f t="shared" ref="J33:Y33" si="13">SUM(J27:J32)</f>
        <v>580065</v>
      </c>
      <c r="K33" s="10">
        <f t="shared" si="13"/>
        <v>580065</v>
      </c>
      <c r="L33" s="10">
        <f t="shared" si="13"/>
        <v>607828</v>
      </c>
      <c r="M33" s="10">
        <f t="shared" si="13"/>
        <v>638196</v>
      </c>
      <c r="N33" s="10">
        <f t="shared" si="13"/>
        <v>676682</v>
      </c>
      <c r="O33" s="4">
        <f>SUM(O27:O32)</f>
        <v>717375</v>
      </c>
      <c r="P33" s="10">
        <f t="shared" si="13"/>
        <v>782782</v>
      </c>
      <c r="Q33" s="10">
        <f t="shared" si="13"/>
        <v>822605</v>
      </c>
      <c r="R33" s="10">
        <f t="shared" si="13"/>
        <v>864593</v>
      </c>
      <c r="S33" s="10">
        <f t="shared" si="13"/>
        <v>926493</v>
      </c>
      <c r="T33" s="4">
        <f t="shared" si="13"/>
        <v>971732</v>
      </c>
      <c r="U33" s="10">
        <f t="shared" si="13"/>
        <v>1005927</v>
      </c>
      <c r="V33" s="10">
        <f t="shared" si="13"/>
        <v>1018576</v>
      </c>
      <c r="W33" s="10">
        <f t="shared" si="13"/>
        <v>1030303</v>
      </c>
      <c r="X33" s="10">
        <f t="shared" si="13"/>
        <v>1030284</v>
      </c>
      <c r="Y33" s="10">
        <f t="shared" si="13"/>
        <v>1057622</v>
      </c>
      <c r="Z33" s="111">
        <f>+Y33/C54</f>
        <v>0.97656694367497687</v>
      </c>
      <c r="AA33" s="84">
        <f t="shared" si="12"/>
        <v>-2.3433056325023127E-2</v>
      </c>
      <c r="AX33"/>
    </row>
    <row r="34" spans="2:50" s="1" customFormat="1" ht="11.25">
      <c r="B34" s="1" t="s">
        <v>34</v>
      </c>
      <c r="E34" s="30"/>
      <c r="F34" s="30">
        <f t="shared" ref="F34:N34" si="14">+F33/$C$54</f>
        <v>0.53560941828254849</v>
      </c>
      <c r="G34" s="30">
        <f t="shared" si="14"/>
        <v>0.53560941828254849</v>
      </c>
      <c r="H34" s="30">
        <f t="shared" si="14"/>
        <v>0.53560941828254849</v>
      </c>
      <c r="I34" s="30">
        <f t="shared" si="14"/>
        <v>0.53560941828254849</v>
      </c>
      <c r="J34" s="30">
        <f t="shared" si="14"/>
        <v>0.53560941828254849</v>
      </c>
      <c r="K34" s="30">
        <f t="shared" si="14"/>
        <v>0.53560941828254849</v>
      </c>
      <c r="L34" s="30">
        <f t="shared" si="14"/>
        <v>0.56124469067405358</v>
      </c>
      <c r="M34" s="30">
        <f t="shared" si="14"/>
        <v>0.58928531855955679</v>
      </c>
      <c r="N34" s="30">
        <f t="shared" si="14"/>
        <v>0.62482179132040627</v>
      </c>
      <c r="O34" s="30">
        <f>+O33/$C$54</f>
        <v>0.66239612188365649</v>
      </c>
      <c r="P34" s="30">
        <f t="shared" ref="P34:Y34" si="15">+P33/$C$54</f>
        <v>0.72279039704524473</v>
      </c>
      <c r="Q34" s="30">
        <f t="shared" si="15"/>
        <v>0.75956140350877188</v>
      </c>
      <c r="R34" s="30">
        <f t="shared" si="15"/>
        <v>0.79833148661126496</v>
      </c>
      <c r="S34" s="30">
        <f t="shared" si="15"/>
        <v>0.85548753462603877</v>
      </c>
      <c r="T34" s="30">
        <f t="shared" si="15"/>
        <v>0.89725946445060023</v>
      </c>
      <c r="U34" s="30">
        <f t="shared" si="15"/>
        <v>0.92883379501385044</v>
      </c>
      <c r="V34" s="30">
        <f t="shared" si="15"/>
        <v>0.94051338873499535</v>
      </c>
      <c r="W34" s="30">
        <f t="shared" si="15"/>
        <v>0.95134164358264084</v>
      </c>
      <c r="X34" s="30">
        <f t="shared" si="15"/>
        <v>0.9513240997229917</v>
      </c>
      <c r="Y34" s="30">
        <f t="shared" si="15"/>
        <v>0.97656694367497687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6">+G16</f>
        <v>Day 2</v>
      </c>
      <c r="H37" s="4" t="str">
        <f t="shared" si="16"/>
        <v>Day 3</v>
      </c>
      <c r="I37" s="4" t="str">
        <f t="shared" si="16"/>
        <v>Day 4</v>
      </c>
      <c r="J37" s="4" t="str">
        <f t="shared" si="16"/>
        <v>Day 5</v>
      </c>
      <c r="K37" s="4" t="str">
        <f t="shared" si="16"/>
        <v>Day 6</v>
      </c>
      <c r="L37" s="4" t="str">
        <f t="shared" si="16"/>
        <v>Day 7</v>
      </c>
      <c r="M37" s="4" t="str">
        <f t="shared" si="16"/>
        <v>Day 8</v>
      </c>
      <c r="N37" s="4" t="str">
        <f t="shared" si="16"/>
        <v>Day 9</v>
      </c>
      <c r="O37" s="4" t="str">
        <f t="shared" si="16"/>
        <v>Day 10</v>
      </c>
      <c r="P37" s="4" t="str">
        <f t="shared" si="16"/>
        <v>Day 11</v>
      </c>
      <c r="Q37" s="4" t="str">
        <f t="shared" si="16"/>
        <v>Day 12</v>
      </c>
      <c r="R37" s="4" t="str">
        <f t="shared" si="16"/>
        <v>Day 13</v>
      </c>
      <c r="S37" s="4" t="str">
        <f t="shared" si="16"/>
        <v>Day 14</v>
      </c>
      <c r="T37" s="4" t="str">
        <f t="shared" si="16"/>
        <v>Day 15</v>
      </c>
      <c r="U37" s="4" t="str">
        <f t="shared" si="16"/>
        <v>Day 16</v>
      </c>
      <c r="V37" s="4" t="str">
        <f t="shared" si="16"/>
        <v>Day 17</v>
      </c>
      <c r="W37" s="4" t="str">
        <f t="shared" si="16"/>
        <v>Day 18</v>
      </c>
      <c r="X37" s="4" t="str">
        <f t="shared" si="16"/>
        <v>Day 19</v>
      </c>
      <c r="Y37" s="4" t="str">
        <f t="shared" si="16"/>
        <v>Day 20</v>
      </c>
      <c r="AX37"/>
    </row>
    <row r="38" spans="2:50">
      <c r="B38" s="4" t="s">
        <v>0</v>
      </c>
      <c r="C38" s="17"/>
      <c r="D38" s="17"/>
      <c r="E38" s="17"/>
      <c r="F38" s="17">
        <f>(F48/$C$48)</f>
        <v>14.302472727272727</v>
      </c>
      <c r="G38" s="17">
        <f t="shared" ref="G38:Y38" si="17">(G48/$C$48)</f>
        <v>7.1512363636363636</v>
      </c>
      <c r="H38" s="17">
        <f t="shared" si="17"/>
        <v>4.7674909090909088</v>
      </c>
      <c r="I38" s="17">
        <f t="shared" si="17"/>
        <v>3.5756181818181818</v>
      </c>
      <c r="J38" s="17">
        <f t="shared" si="17"/>
        <v>2.8604945454545456</v>
      </c>
      <c r="K38" s="17">
        <f t="shared" si="17"/>
        <v>2.3837454545454544</v>
      </c>
      <c r="L38" s="17">
        <f t="shared" si="17"/>
        <v>2.2404779220779218</v>
      </c>
      <c r="M38" s="17">
        <f t="shared" si="17"/>
        <v>2.0387454545454546</v>
      </c>
      <c r="N38" s="17">
        <f t="shared" si="17"/>
        <v>1.9023515151515149</v>
      </c>
      <c r="O38" s="17">
        <f t="shared" si="17"/>
        <v>1.7520800000000001</v>
      </c>
      <c r="P38" s="17">
        <f t="shared" si="17"/>
        <v>1.7001057851239669</v>
      </c>
      <c r="Q38" s="17">
        <f t="shared" si="17"/>
        <v>1.6718303030303032</v>
      </c>
      <c r="R38" s="17">
        <f t="shared" si="17"/>
        <v>1.6453482517482518</v>
      </c>
      <c r="S38" s="17">
        <f t="shared" si="17"/>
        <v>1.5436103896103897</v>
      </c>
      <c r="T38" s="17">
        <f t="shared" si="17"/>
        <v>1.4947830303030303</v>
      </c>
      <c r="U38" s="17">
        <f t="shared" si="17"/>
        <v>1.4497818181818183</v>
      </c>
      <c r="V38" s="17">
        <f t="shared" si="17"/>
        <v>1.3645005347593582</v>
      </c>
      <c r="W38" s="17">
        <f t="shared" si="17"/>
        <v>1.2886949494949496</v>
      </c>
      <c r="X38" s="17">
        <f t="shared" si="17"/>
        <v>1.1684593301435409</v>
      </c>
      <c r="Y38" s="17">
        <f t="shared" si="17"/>
        <v>1.0814545454545454</v>
      </c>
      <c r="AX38"/>
    </row>
    <row r="39" spans="2:50">
      <c r="B39" s="4" t="s">
        <v>64</v>
      </c>
      <c r="C39" s="17"/>
      <c r="D39" s="17"/>
      <c r="E39" s="17"/>
      <c r="F39" s="17">
        <f>(F49/$C$49)</f>
        <v>10.661333333333333</v>
      </c>
      <c r="G39" s="17">
        <f t="shared" ref="G39:Y39" si="18">(G49/$C$49)</f>
        <v>5.3306666666666667</v>
      </c>
      <c r="H39" s="17">
        <f t="shared" si="18"/>
        <v>3.5537777777777775</v>
      </c>
      <c r="I39" s="17">
        <f t="shared" si="18"/>
        <v>2.6653333333333333</v>
      </c>
      <c r="J39" s="17">
        <f t="shared" si="18"/>
        <v>2.1322666666666668</v>
      </c>
      <c r="K39" s="17">
        <f t="shared" si="18"/>
        <v>1.7768888888888887</v>
      </c>
      <c r="L39" s="17">
        <f t="shared" si="18"/>
        <v>1.5230476190476192</v>
      </c>
      <c r="M39" s="17">
        <f t="shared" si="18"/>
        <v>1.3326666666666667</v>
      </c>
      <c r="N39" s="17">
        <f t="shared" si="18"/>
        <v>1.3918518518518519</v>
      </c>
      <c r="O39" s="17">
        <f t="shared" si="18"/>
        <v>1.2526666666666666</v>
      </c>
      <c r="P39" s="17">
        <f t="shared" si="18"/>
        <v>1.3883636363636362</v>
      </c>
      <c r="Q39" s="17">
        <f t="shared" si="18"/>
        <v>1.3792222222222221</v>
      </c>
      <c r="R39" s="17">
        <f t="shared" si="18"/>
        <v>1.3284102564102565</v>
      </c>
      <c r="S39" s="17">
        <f t="shared" si="18"/>
        <v>1.3248571428571427</v>
      </c>
      <c r="T39" s="17">
        <f t="shared" si="18"/>
        <v>1.2365333333333333</v>
      </c>
      <c r="U39" s="17">
        <f t="shared" si="18"/>
        <v>1.1592499999999999</v>
      </c>
      <c r="V39" s="17">
        <f t="shared" si="18"/>
        <v>1.0910588235294119</v>
      </c>
      <c r="W39" s="17">
        <f t="shared" si="18"/>
        <v>1.0304444444444443</v>
      </c>
      <c r="X39" s="17">
        <f t="shared" si="18"/>
        <v>1.0518596491228069</v>
      </c>
      <c r="Y39" s="17">
        <f t="shared" si="18"/>
        <v>1.0937333333333332</v>
      </c>
      <c r="AX39"/>
    </row>
    <row r="40" spans="2:50">
      <c r="B40" s="4" t="s">
        <v>1</v>
      </c>
      <c r="C40" s="17"/>
      <c r="D40" s="17"/>
      <c r="E40" s="17"/>
      <c r="F40" s="17">
        <f t="shared" ref="F40:Y40" si="19">(F50/$C$50)</f>
        <v>13.365142857142857</v>
      </c>
      <c r="G40" s="17">
        <f t="shared" si="19"/>
        <v>6.6825714285714284</v>
      </c>
      <c r="H40" s="17">
        <f t="shared" si="19"/>
        <v>4.4550476190476189</v>
      </c>
      <c r="I40" s="17">
        <f t="shared" si="19"/>
        <v>3.3412857142857142</v>
      </c>
      <c r="J40" s="17">
        <f t="shared" si="19"/>
        <v>2.6730285714285715</v>
      </c>
      <c r="K40" s="17">
        <f t="shared" si="19"/>
        <v>2.2275238095238095</v>
      </c>
      <c r="L40" s="17">
        <f t="shared" si="19"/>
        <v>1.9909387755102042</v>
      </c>
      <c r="M40" s="17">
        <f t="shared" si="19"/>
        <v>1.7420714285714285</v>
      </c>
      <c r="N40" s="17">
        <f t="shared" si="19"/>
        <v>1.5827301587301585</v>
      </c>
      <c r="O40" s="17">
        <f t="shared" si="19"/>
        <v>1.6185714285714285</v>
      </c>
      <c r="P40" s="17">
        <f t="shared" si="19"/>
        <v>1.6424415584415584</v>
      </c>
      <c r="Q40" s="17">
        <f t="shared" si="19"/>
        <v>1.5312380952380953</v>
      </c>
      <c r="R40" s="17">
        <f t="shared" si="19"/>
        <v>1.4371428571428571</v>
      </c>
      <c r="S40" s="17">
        <f t="shared" si="19"/>
        <v>1.414326530612245</v>
      </c>
      <c r="T40" s="17">
        <f t="shared" si="19"/>
        <v>1.4517714285714285</v>
      </c>
      <c r="U40" s="17">
        <f t="shared" si="19"/>
        <v>1.4295357142857144</v>
      </c>
      <c r="V40" s="17">
        <f t="shared" si="19"/>
        <v>1.331327731092437</v>
      </c>
      <c r="W40" s="17">
        <f t="shared" si="19"/>
        <v>1.283968253968254</v>
      </c>
      <c r="X40" s="17">
        <f t="shared" si="19"/>
        <v>1.2431278195488722</v>
      </c>
      <c r="Y40" s="17">
        <f t="shared" si="19"/>
        <v>1.2101142857142857</v>
      </c>
      <c r="AX40"/>
    </row>
    <row r="41" spans="2:50">
      <c r="B41" s="4" t="s">
        <v>2</v>
      </c>
      <c r="C41" s="17"/>
      <c r="D41" s="17"/>
      <c r="E41" s="17"/>
      <c r="F41" s="17">
        <f t="shared" ref="F41:Y42" si="20">(F51/$C$51)</f>
        <v>10.445222222222222</v>
      </c>
      <c r="G41" s="17">
        <f t="shared" si="20"/>
        <v>5.2226111111111111</v>
      </c>
      <c r="H41" s="17">
        <f t="shared" si="20"/>
        <v>3.481740740740741</v>
      </c>
      <c r="I41" s="17">
        <f t="shared" si="20"/>
        <v>2.6113055555555555</v>
      </c>
      <c r="J41" s="17">
        <f t="shared" si="20"/>
        <v>2.0890444444444443</v>
      </c>
      <c r="K41" s="17">
        <f t="shared" si="20"/>
        <v>1.7408703703703705</v>
      </c>
      <c r="L41" s="17">
        <f t="shared" si="20"/>
        <v>1.5521111111111112</v>
      </c>
      <c r="M41" s="17">
        <f t="shared" si="20"/>
        <v>1.4767222222222223</v>
      </c>
      <c r="N41" s="17">
        <f t="shared" si="20"/>
        <v>1.5060246913580246</v>
      </c>
      <c r="O41" s="17">
        <f t="shared" si="20"/>
        <v>1.4953222222222222</v>
      </c>
      <c r="P41" s="17">
        <f t="shared" si="20"/>
        <v>1.4083838383838383</v>
      </c>
      <c r="Q41" s="17">
        <f t="shared" si="20"/>
        <v>1.3281018518518517</v>
      </c>
      <c r="R41" s="17">
        <f t="shared" si="20"/>
        <v>1.3210940170940171</v>
      </c>
      <c r="S41" s="17">
        <f t="shared" si="20"/>
        <v>1.38684126984127</v>
      </c>
      <c r="T41" s="17">
        <f t="shared" si="20"/>
        <v>1.3619851851851852</v>
      </c>
      <c r="U41" s="17">
        <f t="shared" si="20"/>
        <v>1.3642638888888889</v>
      </c>
      <c r="V41" s="17">
        <f t="shared" si="20"/>
        <v>1.3201307189542484</v>
      </c>
      <c r="W41" s="17">
        <f t="shared" si="20"/>
        <v>1.279820987654321</v>
      </c>
      <c r="X41" s="17">
        <f t="shared" si="20"/>
        <v>1.2124619883040935</v>
      </c>
      <c r="Y41" s="17">
        <f t="shared" si="20"/>
        <v>1.2444444444444445</v>
      </c>
      <c r="AX41"/>
    </row>
    <row r="42" spans="2:50">
      <c r="B42" s="4" t="s">
        <v>63</v>
      </c>
      <c r="C42" s="17"/>
      <c r="D42" s="17"/>
      <c r="E42" s="17"/>
      <c r="F42" s="17">
        <f t="shared" si="20"/>
        <v>0.60299999999999998</v>
      </c>
      <c r="G42" s="17">
        <f t="shared" si="20"/>
        <v>0.30149999999999999</v>
      </c>
      <c r="H42" s="17">
        <f t="shared" si="20"/>
        <v>0.20100000000000001</v>
      </c>
      <c r="I42" s="17">
        <f t="shared" si="20"/>
        <v>0.15075</v>
      </c>
      <c r="J42" s="17">
        <f t="shared" si="20"/>
        <v>0.1206</v>
      </c>
      <c r="K42" s="17">
        <f t="shared" si="20"/>
        <v>0.10050000000000001</v>
      </c>
      <c r="L42" s="17">
        <f t="shared" si="20"/>
        <v>8.6142857142857146E-2</v>
      </c>
      <c r="M42" s="17">
        <f t="shared" si="20"/>
        <v>0.20030555555555554</v>
      </c>
      <c r="N42" s="17">
        <f t="shared" si="20"/>
        <v>0.17804938271604936</v>
      </c>
      <c r="O42" s="17">
        <f t="shared" si="20"/>
        <v>0.16024444444444444</v>
      </c>
      <c r="P42" s="17">
        <f t="shared" si="20"/>
        <v>0.14567676767676765</v>
      </c>
      <c r="Q42" s="17">
        <f t="shared" si="20"/>
        <v>0.13353703703703704</v>
      </c>
      <c r="R42" s="17">
        <f t="shared" si="20"/>
        <v>0.12326495726495727</v>
      </c>
      <c r="S42" s="17">
        <f t="shared" si="20"/>
        <v>0.17001587301587301</v>
      </c>
      <c r="T42" s="17">
        <f t="shared" si="20"/>
        <v>0.15868148148148148</v>
      </c>
      <c r="U42" s="17">
        <f t="shared" si="20"/>
        <v>0.14876388888888889</v>
      </c>
      <c r="V42" s="17">
        <f t="shared" si="20"/>
        <v>0.14001307189542483</v>
      </c>
      <c r="W42" s="17">
        <f t="shared" si="20"/>
        <v>0.13223456790123456</v>
      </c>
      <c r="X42" s="17">
        <f t="shared" si="20"/>
        <v>0.12527485380116959</v>
      </c>
      <c r="Y42" s="17">
        <f t="shared" si="20"/>
        <v>0.11901111111111111</v>
      </c>
      <c r="AX42"/>
    </row>
    <row r="43" spans="2:50">
      <c r="B43" s="4" t="s">
        <v>3</v>
      </c>
      <c r="C43" s="18"/>
      <c r="D43" s="18"/>
      <c r="E43" s="18"/>
      <c r="F43" s="18">
        <f t="shared" ref="F43:Y43" si="21">(F53/$C$53)</f>
        <v>7.7467682926829271</v>
      </c>
      <c r="G43" s="18">
        <f t="shared" si="21"/>
        <v>3.8733841463414636</v>
      </c>
      <c r="H43" s="18">
        <f t="shared" si="21"/>
        <v>2.5822560975609754</v>
      </c>
      <c r="I43" s="18">
        <f t="shared" si="21"/>
        <v>1.9366920731707318</v>
      </c>
      <c r="J43" s="18">
        <f t="shared" si="21"/>
        <v>1.5493536585365855</v>
      </c>
      <c r="K43" s="18">
        <f t="shared" si="21"/>
        <v>1.2911280487804877</v>
      </c>
      <c r="L43" s="18">
        <f t="shared" si="21"/>
        <v>1.1066811846689895</v>
      </c>
      <c r="M43" s="18">
        <f t="shared" si="21"/>
        <v>1.0004801829268293</v>
      </c>
      <c r="N43" s="18">
        <f t="shared" si="21"/>
        <v>0.90271680216802175</v>
      </c>
      <c r="O43" s="18">
        <f t="shared" si="21"/>
        <v>0.84672560975609756</v>
      </c>
      <c r="P43" s="18">
        <f t="shared" si="21"/>
        <v>0.86715077605321522</v>
      </c>
      <c r="Q43" s="18">
        <f t="shared" si="21"/>
        <v>0.84375508130081311</v>
      </c>
      <c r="R43" s="18">
        <f t="shared" si="21"/>
        <v>0.81267354596622887</v>
      </c>
      <c r="S43" s="18">
        <f t="shared" si="21"/>
        <v>0.82915505226480846</v>
      </c>
      <c r="T43" s="18">
        <f t="shared" si="21"/>
        <v>0.80505284552845524</v>
      </c>
      <c r="U43" s="18">
        <f t="shared" si="21"/>
        <v>0.75994283536585361</v>
      </c>
      <c r="V43" s="18">
        <f t="shared" si="21"/>
        <v>0.74832137733142035</v>
      </c>
      <c r="W43" s="18">
        <f t="shared" si="21"/>
        <v>0.71415311653116531</v>
      </c>
      <c r="X43" s="18">
        <f t="shared" si="21"/>
        <v>0.68888318356867773</v>
      </c>
      <c r="Y43" s="18">
        <f t="shared" si="21"/>
        <v>0.67378048780487809</v>
      </c>
      <c r="AX43"/>
    </row>
    <row r="44" spans="2:50">
      <c r="B44" s="14" t="s">
        <v>27</v>
      </c>
      <c r="C44" s="17"/>
      <c r="D44" s="17"/>
      <c r="E44" s="17">
        <f t="shared" ref="E44:Y44" si="22">(E54/$C$54)</f>
        <v>0</v>
      </c>
      <c r="F44" s="17">
        <f t="shared" si="22"/>
        <v>10.71218836565097</v>
      </c>
      <c r="G44" s="17">
        <f t="shared" si="22"/>
        <v>5.3560941828254851</v>
      </c>
      <c r="H44" s="17">
        <f t="shared" si="22"/>
        <v>3.5707294552169899</v>
      </c>
      <c r="I44" s="17">
        <f t="shared" si="22"/>
        <v>2.6780470914127426</v>
      </c>
      <c r="J44" s="17">
        <f t="shared" si="22"/>
        <v>2.142437673130194</v>
      </c>
      <c r="K44" s="17">
        <f t="shared" si="22"/>
        <v>1.785364727608495</v>
      </c>
      <c r="L44" s="17">
        <f t="shared" si="22"/>
        <v>1.6035562590687245</v>
      </c>
      <c r="M44" s="17">
        <f t="shared" si="22"/>
        <v>1.473213296398892</v>
      </c>
      <c r="N44" s="17">
        <f t="shared" si="22"/>
        <v>1.3884928696009031</v>
      </c>
      <c r="O44" s="17">
        <f t="shared" si="22"/>
        <v>1.324792243767313</v>
      </c>
      <c r="P44" s="17">
        <f t="shared" si="22"/>
        <v>1.3141643582640812</v>
      </c>
      <c r="Q44" s="17">
        <f t="shared" si="22"/>
        <v>1.26593567251462</v>
      </c>
      <c r="R44" s="17">
        <f t="shared" si="22"/>
        <v>1.2282022870942539</v>
      </c>
      <c r="S44" s="17">
        <f t="shared" si="22"/>
        <v>1.2221250494657698</v>
      </c>
      <c r="T44" s="17">
        <f t="shared" si="22"/>
        <v>1.1963459526008</v>
      </c>
      <c r="U44" s="17">
        <f t="shared" si="22"/>
        <v>1.1610422437673129</v>
      </c>
      <c r="V44" s="17">
        <f t="shared" si="22"/>
        <v>1.1064863396882298</v>
      </c>
      <c r="W44" s="17">
        <f t="shared" si="22"/>
        <v>1.0570462706473787</v>
      </c>
      <c r="X44" s="17">
        <f t="shared" si="22"/>
        <v>1.0013937891820965</v>
      </c>
      <c r="Y44" s="17">
        <f t="shared" si="22"/>
        <v>0.97656694367497687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23">+G37</f>
        <v>Day 2</v>
      </c>
      <c r="H47" s="4" t="str">
        <f t="shared" si="23"/>
        <v>Day 3</v>
      </c>
      <c r="I47" s="4" t="str">
        <f t="shared" si="23"/>
        <v>Day 4</v>
      </c>
      <c r="J47" s="4" t="str">
        <f t="shared" si="23"/>
        <v>Day 5</v>
      </c>
      <c r="K47" s="4" t="str">
        <f t="shared" si="23"/>
        <v>Day 6</v>
      </c>
      <c r="L47" s="4" t="str">
        <f t="shared" si="23"/>
        <v>Day 7</v>
      </c>
      <c r="M47" s="4" t="str">
        <f t="shared" si="23"/>
        <v>Day 8</v>
      </c>
      <c r="N47" s="4" t="str">
        <f t="shared" si="23"/>
        <v>Day 9</v>
      </c>
      <c r="O47" s="4" t="str">
        <f t="shared" si="23"/>
        <v>Day 10</v>
      </c>
      <c r="P47" s="4" t="str">
        <f t="shared" si="23"/>
        <v>Day 11</v>
      </c>
      <c r="Q47" s="4" t="str">
        <f t="shared" si="23"/>
        <v>Day 12</v>
      </c>
      <c r="R47" s="4" t="str">
        <f t="shared" si="23"/>
        <v>Day 13</v>
      </c>
      <c r="S47" s="4" t="str">
        <f t="shared" si="23"/>
        <v>Day 14</v>
      </c>
      <c r="T47" s="4" t="str">
        <f t="shared" si="23"/>
        <v>Day 15</v>
      </c>
      <c r="U47" s="4" t="str">
        <f t="shared" si="23"/>
        <v>Day 16</v>
      </c>
      <c r="V47" s="4" t="str">
        <f t="shared" si="23"/>
        <v>Day 17</v>
      </c>
      <c r="W47" s="4" t="str">
        <f t="shared" si="23"/>
        <v>Day 18</v>
      </c>
      <c r="X47" s="4" t="str">
        <f t="shared" si="23"/>
        <v>Day 19</v>
      </c>
      <c r="Y47" s="4" t="str">
        <f t="shared" si="23"/>
        <v>Day 20</v>
      </c>
      <c r="AX47"/>
    </row>
    <row r="48" spans="2:50">
      <c r="B48" s="4" t="s">
        <v>0</v>
      </c>
      <c r="C48" s="37">
        <v>275000</v>
      </c>
      <c r="D48" s="4"/>
      <c r="E48" s="4"/>
      <c r="F48" s="55">
        <f t="shared" ref="F48:Y48" si="24">(F27)/F$1*$Y$1</f>
        <v>3933180</v>
      </c>
      <c r="G48" s="55">
        <f t="shared" si="24"/>
        <v>1966590</v>
      </c>
      <c r="H48" s="55">
        <f t="shared" si="24"/>
        <v>1311060</v>
      </c>
      <c r="I48" s="55">
        <f t="shared" si="24"/>
        <v>983295</v>
      </c>
      <c r="J48" s="55">
        <f t="shared" si="24"/>
        <v>786636</v>
      </c>
      <c r="K48" s="55">
        <f t="shared" si="24"/>
        <v>655530</v>
      </c>
      <c r="L48" s="55">
        <f t="shared" si="24"/>
        <v>616131.42857142852</v>
      </c>
      <c r="M48" s="55">
        <f t="shared" si="24"/>
        <v>560655</v>
      </c>
      <c r="N48" s="55">
        <f t="shared" si="24"/>
        <v>523146.66666666663</v>
      </c>
      <c r="O48" s="55">
        <f t="shared" si="24"/>
        <v>481822</v>
      </c>
      <c r="P48" s="55">
        <f t="shared" si="24"/>
        <v>467529.09090909088</v>
      </c>
      <c r="Q48" s="55">
        <f t="shared" si="24"/>
        <v>459753.33333333337</v>
      </c>
      <c r="R48" s="55">
        <f t="shared" si="24"/>
        <v>452470.76923076925</v>
      </c>
      <c r="S48" s="55">
        <f t="shared" si="24"/>
        <v>424492.85714285716</v>
      </c>
      <c r="T48" s="55">
        <f t="shared" si="24"/>
        <v>411065.33333333331</v>
      </c>
      <c r="U48" s="55">
        <f t="shared" si="24"/>
        <v>398690</v>
      </c>
      <c r="V48" s="55">
        <f t="shared" si="24"/>
        <v>375237.6470588235</v>
      </c>
      <c r="W48" s="55">
        <f t="shared" si="24"/>
        <v>354391.11111111112</v>
      </c>
      <c r="X48" s="55">
        <f t="shared" si="24"/>
        <v>321326.31578947371</v>
      </c>
      <c r="Y48" s="55">
        <f t="shared" si="24"/>
        <v>297400</v>
      </c>
      <c r="AX48"/>
    </row>
    <row r="49" spans="2:50">
      <c r="B49" s="4" t="s">
        <v>64</v>
      </c>
      <c r="C49" s="37">
        <v>75000</v>
      </c>
      <c r="D49" s="4"/>
      <c r="E49" s="4"/>
      <c r="F49" s="55">
        <f t="shared" ref="F49:Y52" si="25">(F28)/F$1*$Y$1</f>
        <v>799600</v>
      </c>
      <c r="G49" s="55">
        <f t="shared" si="25"/>
        <v>399800</v>
      </c>
      <c r="H49" s="55">
        <f t="shared" si="25"/>
        <v>266533.33333333331</v>
      </c>
      <c r="I49" s="55">
        <f t="shared" si="25"/>
        <v>199900</v>
      </c>
      <c r="J49" s="55">
        <f t="shared" si="25"/>
        <v>159920</v>
      </c>
      <c r="K49" s="55">
        <f t="shared" si="25"/>
        <v>133266.66666666666</v>
      </c>
      <c r="L49" s="55">
        <f t="shared" si="25"/>
        <v>114228.57142857143</v>
      </c>
      <c r="M49" s="55">
        <f t="shared" si="25"/>
        <v>99950</v>
      </c>
      <c r="N49" s="55">
        <f t="shared" si="25"/>
        <v>104388.88888888889</v>
      </c>
      <c r="O49" s="55">
        <f t="shared" si="25"/>
        <v>93950</v>
      </c>
      <c r="P49" s="55">
        <f t="shared" si="25"/>
        <v>104127.27272727272</v>
      </c>
      <c r="Q49" s="55">
        <f t="shared" si="25"/>
        <v>103441.66666666666</v>
      </c>
      <c r="R49" s="55">
        <f t="shared" si="25"/>
        <v>99630.769230769234</v>
      </c>
      <c r="S49" s="55">
        <f t="shared" si="25"/>
        <v>99364.28571428571</v>
      </c>
      <c r="T49" s="55">
        <f t="shared" si="25"/>
        <v>92740</v>
      </c>
      <c r="U49" s="55">
        <f t="shared" si="25"/>
        <v>86943.75</v>
      </c>
      <c r="V49" s="55">
        <f t="shared" si="25"/>
        <v>81829.411764705888</v>
      </c>
      <c r="W49" s="55">
        <f t="shared" si="25"/>
        <v>77283.333333333328</v>
      </c>
      <c r="X49" s="55">
        <f t="shared" si="25"/>
        <v>78889.473684210519</v>
      </c>
      <c r="Y49" s="55">
        <f t="shared" si="25"/>
        <v>82030</v>
      </c>
      <c r="AX49"/>
    </row>
    <row r="50" spans="2:50">
      <c r="B50" s="4" t="s">
        <v>1</v>
      </c>
      <c r="C50" s="37">
        <v>175000</v>
      </c>
      <c r="D50" s="4"/>
      <c r="E50" s="4"/>
      <c r="F50" s="55">
        <f t="shared" si="25"/>
        <v>2338900</v>
      </c>
      <c r="G50" s="55">
        <f t="shared" si="25"/>
        <v>1169450</v>
      </c>
      <c r="H50" s="55">
        <f t="shared" si="25"/>
        <v>779633.33333333326</v>
      </c>
      <c r="I50" s="55">
        <f t="shared" si="25"/>
        <v>584725</v>
      </c>
      <c r="J50" s="55">
        <f t="shared" si="25"/>
        <v>467780</v>
      </c>
      <c r="K50" s="55">
        <f t="shared" si="25"/>
        <v>389816.66666666663</v>
      </c>
      <c r="L50" s="55">
        <f t="shared" si="25"/>
        <v>348414.28571428574</v>
      </c>
      <c r="M50" s="55">
        <f t="shared" si="25"/>
        <v>304862.5</v>
      </c>
      <c r="N50" s="55">
        <f t="shared" si="25"/>
        <v>276977.77777777775</v>
      </c>
      <c r="O50" s="55">
        <f t="shared" si="25"/>
        <v>283250</v>
      </c>
      <c r="P50" s="55">
        <f t="shared" si="25"/>
        <v>287427.27272727271</v>
      </c>
      <c r="Q50" s="55">
        <f t="shared" si="25"/>
        <v>267966.66666666669</v>
      </c>
      <c r="R50" s="55">
        <f t="shared" si="25"/>
        <v>251500</v>
      </c>
      <c r="S50" s="55">
        <f t="shared" si="25"/>
        <v>247507.14285714287</v>
      </c>
      <c r="T50" s="55">
        <f t="shared" si="25"/>
        <v>254060</v>
      </c>
      <c r="U50" s="55">
        <f t="shared" si="25"/>
        <v>250168.75</v>
      </c>
      <c r="V50" s="55">
        <f t="shared" si="25"/>
        <v>232982.35294117648</v>
      </c>
      <c r="W50" s="55">
        <f t="shared" si="25"/>
        <v>224694.44444444444</v>
      </c>
      <c r="X50" s="55">
        <f t="shared" si="25"/>
        <v>217547.36842105264</v>
      </c>
      <c r="Y50" s="55">
        <f t="shared" si="25"/>
        <v>211770</v>
      </c>
      <c r="AX50"/>
    </row>
    <row r="51" spans="2:50">
      <c r="B51" s="4" t="s">
        <v>2</v>
      </c>
      <c r="C51" s="37">
        <v>180000</v>
      </c>
      <c r="D51" s="4"/>
      <c r="E51" s="4"/>
      <c r="F51" s="55">
        <f t="shared" si="25"/>
        <v>1880140</v>
      </c>
      <c r="G51" s="55">
        <f t="shared" si="25"/>
        <v>940070</v>
      </c>
      <c r="H51" s="55">
        <f t="shared" si="25"/>
        <v>626713.33333333337</v>
      </c>
      <c r="I51" s="55">
        <f t="shared" si="25"/>
        <v>470035</v>
      </c>
      <c r="J51" s="55">
        <f t="shared" si="25"/>
        <v>376028</v>
      </c>
      <c r="K51" s="55">
        <f t="shared" si="25"/>
        <v>313356.66666666669</v>
      </c>
      <c r="L51" s="55">
        <f t="shared" si="25"/>
        <v>279380</v>
      </c>
      <c r="M51" s="55">
        <f t="shared" si="25"/>
        <v>265810</v>
      </c>
      <c r="N51" s="55">
        <f t="shared" si="25"/>
        <v>271084.44444444444</v>
      </c>
      <c r="O51" s="55">
        <f t="shared" si="25"/>
        <v>269158</v>
      </c>
      <c r="P51" s="55">
        <f t="shared" si="25"/>
        <v>253509.09090909091</v>
      </c>
      <c r="Q51" s="55">
        <f t="shared" si="25"/>
        <v>239058.33333333331</v>
      </c>
      <c r="R51" s="55">
        <f t="shared" si="25"/>
        <v>237796.92307692309</v>
      </c>
      <c r="S51" s="55">
        <f t="shared" si="25"/>
        <v>249631.42857142858</v>
      </c>
      <c r="T51" s="55">
        <f t="shared" si="25"/>
        <v>245157.33333333334</v>
      </c>
      <c r="U51" s="55">
        <f t="shared" si="25"/>
        <v>245567.5</v>
      </c>
      <c r="V51" s="55">
        <f t="shared" si="25"/>
        <v>237623.52941176473</v>
      </c>
      <c r="W51" s="55">
        <f t="shared" si="25"/>
        <v>230367.77777777778</v>
      </c>
      <c r="X51" s="55">
        <f t="shared" si="25"/>
        <v>218243.15789473683</v>
      </c>
      <c r="Y51" s="55">
        <f t="shared" si="25"/>
        <v>224000</v>
      </c>
      <c r="AA51" s="48"/>
    </row>
    <row r="52" spans="2:50">
      <c r="B52" s="4" t="s">
        <v>63</v>
      </c>
      <c r="C52" s="37">
        <v>50000</v>
      </c>
      <c r="D52" s="4"/>
      <c r="E52" s="4"/>
      <c r="F52" s="55">
        <f t="shared" si="25"/>
        <v>108540</v>
      </c>
      <c r="G52" s="55">
        <f t="shared" si="25"/>
        <v>54270</v>
      </c>
      <c r="H52" s="55">
        <f t="shared" si="25"/>
        <v>36180</v>
      </c>
      <c r="I52" s="55">
        <f t="shared" si="25"/>
        <v>27135</v>
      </c>
      <c r="J52" s="55">
        <f t="shared" si="25"/>
        <v>21708</v>
      </c>
      <c r="K52" s="55">
        <f t="shared" si="25"/>
        <v>18090</v>
      </c>
      <c r="L52" s="55">
        <f t="shared" si="25"/>
        <v>15505.714285714286</v>
      </c>
      <c r="M52" s="55">
        <f t="shared" si="25"/>
        <v>36055</v>
      </c>
      <c r="N52" s="55">
        <f t="shared" si="25"/>
        <v>32048.888888888887</v>
      </c>
      <c r="O52" s="55">
        <f t="shared" si="25"/>
        <v>28844</v>
      </c>
      <c r="P52" s="55">
        <f t="shared" si="25"/>
        <v>26221.81818181818</v>
      </c>
      <c r="Q52" s="55">
        <f t="shared" si="25"/>
        <v>24036.666666666664</v>
      </c>
      <c r="R52" s="55">
        <f t="shared" si="25"/>
        <v>22187.692307692309</v>
      </c>
      <c r="S52" s="55">
        <f t="shared" si="25"/>
        <v>30602.857142857141</v>
      </c>
      <c r="T52" s="55">
        <f t="shared" si="25"/>
        <v>28562.666666666668</v>
      </c>
      <c r="U52" s="55">
        <f t="shared" si="25"/>
        <v>26777.5</v>
      </c>
      <c r="V52" s="55">
        <f t="shared" si="25"/>
        <v>25202.352941176468</v>
      </c>
      <c r="W52" s="55">
        <f t="shared" si="25"/>
        <v>23802.222222222223</v>
      </c>
      <c r="X52" s="55">
        <f t="shared" si="25"/>
        <v>22549.473684210527</v>
      </c>
      <c r="Y52" s="55">
        <f t="shared" si="25"/>
        <v>21422</v>
      </c>
      <c r="AA52" s="48"/>
    </row>
    <row r="53" spans="2:50">
      <c r="B53" s="4" t="s">
        <v>3</v>
      </c>
      <c r="C53" s="38">
        <v>328000</v>
      </c>
      <c r="D53" s="19"/>
      <c r="E53" s="19"/>
      <c r="F53" s="98">
        <f t="shared" ref="F53:Y53" si="26">(F32)/F$1*$Y$1</f>
        <v>2540940</v>
      </c>
      <c r="G53" s="98">
        <f t="shared" si="26"/>
        <v>1270470</v>
      </c>
      <c r="H53" s="98">
        <f t="shared" si="26"/>
        <v>846980</v>
      </c>
      <c r="I53" s="98">
        <f t="shared" si="26"/>
        <v>635235</v>
      </c>
      <c r="J53" s="98">
        <f t="shared" si="26"/>
        <v>508188</v>
      </c>
      <c r="K53" s="98">
        <f t="shared" si="26"/>
        <v>423490</v>
      </c>
      <c r="L53" s="98">
        <f t="shared" si="26"/>
        <v>362991.42857142852</v>
      </c>
      <c r="M53" s="98">
        <f t="shared" si="26"/>
        <v>328157.5</v>
      </c>
      <c r="N53" s="98">
        <f t="shared" si="26"/>
        <v>296091.11111111112</v>
      </c>
      <c r="O53" s="98">
        <f t="shared" si="26"/>
        <v>277726</v>
      </c>
      <c r="P53" s="98">
        <f t="shared" si="26"/>
        <v>284425.45454545459</v>
      </c>
      <c r="Q53" s="98">
        <f t="shared" si="26"/>
        <v>276751.66666666669</v>
      </c>
      <c r="R53" s="98">
        <f t="shared" si="26"/>
        <v>266556.92307692306</v>
      </c>
      <c r="S53" s="98">
        <f t="shared" si="26"/>
        <v>271962.85714285716</v>
      </c>
      <c r="T53" s="98">
        <f t="shared" si="26"/>
        <v>264057.33333333331</v>
      </c>
      <c r="U53" s="98">
        <f t="shared" si="26"/>
        <v>249261.25</v>
      </c>
      <c r="V53" s="98">
        <f t="shared" si="26"/>
        <v>245449.41176470587</v>
      </c>
      <c r="W53" s="98">
        <f t="shared" si="26"/>
        <v>234242.22222222222</v>
      </c>
      <c r="X53" s="98">
        <f t="shared" si="26"/>
        <v>225953.68421052629</v>
      </c>
      <c r="Y53" s="98">
        <f t="shared" si="26"/>
        <v>221000</v>
      </c>
    </row>
    <row r="54" spans="2:50">
      <c r="B54" s="14" t="s">
        <v>27</v>
      </c>
      <c r="C54" s="39">
        <f>SUM(C48:C53)</f>
        <v>1083000</v>
      </c>
      <c r="D54" s="10">
        <f>SUM(D48:D53)</f>
        <v>0</v>
      </c>
      <c r="E54" s="10"/>
      <c r="F54" s="10">
        <f t="shared" ref="F54:Y54" si="27">SUM(F48:F53)</f>
        <v>11601300</v>
      </c>
      <c r="G54" s="10">
        <f t="shared" si="27"/>
        <v>5800650</v>
      </c>
      <c r="H54" s="10">
        <f t="shared" si="27"/>
        <v>3867100</v>
      </c>
      <c r="I54" s="10">
        <f t="shared" si="27"/>
        <v>2900325</v>
      </c>
      <c r="J54" s="10">
        <f t="shared" si="27"/>
        <v>2320260</v>
      </c>
      <c r="K54" s="10">
        <f t="shared" si="27"/>
        <v>1933550</v>
      </c>
      <c r="L54" s="10">
        <f t="shared" si="27"/>
        <v>1736651.4285714286</v>
      </c>
      <c r="M54" s="10">
        <f t="shared" si="27"/>
        <v>1595490</v>
      </c>
      <c r="N54" s="10">
        <f t="shared" si="27"/>
        <v>1503737.777777778</v>
      </c>
      <c r="O54" s="10">
        <f t="shared" si="27"/>
        <v>1434750</v>
      </c>
      <c r="P54" s="10">
        <f t="shared" si="27"/>
        <v>1423240</v>
      </c>
      <c r="Q54" s="10">
        <f t="shared" si="27"/>
        <v>1371008.3333333335</v>
      </c>
      <c r="R54" s="10">
        <f t="shared" si="27"/>
        <v>1330143.076923077</v>
      </c>
      <c r="S54" s="10">
        <f t="shared" si="27"/>
        <v>1323561.4285714286</v>
      </c>
      <c r="T54" s="10">
        <f t="shared" si="27"/>
        <v>1295642.6666666665</v>
      </c>
      <c r="U54" s="10">
        <f t="shared" si="27"/>
        <v>1257408.75</v>
      </c>
      <c r="V54" s="10">
        <f t="shared" si="27"/>
        <v>1198324.705882353</v>
      </c>
      <c r="W54" s="10">
        <f t="shared" si="27"/>
        <v>1144781.111111111</v>
      </c>
      <c r="X54" s="10">
        <f t="shared" si="27"/>
        <v>1084509.4736842106</v>
      </c>
      <c r="Y54" s="10">
        <f t="shared" si="27"/>
        <v>1057622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80</v>
      </c>
      <c r="M2" s="93" t="s">
        <v>45</v>
      </c>
      <c r="O2" s="28"/>
      <c r="P2" s="28"/>
      <c r="Q2" s="28"/>
      <c r="R2" s="28"/>
    </row>
    <row r="3" spans="1:50">
      <c r="F3" s="28"/>
      <c r="M3" s="126" t="s">
        <v>65</v>
      </c>
      <c r="N3" s="126"/>
      <c r="O3" s="126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17750</v>
      </c>
      <c r="D6" s="10"/>
      <c r="E6" s="11">
        <v>153593</v>
      </c>
      <c r="F6" s="122">
        <v>19348</v>
      </c>
      <c r="G6" s="122">
        <v>12168</v>
      </c>
      <c r="H6" s="34">
        <v>21516</v>
      </c>
      <c r="I6" s="122">
        <v>14694</v>
      </c>
      <c r="J6" s="122">
        <v>17238</v>
      </c>
      <c r="K6" s="122">
        <v>24814</v>
      </c>
      <c r="L6" s="122">
        <v>8616</v>
      </c>
      <c r="M6" s="122">
        <v>26349</v>
      </c>
      <c r="N6" s="122">
        <v>0</v>
      </c>
      <c r="O6" s="122">
        <v>28887</v>
      </c>
      <c r="P6" s="122">
        <v>6078</v>
      </c>
      <c r="Q6" s="34">
        <v>14694</v>
      </c>
      <c r="R6" s="34">
        <v>22815</v>
      </c>
      <c r="S6" s="34">
        <v>33945</v>
      </c>
      <c r="T6" s="34">
        <v>28774</v>
      </c>
      <c r="U6" s="34">
        <v>13692</v>
      </c>
      <c r="V6" s="34">
        <v>15558</v>
      </c>
      <c r="W6" s="34">
        <v>28887</v>
      </c>
      <c r="X6" s="34">
        <v>22809</v>
      </c>
      <c r="Y6" s="34">
        <v>19770</v>
      </c>
      <c r="Z6" s="115">
        <f t="shared" ref="Z6:Z11" si="1">(SUM(F6:Y6)/(COUNT(F6:Y6)))</f>
        <v>19032.599999999999</v>
      </c>
      <c r="AA6" s="103"/>
      <c r="AX6"/>
    </row>
    <row r="7" spans="1:50">
      <c r="B7" s="4" t="s">
        <v>64</v>
      </c>
      <c r="C7" s="20">
        <f t="shared" si="0"/>
        <v>4500</v>
      </c>
      <c r="D7" s="10"/>
      <c r="E7" s="11">
        <v>30470</v>
      </c>
      <c r="F7" s="122">
        <v>2695</v>
      </c>
      <c r="G7" s="122">
        <v>6995</v>
      </c>
      <c r="H7" s="122">
        <v>0</v>
      </c>
      <c r="I7" s="122">
        <v>0</v>
      </c>
      <c r="J7" s="122">
        <v>4795</v>
      </c>
      <c r="K7" s="122">
        <v>0</v>
      </c>
      <c r="L7" s="122">
        <v>2695</v>
      </c>
      <c r="M7" s="122">
        <v>2995</v>
      </c>
      <c r="N7" s="122">
        <v>5990</v>
      </c>
      <c r="O7" s="122">
        <v>2995</v>
      </c>
      <c r="P7" s="122">
        <v>0</v>
      </c>
      <c r="Q7" s="34">
        <v>2995</v>
      </c>
      <c r="R7" s="34">
        <v>0</v>
      </c>
      <c r="S7" s="34">
        <v>8490</v>
      </c>
      <c r="T7" s="34">
        <v>2995</v>
      </c>
      <c r="U7" s="34">
        <v>0</v>
      </c>
      <c r="V7" s="34">
        <v>5990</v>
      </c>
      <c r="W7" s="34">
        <v>0</v>
      </c>
      <c r="X7" s="34">
        <v>2995</v>
      </c>
      <c r="Y7" s="34">
        <v>0</v>
      </c>
      <c r="Z7" s="69">
        <f t="shared" si="1"/>
        <v>2631.25</v>
      </c>
      <c r="AA7" s="103"/>
      <c r="AX7"/>
    </row>
    <row r="8" spans="1:50">
      <c r="B8" s="4" t="s">
        <v>1</v>
      </c>
      <c r="C8" s="20">
        <f t="shared" si="0"/>
        <v>10000</v>
      </c>
      <c r="D8" s="10"/>
      <c r="E8" s="11">
        <v>84855</v>
      </c>
      <c r="F8" s="122">
        <v>11465</v>
      </c>
      <c r="G8" s="122">
        <v>5495</v>
      </c>
      <c r="H8" s="122">
        <v>12041</v>
      </c>
      <c r="I8" s="122">
        <v>2290</v>
      </c>
      <c r="J8" s="122">
        <v>6995</v>
      </c>
      <c r="K8" s="122">
        <v>5895</v>
      </c>
      <c r="L8" s="122">
        <v>12885</v>
      </c>
      <c r="M8" s="122">
        <v>17240</v>
      </c>
      <c r="N8" s="122">
        <v>10790</v>
      </c>
      <c r="O8" s="122">
        <v>8985</v>
      </c>
      <c r="P8" s="122">
        <v>7190</v>
      </c>
      <c r="Q8" s="34">
        <v>20175</v>
      </c>
      <c r="R8" s="34">
        <v>15190</v>
      </c>
      <c r="S8" s="34">
        <v>5990</v>
      </c>
      <c r="T8" s="34">
        <v>14030</v>
      </c>
      <c r="U8" s="81">
        <v>0</v>
      </c>
      <c r="V8" s="34">
        <v>24270</v>
      </c>
      <c r="W8" s="34">
        <v>11035</v>
      </c>
      <c r="X8" s="34">
        <v>12990</v>
      </c>
      <c r="Y8" s="34">
        <v>5540</v>
      </c>
      <c r="Z8" s="115">
        <f t="shared" si="1"/>
        <v>10524.55</v>
      </c>
      <c r="AA8" s="103"/>
      <c r="AX8"/>
    </row>
    <row r="9" spans="1:50">
      <c r="B9" s="4" t="s">
        <v>2</v>
      </c>
      <c r="C9" s="20">
        <f t="shared" si="0"/>
        <v>9700</v>
      </c>
      <c r="D9" s="10"/>
      <c r="E9" s="11">
        <v>37460</v>
      </c>
      <c r="F9" s="122">
        <v>10879</v>
      </c>
      <c r="G9" s="122">
        <v>4855</v>
      </c>
      <c r="H9" s="122">
        <v>7645</v>
      </c>
      <c r="I9" s="122">
        <v>6966</v>
      </c>
      <c r="J9" s="122">
        <v>5036</v>
      </c>
      <c r="K9" s="122">
        <v>13847</v>
      </c>
      <c r="L9" s="122">
        <v>3956</v>
      </c>
      <c r="M9" s="122">
        <v>9171</v>
      </c>
      <c r="N9" s="122">
        <v>0</v>
      </c>
      <c r="O9" s="122">
        <v>4500</v>
      </c>
      <c r="P9" s="122">
        <v>5841</v>
      </c>
      <c r="Q9" s="34">
        <v>2695</v>
      </c>
      <c r="R9" s="34">
        <v>10796</v>
      </c>
      <c r="S9" s="34">
        <v>3600</v>
      </c>
      <c r="T9" s="34">
        <v>15246</v>
      </c>
      <c r="U9" s="81">
        <v>0</v>
      </c>
      <c r="V9" s="34">
        <v>0</v>
      </c>
      <c r="W9" s="34">
        <v>1795</v>
      </c>
      <c r="X9" s="34">
        <v>3640</v>
      </c>
      <c r="Y9" s="34">
        <v>13303</v>
      </c>
      <c r="Z9" s="69">
        <f t="shared" si="1"/>
        <v>6188.55</v>
      </c>
      <c r="AA9" s="103"/>
      <c r="AX9"/>
    </row>
    <row r="10" spans="1:50">
      <c r="B10" s="4" t="s">
        <v>63</v>
      </c>
      <c r="C10" s="20">
        <f t="shared" si="0"/>
        <v>2500</v>
      </c>
      <c r="D10" s="10"/>
      <c r="E10" s="11">
        <v>12612</v>
      </c>
      <c r="F10" s="122">
        <v>0</v>
      </c>
      <c r="G10" s="122">
        <v>6995</v>
      </c>
      <c r="H10" s="34">
        <v>0</v>
      </c>
      <c r="I10" s="122">
        <v>4917</v>
      </c>
      <c r="J10" s="122">
        <v>0</v>
      </c>
      <c r="K10" s="122">
        <v>0</v>
      </c>
      <c r="L10" s="122">
        <v>6395</v>
      </c>
      <c r="M10" s="122">
        <v>7995</v>
      </c>
      <c r="N10" s="122">
        <v>2222</v>
      </c>
      <c r="O10" s="122">
        <v>0</v>
      </c>
      <c r="P10" s="122">
        <v>0</v>
      </c>
      <c r="Q10" s="34">
        <v>0</v>
      </c>
      <c r="R10" s="34">
        <v>0</v>
      </c>
      <c r="S10" s="34">
        <v>5000</v>
      </c>
      <c r="T10" s="34">
        <v>0</v>
      </c>
      <c r="U10" s="34">
        <v>4316</v>
      </c>
      <c r="V10" s="34">
        <v>0</v>
      </c>
      <c r="W10" s="34">
        <v>0</v>
      </c>
      <c r="X10" s="34">
        <v>0</v>
      </c>
      <c r="Y10" s="34">
        <v>0</v>
      </c>
      <c r="Z10" s="69">
        <f t="shared" si="1"/>
        <v>1892</v>
      </c>
      <c r="AA10" s="103"/>
      <c r="AX10"/>
    </row>
    <row r="11" spans="1:50">
      <c r="B11" s="4" t="s">
        <v>3</v>
      </c>
      <c r="C11" s="21">
        <f t="shared" si="0"/>
        <v>18450</v>
      </c>
      <c r="D11" s="13"/>
      <c r="E11" s="40">
        <v>87694</v>
      </c>
      <c r="F11" s="124">
        <v>15207</v>
      </c>
      <c r="G11" s="124">
        <v>32385</v>
      </c>
      <c r="H11" s="124">
        <v>34756</v>
      </c>
      <c r="I11" s="124">
        <v>18682</v>
      </c>
      <c r="J11" s="124">
        <v>2050</v>
      </c>
      <c r="K11" s="124">
        <v>2460</v>
      </c>
      <c r="L11" s="124">
        <v>22382</v>
      </c>
      <c r="M11" s="124">
        <v>38782</v>
      </c>
      <c r="N11" s="124">
        <v>10637</v>
      </c>
      <c r="O11" s="124">
        <v>17398</v>
      </c>
      <c r="P11" s="124">
        <v>2227</v>
      </c>
      <c r="Q11" s="35">
        <v>4920</v>
      </c>
      <c r="R11" s="35">
        <v>14379</v>
      </c>
      <c r="S11" s="35">
        <v>16386</v>
      </c>
      <c r="T11" s="35">
        <v>17441</v>
      </c>
      <c r="U11" s="35">
        <v>16180</v>
      </c>
      <c r="V11" s="35">
        <v>19888</v>
      </c>
      <c r="W11" s="35">
        <v>11006</v>
      </c>
      <c r="X11" s="35">
        <v>30310</v>
      </c>
      <c r="Y11" s="35">
        <v>17405</v>
      </c>
      <c r="Z11" s="94">
        <f t="shared" si="1"/>
        <v>17244.05</v>
      </c>
      <c r="AA11" s="103"/>
      <c r="AX11"/>
    </row>
    <row r="12" spans="1:50" ht="15.75" thickBot="1">
      <c r="B12" s="14" t="s">
        <v>27</v>
      </c>
      <c r="C12" s="20">
        <f>SUM(C6:C11)</f>
        <v>62900</v>
      </c>
      <c r="D12" s="10"/>
      <c r="E12" s="11">
        <f t="shared" ref="E12:Y12" si="2">SUM(E6:E11)</f>
        <v>406684</v>
      </c>
      <c r="F12" s="127">
        <f t="shared" si="2"/>
        <v>59594</v>
      </c>
      <c r="G12" s="127">
        <f t="shared" si="2"/>
        <v>68893</v>
      </c>
      <c r="H12" s="127">
        <f t="shared" si="2"/>
        <v>75958</v>
      </c>
      <c r="I12" s="127">
        <f t="shared" si="2"/>
        <v>47549</v>
      </c>
      <c r="J12" s="127">
        <f t="shared" si="2"/>
        <v>36114</v>
      </c>
      <c r="K12" s="127">
        <f t="shared" si="2"/>
        <v>47016</v>
      </c>
      <c r="L12" s="127">
        <f t="shared" si="2"/>
        <v>56929</v>
      </c>
      <c r="M12" s="127">
        <f t="shared" si="2"/>
        <v>102532</v>
      </c>
      <c r="N12" s="127">
        <f t="shared" si="2"/>
        <v>29639</v>
      </c>
      <c r="O12" s="127">
        <f t="shared" si="2"/>
        <v>62765</v>
      </c>
      <c r="P12" s="127">
        <f t="shared" si="2"/>
        <v>21336</v>
      </c>
      <c r="Q12" s="127">
        <f t="shared" si="2"/>
        <v>45479</v>
      </c>
      <c r="R12" s="127">
        <f t="shared" si="2"/>
        <v>63180</v>
      </c>
      <c r="S12" s="127">
        <f t="shared" si="2"/>
        <v>73411</v>
      </c>
      <c r="T12" s="127">
        <f t="shared" si="2"/>
        <v>78486</v>
      </c>
      <c r="U12" s="127">
        <f t="shared" si="2"/>
        <v>34188</v>
      </c>
      <c r="V12" s="127">
        <f t="shared" si="2"/>
        <v>65706</v>
      </c>
      <c r="W12" s="127">
        <f t="shared" si="2"/>
        <v>52723</v>
      </c>
      <c r="X12" s="127">
        <f t="shared" si="2"/>
        <v>72744</v>
      </c>
      <c r="Y12" s="127">
        <f t="shared" si="2"/>
        <v>56018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57513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1.0900281690140845</v>
      </c>
      <c r="G17" s="25">
        <f t="shared" si="4"/>
        <v>0.68552112676056343</v>
      </c>
      <c r="H17" s="25">
        <f t="shared" si="4"/>
        <v>1.2121690140845069</v>
      </c>
      <c r="I17" s="25">
        <f t="shared" si="4"/>
        <v>0.82783098591549298</v>
      </c>
      <c r="J17" s="25">
        <f t="shared" si="4"/>
        <v>0.97115492957746474</v>
      </c>
      <c r="K17" s="25">
        <f t="shared" si="4"/>
        <v>1.3979718309859155</v>
      </c>
      <c r="L17" s="25">
        <f t="shared" si="4"/>
        <v>0.48540845070422534</v>
      </c>
      <c r="M17" s="25">
        <f t="shared" si="4"/>
        <v>1.4844507042253521</v>
      </c>
      <c r="N17" s="25">
        <f t="shared" si="4"/>
        <v>0</v>
      </c>
      <c r="O17" s="25">
        <f t="shared" si="4"/>
        <v>1.6274366197183099</v>
      </c>
      <c r="P17" s="25">
        <f t="shared" si="4"/>
        <v>0.34242253521126764</v>
      </c>
      <c r="Q17" s="25">
        <f t="shared" si="4"/>
        <v>0.82783098591549298</v>
      </c>
      <c r="R17" s="25">
        <f t="shared" si="4"/>
        <v>1.2853521126760563</v>
      </c>
      <c r="S17" s="25">
        <f t="shared" si="4"/>
        <v>1.9123943661971832</v>
      </c>
      <c r="T17" s="25">
        <f t="shared" si="4"/>
        <v>1.6210704225352113</v>
      </c>
      <c r="U17" s="25">
        <f t="shared" si="4"/>
        <v>0.77138028169014083</v>
      </c>
      <c r="V17" s="25">
        <f t="shared" si="4"/>
        <v>0.87650704225352116</v>
      </c>
      <c r="W17" s="25">
        <f t="shared" si="4"/>
        <v>1.6274366197183099</v>
      </c>
      <c r="X17" s="25">
        <f t="shared" si="4"/>
        <v>1.2850140845070421</v>
      </c>
      <c r="Y17" s="25">
        <f t="shared" si="4"/>
        <v>1.1138028169014085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0.59888888888888892</v>
      </c>
      <c r="G18" s="25">
        <f t="shared" si="4"/>
        <v>1.5544444444444445</v>
      </c>
      <c r="H18" s="25">
        <f t="shared" si="4"/>
        <v>0</v>
      </c>
      <c r="I18" s="25">
        <f t="shared" si="4"/>
        <v>0</v>
      </c>
      <c r="J18" s="25">
        <f t="shared" si="4"/>
        <v>1.0655555555555556</v>
      </c>
      <c r="K18" s="25">
        <f t="shared" si="4"/>
        <v>0</v>
      </c>
      <c r="L18" s="25">
        <f t="shared" si="4"/>
        <v>0.59888888888888892</v>
      </c>
      <c r="M18" s="25">
        <f t="shared" si="4"/>
        <v>0.66555555555555557</v>
      </c>
      <c r="N18" s="25">
        <f t="shared" si="4"/>
        <v>1.3311111111111111</v>
      </c>
      <c r="O18" s="25">
        <f t="shared" si="4"/>
        <v>0.66555555555555557</v>
      </c>
      <c r="P18" s="25">
        <f t="shared" si="4"/>
        <v>0</v>
      </c>
      <c r="Q18" s="25">
        <f t="shared" si="4"/>
        <v>0.66555555555555557</v>
      </c>
      <c r="R18" s="25">
        <f t="shared" si="4"/>
        <v>0</v>
      </c>
      <c r="S18" s="25">
        <f t="shared" si="4"/>
        <v>1.8866666666666667</v>
      </c>
      <c r="T18" s="25">
        <f t="shared" si="4"/>
        <v>0.66555555555555557</v>
      </c>
      <c r="U18" s="25">
        <f t="shared" si="4"/>
        <v>0</v>
      </c>
      <c r="V18" s="25">
        <f t="shared" si="4"/>
        <v>1.3311111111111111</v>
      </c>
      <c r="W18" s="25">
        <f t="shared" si="4"/>
        <v>0</v>
      </c>
      <c r="X18" s="25">
        <f t="shared" si="4"/>
        <v>0.66555555555555557</v>
      </c>
      <c r="Y18" s="25">
        <f t="shared" si="4"/>
        <v>0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1.1465000000000001</v>
      </c>
      <c r="G19" s="25">
        <f t="shared" si="4"/>
        <v>0.54949999999999999</v>
      </c>
      <c r="H19" s="25">
        <f t="shared" si="4"/>
        <v>1.2040999999999999</v>
      </c>
      <c r="I19" s="25">
        <f t="shared" si="4"/>
        <v>0.22899999999999998</v>
      </c>
      <c r="J19" s="25">
        <f t="shared" si="4"/>
        <v>0.69950000000000001</v>
      </c>
      <c r="K19" s="25">
        <f t="shared" si="4"/>
        <v>0.58950000000000002</v>
      </c>
      <c r="L19" s="25">
        <f t="shared" si="4"/>
        <v>1.2885</v>
      </c>
      <c r="M19" s="25">
        <f t="shared" si="4"/>
        <v>1.724</v>
      </c>
      <c r="N19" s="25">
        <f t="shared" si="4"/>
        <v>1.079</v>
      </c>
      <c r="O19" s="25">
        <f t="shared" si="4"/>
        <v>0.89849999999999997</v>
      </c>
      <c r="P19" s="25">
        <f t="shared" si="4"/>
        <v>0.71899999999999997</v>
      </c>
      <c r="Q19" s="25">
        <f t="shared" si="4"/>
        <v>2.0175000000000001</v>
      </c>
      <c r="R19" s="25">
        <f t="shared" si="4"/>
        <v>1.5190000000000001</v>
      </c>
      <c r="S19" s="25">
        <f t="shared" si="4"/>
        <v>0.59899999999999998</v>
      </c>
      <c r="T19" s="25">
        <f t="shared" si="4"/>
        <v>1.403</v>
      </c>
      <c r="U19" s="25">
        <f t="shared" si="4"/>
        <v>0</v>
      </c>
      <c r="V19" s="25">
        <f t="shared" si="4"/>
        <v>2.427</v>
      </c>
      <c r="W19" s="25">
        <f t="shared" si="4"/>
        <v>1.1034999999999999</v>
      </c>
      <c r="X19" s="25">
        <f t="shared" si="4"/>
        <v>1.2989999999999999</v>
      </c>
      <c r="Y19" s="25">
        <f t="shared" si="4"/>
        <v>0.55400000000000005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1.1215463917525774</v>
      </c>
      <c r="G20" s="25">
        <f t="shared" si="4"/>
        <v>0.50051546391752577</v>
      </c>
      <c r="H20" s="25">
        <f t="shared" si="4"/>
        <v>0.78814432989690719</v>
      </c>
      <c r="I20" s="25">
        <f t="shared" si="4"/>
        <v>0.71814432989690724</v>
      </c>
      <c r="J20" s="25">
        <f t="shared" si="4"/>
        <v>0.51917525773195883</v>
      </c>
      <c r="K20" s="25">
        <f t="shared" si="4"/>
        <v>1.4275257731958764</v>
      </c>
      <c r="L20" s="25">
        <f t="shared" si="4"/>
        <v>0.40783505154639177</v>
      </c>
      <c r="M20" s="25">
        <f t="shared" si="4"/>
        <v>0.94546391752577319</v>
      </c>
      <c r="N20" s="25">
        <f t="shared" si="4"/>
        <v>0</v>
      </c>
      <c r="O20" s="25">
        <f t="shared" si="4"/>
        <v>0.46391752577319589</v>
      </c>
      <c r="P20" s="25">
        <f t="shared" si="4"/>
        <v>0.60216494845360824</v>
      </c>
      <c r="Q20" s="25">
        <f t="shared" si="4"/>
        <v>0.27783505154639176</v>
      </c>
      <c r="R20" s="25">
        <f t="shared" si="4"/>
        <v>1.1129896907216494</v>
      </c>
      <c r="S20" s="25">
        <f t="shared" si="4"/>
        <v>0.37113402061855671</v>
      </c>
      <c r="T20" s="25">
        <f t="shared" si="4"/>
        <v>1.5717525773195877</v>
      </c>
      <c r="U20" s="25">
        <f t="shared" si="4"/>
        <v>0</v>
      </c>
      <c r="V20" s="25">
        <f t="shared" si="4"/>
        <v>0</v>
      </c>
      <c r="W20" s="25">
        <f t="shared" si="4"/>
        <v>0.18505154639175259</v>
      </c>
      <c r="X20" s="25">
        <f t="shared" si="4"/>
        <v>0.37525773195876289</v>
      </c>
      <c r="Y20" s="25">
        <f t="shared" si="4"/>
        <v>1.3714432989690721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2.798</v>
      </c>
      <c r="H21" s="25">
        <f t="shared" si="4"/>
        <v>0</v>
      </c>
      <c r="I21" s="25">
        <f t="shared" si="4"/>
        <v>1.9668000000000001</v>
      </c>
      <c r="J21" s="25">
        <f t="shared" si="4"/>
        <v>0</v>
      </c>
      <c r="K21" s="25">
        <f t="shared" si="4"/>
        <v>0</v>
      </c>
      <c r="L21" s="25">
        <f t="shared" si="4"/>
        <v>2.5579999999999998</v>
      </c>
      <c r="M21" s="25">
        <f t="shared" si="4"/>
        <v>3.198</v>
      </c>
      <c r="N21" s="25">
        <f t="shared" si="4"/>
        <v>0.88880000000000003</v>
      </c>
      <c r="O21" s="25">
        <f t="shared" si="4"/>
        <v>0</v>
      </c>
      <c r="P21" s="25">
        <f t="shared" si="4"/>
        <v>0</v>
      </c>
      <c r="Q21" s="25">
        <f t="shared" si="4"/>
        <v>0</v>
      </c>
      <c r="R21" s="25">
        <f t="shared" si="4"/>
        <v>0</v>
      </c>
      <c r="S21" s="25">
        <f t="shared" si="4"/>
        <v>2</v>
      </c>
      <c r="T21" s="25">
        <f t="shared" si="4"/>
        <v>0</v>
      </c>
      <c r="U21" s="25">
        <f t="shared" si="4"/>
        <v>1.7263999999999999</v>
      </c>
      <c r="V21" s="25">
        <f t="shared" si="4"/>
        <v>0</v>
      </c>
      <c r="W21" s="25">
        <f t="shared" si="4"/>
        <v>0</v>
      </c>
      <c r="X21" s="25">
        <f t="shared" si="4"/>
        <v>0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0.82422764227642276</v>
      </c>
      <c r="G22" s="27">
        <f t="shared" si="4"/>
        <v>1.7552845528455285</v>
      </c>
      <c r="H22" s="27">
        <f t="shared" si="4"/>
        <v>1.8837940379403793</v>
      </c>
      <c r="I22" s="27">
        <f t="shared" si="4"/>
        <v>1.0125745257452574</v>
      </c>
      <c r="J22" s="27">
        <f t="shared" si="4"/>
        <v>0.11111111111111116</v>
      </c>
      <c r="K22" s="27">
        <f t="shared" si="4"/>
        <v>0.1333333333333333</v>
      </c>
      <c r="L22" s="27">
        <f t="shared" si="4"/>
        <v>1.2131165311653116</v>
      </c>
      <c r="M22" s="27">
        <f t="shared" si="4"/>
        <v>2.1020054200542004</v>
      </c>
      <c r="N22" s="27">
        <f t="shared" si="4"/>
        <v>0.57653116531165316</v>
      </c>
      <c r="O22" s="27">
        <f t="shared" si="4"/>
        <v>0.94298102981029808</v>
      </c>
      <c r="P22" s="27">
        <f t="shared" si="4"/>
        <v>0.12070460704607044</v>
      </c>
      <c r="Q22" s="27">
        <f t="shared" si="4"/>
        <v>0.26666666666666672</v>
      </c>
      <c r="R22" s="27">
        <f t="shared" si="4"/>
        <v>0.77934959349593491</v>
      </c>
      <c r="S22" s="27">
        <f t="shared" si="4"/>
        <v>0.88813008130081306</v>
      </c>
      <c r="T22" s="27">
        <f t="shared" si="4"/>
        <v>0.9453116531165312</v>
      </c>
      <c r="U22" s="27">
        <f t="shared" si="4"/>
        <v>0.87696476964769643</v>
      </c>
      <c r="V22" s="27">
        <f t="shared" si="4"/>
        <v>1.0779403794037941</v>
      </c>
      <c r="W22" s="27">
        <f t="shared" si="4"/>
        <v>0.59653116531165318</v>
      </c>
      <c r="X22" s="27">
        <f t="shared" si="4"/>
        <v>1.6428184281842819</v>
      </c>
      <c r="Y22" s="27">
        <f t="shared" si="4"/>
        <v>0.94336043360433608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0.94744038155802857</v>
      </c>
      <c r="G23" s="25">
        <f t="shared" si="4"/>
        <v>1.0952782193958663</v>
      </c>
      <c r="H23" s="25">
        <f t="shared" si="4"/>
        <v>1.2075993640699523</v>
      </c>
      <c r="I23" s="25">
        <f t="shared" si="4"/>
        <v>0.75594594594594589</v>
      </c>
      <c r="J23" s="25">
        <f>(J12-$C12)/$C12+1</f>
        <v>0.57414944356120823</v>
      </c>
      <c r="K23" s="25">
        <f>(K12-$C12)/$C12+1</f>
        <v>0.74747217806041333</v>
      </c>
      <c r="L23" s="25">
        <f>(L12-$C12)/$C12+1</f>
        <v>0.90507154213036567</v>
      </c>
      <c r="M23" s="25">
        <f t="shared" si="4"/>
        <v>1.630079491255962</v>
      </c>
      <c r="N23" s="25">
        <f t="shared" si="4"/>
        <v>0.47120826709062003</v>
      </c>
      <c r="O23" s="25">
        <f t="shared" si="4"/>
        <v>0.99785373608903016</v>
      </c>
      <c r="P23" s="25">
        <f t="shared" si="4"/>
        <v>0.33920508744038158</v>
      </c>
      <c r="Q23" s="25">
        <f t="shared" si="4"/>
        <v>0.72303656597774246</v>
      </c>
      <c r="R23" s="25">
        <f t="shared" si="4"/>
        <v>1.0044515103338634</v>
      </c>
      <c r="S23" s="25">
        <f>(S12-$C12)/$C12+1</f>
        <v>1.1671065182829889</v>
      </c>
      <c r="T23" s="25">
        <f>(T12-$C12)/$C12+1</f>
        <v>1.2477901430842606</v>
      </c>
      <c r="U23" s="25">
        <f>(U12-$C12)/$C12+1</f>
        <v>0.54352941176470582</v>
      </c>
      <c r="V23" s="25">
        <f>(V12-$C12)/$C12+1</f>
        <v>1.0446104928457869</v>
      </c>
      <c r="W23" s="25">
        <f>(W12-$C12)/$C12+1</f>
        <v>0.83820349761526236</v>
      </c>
      <c r="X23" s="25">
        <f t="shared" si="4"/>
        <v>1.1565023847376787</v>
      </c>
      <c r="Y23" s="25">
        <f t="shared" si="4"/>
        <v>0.89058823529411768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180018</v>
      </c>
      <c r="G27" s="23">
        <v>192816</v>
      </c>
      <c r="H27" s="23">
        <v>213702</v>
      </c>
      <c r="I27" s="23">
        <v>228396</v>
      </c>
      <c r="J27" s="23">
        <v>245634</v>
      </c>
      <c r="K27" s="23">
        <v>270448</v>
      </c>
      <c r="L27" s="122">
        <v>279064</v>
      </c>
      <c r="M27" s="122">
        <v>305413</v>
      </c>
      <c r="N27" s="122">
        <v>302374</v>
      </c>
      <c r="O27" s="122">
        <v>331261</v>
      </c>
      <c r="P27" s="122">
        <v>337339</v>
      </c>
      <c r="Q27" s="23">
        <v>352033</v>
      </c>
      <c r="R27" s="23">
        <v>374848</v>
      </c>
      <c r="S27" s="23">
        <v>395101</v>
      </c>
      <c r="T27" s="23">
        <v>410183</v>
      </c>
      <c r="U27" s="23">
        <v>410183</v>
      </c>
      <c r="V27" s="23">
        <v>420119</v>
      </c>
      <c r="W27" s="23">
        <v>432275</v>
      </c>
      <c r="X27" s="23">
        <v>426197</v>
      </c>
      <c r="Y27" s="23">
        <v>397310</v>
      </c>
      <c r="Z27" s="109">
        <f>+Y27/C48</f>
        <v>1.1191830985915492</v>
      </c>
      <c r="AA27" s="97">
        <f t="shared" ref="AA27:AA33" si="8">+Z27-Y$25</f>
        <v>0.11918309859154919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25675</v>
      </c>
      <c r="G28" s="34">
        <v>35365</v>
      </c>
      <c r="H28" s="34">
        <v>35356</v>
      </c>
      <c r="I28" s="34">
        <v>35365</v>
      </c>
      <c r="J28" s="34">
        <v>40160</v>
      </c>
      <c r="K28" s="34">
        <v>40160</v>
      </c>
      <c r="L28" s="122">
        <v>42855</v>
      </c>
      <c r="M28" s="122">
        <v>45850</v>
      </c>
      <c r="N28" s="122">
        <v>51840</v>
      </c>
      <c r="O28" s="122">
        <v>54835</v>
      </c>
      <c r="P28" s="122">
        <v>54835</v>
      </c>
      <c r="Q28" s="23">
        <v>57830</v>
      </c>
      <c r="R28" s="23">
        <v>57830</v>
      </c>
      <c r="S28" s="23">
        <v>66320</v>
      </c>
      <c r="T28" s="23">
        <v>66120</v>
      </c>
      <c r="U28" s="23">
        <v>66620</v>
      </c>
      <c r="V28" s="121">
        <v>72610</v>
      </c>
      <c r="W28" s="23">
        <v>72610</v>
      </c>
      <c r="X28" s="23">
        <v>75605</v>
      </c>
      <c r="Y28" s="23">
        <v>78905</v>
      </c>
      <c r="Z28" s="109">
        <f>+Y28/C49</f>
        <v>0.87672222222222218</v>
      </c>
      <c r="AA28" s="113">
        <f t="shared" si="8"/>
        <v>-0.12327777777777782</v>
      </c>
      <c r="AX28"/>
    </row>
    <row r="29" spans="2:50">
      <c r="B29" s="4" t="str">
        <f>+B19</f>
        <v>Boston</v>
      </c>
      <c r="C29" s="4"/>
      <c r="D29" s="4"/>
      <c r="E29" s="23"/>
      <c r="F29" s="34">
        <v>96015</v>
      </c>
      <c r="G29" s="34">
        <v>101510</v>
      </c>
      <c r="H29" s="34">
        <v>113551</v>
      </c>
      <c r="I29" s="34">
        <v>115841</v>
      </c>
      <c r="J29" s="34">
        <v>122836</v>
      </c>
      <c r="K29" s="34">
        <v>128731</v>
      </c>
      <c r="L29" s="122">
        <v>141616</v>
      </c>
      <c r="M29" s="122">
        <v>155861</v>
      </c>
      <c r="N29" s="122">
        <v>169646</v>
      </c>
      <c r="O29" s="122">
        <v>178631</v>
      </c>
      <c r="P29" s="122">
        <v>185821</v>
      </c>
      <c r="Q29" s="23">
        <v>205996</v>
      </c>
      <c r="R29" s="23">
        <v>221186</v>
      </c>
      <c r="S29" s="23">
        <v>227176</v>
      </c>
      <c r="T29" s="23">
        <v>241206</v>
      </c>
      <c r="U29" s="23">
        <v>241206</v>
      </c>
      <c r="V29" s="121">
        <v>253236</v>
      </c>
      <c r="W29" s="23">
        <v>253236</v>
      </c>
      <c r="X29" s="23">
        <v>253236</v>
      </c>
      <c r="Y29" s="23">
        <v>249781</v>
      </c>
      <c r="Z29" s="109">
        <f>+Y29/C50</f>
        <v>1.2489049999999999</v>
      </c>
      <c r="AA29" s="113">
        <f t="shared" si="8"/>
        <v>0.24890499999999993</v>
      </c>
      <c r="AX29"/>
    </row>
    <row r="30" spans="2:50" s="4" customFormat="1" ht="12.75">
      <c r="B30" s="4" t="str">
        <f>+B20</f>
        <v>Canada</v>
      </c>
      <c r="E30" s="23"/>
      <c r="F30" s="34">
        <v>46115</v>
      </c>
      <c r="G30" s="34">
        <v>50970</v>
      </c>
      <c r="H30" s="34">
        <v>58616</v>
      </c>
      <c r="I30" s="34">
        <v>65582</v>
      </c>
      <c r="J30" s="34">
        <v>70618</v>
      </c>
      <c r="K30" s="34">
        <v>84465</v>
      </c>
      <c r="L30" s="122">
        <v>88422</v>
      </c>
      <c r="M30" s="122">
        <v>97593</v>
      </c>
      <c r="N30" s="122">
        <v>97593</v>
      </c>
      <c r="O30" s="122">
        <v>113437</v>
      </c>
      <c r="P30" s="122">
        <v>107934</v>
      </c>
      <c r="Q30" s="34">
        <v>110629</v>
      </c>
      <c r="R30" s="34">
        <v>121426</v>
      </c>
      <c r="S30" s="34">
        <v>125026</v>
      </c>
      <c r="T30" s="34">
        <v>132626</v>
      </c>
      <c r="U30" s="34">
        <v>132626</v>
      </c>
      <c r="V30" s="121">
        <v>140543</v>
      </c>
      <c r="W30" s="34">
        <v>140543</v>
      </c>
      <c r="X30" s="34">
        <v>135152</v>
      </c>
      <c r="Y30" s="34">
        <v>147169</v>
      </c>
      <c r="Z30" s="109">
        <f>Y30/C51</f>
        <v>0.75860309278350513</v>
      </c>
      <c r="AA30" s="113">
        <f t="shared" si="8"/>
        <v>-0.24139690721649487</v>
      </c>
    </row>
    <row r="31" spans="2:50" s="4" customFormat="1" ht="12.75">
      <c r="B31" s="4" t="s">
        <v>63</v>
      </c>
      <c r="E31" s="23"/>
      <c r="F31" s="34">
        <v>12612</v>
      </c>
      <c r="G31" s="34">
        <v>19607</v>
      </c>
      <c r="H31" s="34">
        <v>19607</v>
      </c>
      <c r="I31" s="34">
        <v>26422</v>
      </c>
      <c r="J31" s="34">
        <v>24524</v>
      </c>
      <c r="K31" s="34">
        <v>24524</v>
      </c>
      <c r="L31" s="122">
        <v>30919</v>
      </c>
      <c r="M31" s="122">
        <v>38914</v>
      </c>
      <c r="N31" s="122">
        <v>41136</v>
      </c>
      <c r="O31" s="122">
        <v>41136</v>
      </c>
      <c r="P31" s="122">
        <v>41136</v>
      </c>
      <c r="Q31" s="34">
        <v>41136</v>
      </c>
      <c r="R31" s="34">
        <v>41136</v>
      </c>
      <c r="S31" s="34">
        <v>46136</v>
      </c>
      <c r="T31" s="34">
        <v>46136</v>
      </c>
      <c r="U31" s="34">
        <v>55452</v>
      </c>
      <c r="V31" s="121">
        <v>55452</v>
      </c>
      <c r="W31" s="34">
        <v>55452</v>
      </c>
      <c r="X31" s="34">
        <v>55452</v>
      </c>
      <c r="Y31" s="34">
        <v>55452</v>
      </c>
      <c r="Z31" s="109">
        <f>Y31/C52</f>
        <v>1.10904</v>
      </c>
      <c r="AA31" s="113">
        <f t="shared" si="8"/>
        <v>0.10904000000000003</v>
      </c>
    </row>
    <row r="32" spans="2:50">
      <c r="B32" s="5" t="str">
        <f>+B22</f>
        <v>Norwich</v>
      </c>
      <c r="C32" s="19"/>
      <c r="D32" s="19"/>
      <c r="E32" s="35"/>
      <c r="F32" s="35">
        <v>101438</v>
      </c>
      <c r="G32" s="35">
        <v>133824</v>
      </c>
      <c r="H32" s="35">
        <v>168580</v>
      </c>
      <c r="I32" s="35">
        <v>182912</v>
      </c>
      <c r="J32" s="35">
        <v>189313</v>
      </c>
      <c r="K32" s="35">
        <v>191773</v>
      </c>
      <c r="L32" s="124">
        <v>222351</v>
      </c>
      <c r="M32" s="124">
        <v>250121</v>
      </c>
      <c r="N32" s="124">
        <v>263575</v>
      </c>
      <c r="O32" s="124">
        <v>280973</v>
      </c>
      <c r="P32" s="124">
        <v>283200</v>
      </c>
      <c r="Q32" s="35">
        <v>288120</v>
      </c>
      <c r="R32" s="35">
        <v>302499</v>
      </c>
      <c r="S32" s="35">
        <v>318886</v>
      </c>
      <c r="T32" s="35">
        <v>328656</v>
      </c>
      <c r="U32" s="35">
        <v>344836</v>
      </c>
      <c r="V32" s="35">
        <v>355386</v>
      </c>
      <c r="W32" s="35">
        <v>366392</v>
      </c>
      <c r="X32" s="35">
        <v>395472</v>
      </c>
      <c r="Y32" s="35">
        <v>365782</v>
      </c>
      <c r="Z32" s="110">
        <f>+Y32/C53</f>
        <v>0.99127913279132795</v>
      </c>
      <c r="AA32" s="113">
        <f t="shared" si="8"/>
        <v>-8.7208672086720451E-3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461873</v>
      </c>
      <c r="G33" s="10">
        <f>SUM(G27:G32)</f>
        <v>534092</v>
      </c>
      <c r="H33" s="10">
        <f>SUM(H27:H32)</f>
        <v>609412</v>
      </c>
      <c r="I33" s="10">
        <f>SUM(I27:I32)</f>
        <v>654518</v>
      </c>
      <c r="J33" s="4">
        <f t="shared" ref="J33:Y33" si="9">SUM(J27:J32)</f>
        <v>693085</v>
      </c>
      <c r="K33" s="10">
        <f t="shared" si="9"/>
        <v>740101</v>
      </c>
      <c r="L33" s="10">
        <f t="shared" si="9"/>
        <v>805227</v>
      </c>
      <c r="M33" s="10">
        <f t="shared" si="9"/>
        <v>893752</v>
      </c>
      <c r="N33" s="10">
        <f t="shared" si="9"/>
        <v>926164</v>
      </c>
      <c r="O33" s="4">
        <f>SUM(O27:O32)</f>
        <v>1000273</v>
      </c>
      <c r="P33" s="10">
        <f t="shared" si="9"/>
        <v>1010265</v>
      </c>
      <c r="Q33" s="10">
        <f t="shared" si="9"/>
        <v>1055744</v>
      </c>
      <c r="R33" s="10">
        <f t="shared" si="9"/>
        <v>1118925</v>
      </c>
      <c r="S33" s="10">
        <f t="shared" si="9"/>
        <v>1178645</v>
      </c>
      <c r="T33" s="4">
        <f t="shared" si="9"/>
        <v>1224927</v>
      </c>
      <c r="U33" s="10">
        <f t="shared" si="9"/>
        <v>1250923</v>
      </c>
      <c r="V33" s="10">
        <f t="shared" si="9"/>
        <v>1297346</v>
      </c>
      <c r="W33" s="10">
        <f t="shared" si="9"/>
        <v>1320508</v>
      </c>
      <c r="X33" s="10">
        <f t="shared" si="9"/>
        <v>1341114</v>
      </c>
      <c r="Y33" s="10">
        <f t="shared" si="9"/>
        <v>1294399</v>
      </c>
      <c r="Z33" s="111">
        <f>+Y33/C54</f>
        <v>1.0289340222575516</v>
      </c>
      <c r="AA33" s="118">
        <f t="shared" si="8"/>
        <v>2.8934022257551595E-2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0.36714864864864866</v>
      </c>
      <c r="G34" s="30">
        <f t="shared" si="10"/>
        <v>0.42455643879173288</v>
      </c>
      <c r="H34" s="30">
        <f t="shared" si="10"/>
        <v>0.48442925278219395</v>
      </c>
      <c r="I34" s="30">
        <f t="shared" si="10"/>
        <v>0.52028457869634337</v>
      </c>
      <c r="J34" s="30">
        <f t="shared" si="10"/>
        <v>0.55094197138314782</v>
      </c>
      <c r="K34" s="30">
        <f t="shared" si="10"/>
        <v>0.58831558028616848</v>
      </c>
      <c r="L34" s="30">
        <f t="shared" si="10"/>
        <v>0.64008505564387919</v>
      </c>
      <c r="M34" s="30">
        <f t="shared" si="10"/>
        <v>0.71045468998410177</v>
      </c>
      <c r="N34" s="30">
        <f t="shared" si="10"/>
        <v>0.73621939586645468</v>
      </c>
      <c r="O34" s="30">
        <f>+O33/$C$54</f>
        <v>0.7951295707472178</v>
      </c>
      <c r="P34" s="30">
        <f t="shared" ref="P34:Y34" si="11">+P33/$C$54</f>
        <v>0.80307233704292524</v>
      </c>
      <c r="Q34" s="30">
        <f t="shared" si="11"/>
        <v>0.83922416534181243</v>
      </c>
      <c r="R34" s="30">
        <f t="shared" si="11"/>
        <v>0.88944753577106517</v>
      </c>
      <c r="S34" s="30">
        <f t="shared" si="11"/>
        <v>0.93691971383147854</v>
      </c>
      <c r="T34" s="30">
        <f t="shared" si="11"/>
        <v>0.9737098569157393</v>
      </c>
      <c r="U34" s="30">
        <f t="shared" si="11"/>
        <v>0.99437440381558029</v>
      </c>
      <c r="V34" s="30">
        <f t="shared" si="11"/>
        <v>1.0312766295707472</v>
      </c>
      <c r="W34" s="30">
        <f t="shared" si="11"/>
        <v>1.0496883942766295</v>
      </c>
      <c r="X34" s="30">
        <f t="shared" si="11"/>
        <v>1.0660683624801273</v>
      </c>
      <c r="Y34" s="30">
        <f t="shared" si="11"/>
        <v>1.0289340222575516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AX37"/>
    </row>
    <row r="38" spans="2:50">
      <c r="B38" s="4" t="s">
        <v>0</v>
      </c>
      <c r="C38" s="17"/>
      <c r="D38" s="17"/>
      <c r="E38" s="17"/>
      <c r="F38" s="17">
        <f>(F48/$C$48)</f>
        <v>10.141859154929577</v>
      </c>
      <c r="G38" s="17">
        <f t="shared" ref="G38:Y38" si="13">(G48/$C$48)</f>
        <v>5.4314366197183102</v>
      </c>
      <c r="H38" s="17">
        <f t="shared" si="13"/>
        <v>4.0131830985915489</v>
      </c>
      <c r="I38" s="17">
        <f t="shared" si="13"/>
        <v>3.2168450704225351</v>
      </c>
      <c r="J38" s="17">
        <f t="shared" si="13"/>
        <v>2.7677070422535213</v>
      </c>
      <c r="K38" s="17">
        <f t="shared" si="13"/>
        <v>2.5394178403755867</v>
      </c>
      <c r="L38" s="17">
        <f t="shared" si="13"/>
        <v>2.2459879275653925</v>
      </c>
      <c r="M38" s="17">
        <f t="shared" si="13"/>
        <v>2.1507957746478872</v>
      </c>
      <c r="N38" s="17">
        <f t="shared" si="13"/>
        <v>1.892794992175274</v>
      </c>
      <c r="O38" s="17">
        <f t="shared" si="13"/>
        <v>1.8662591549295775</v>
      </c>
      <c r="P38" s="17">
        <f t="shared" si="13"/>
        <v>1.7277285531370039</v>
      </c>
      <c r="Q38" s="17">
        <f t="shared" si="13"/>
        <v>1.6527370892018778</v>
      </c>
      <c r="R38" s="17">
        <f t="shared" si="13"/>
        <v>1.6244767063921992</v>
      </c>
      <c r="S38" s="17">
        <f t="shared" si="13"/>
        <v>1.589943661971831</v>
      </c>
      <c r="T38" s="17">
        <f t="shared" si="13"/>
        <v>1.5405934272300468</v>
      </c>
      <c r="U38" s="17">
        <f t="shared" si="13"/>
        <v>1.4443063380281691</v>
      </c>
      <c r="V38" s="17">
        <f t="shared" si="13"/>
        <v>1.392275062137531</v>
      </c>
      <c r="W38" s="17">
        <f t="shared" si="13"/>
        <v>1.3529733959311425</v>
      </c>
      <c r="X38" s="17">
        <f t="shared" si="13"/>
        <v>1.2637420311341734</v>
      </c>
      <c r="Y38" s="17">
        <f t="shared" si="13"/>
        <v>1.1191830985915492</v>
      </c>
      <c r="AX38"/>
    </row>
    <row r="39" spans="2:50">
      <c r="B39" s="4" t="s">
        <v>64</v>
      </c>
      <c r="C39" s="17"/>
      <c r="D39" s="17"/>
      <c r="E39" s="17"/>
      <c r="F39" s="17">
        <f>(F49/$C$49)</f>
        <v>5.7055555555555557</v>
      </c>
      <c r="G39" s="17">
        <f t="shared" ref="G39:Y39" si="14">(G49/$C$49)</f>
        <v>3.9294444444444445</v>
      </c>
      <c r="H39" s="17">
        <f t="shared" si="14"/>
        <v>2.6189629629629634</v>
      </c>
      <c r="I39" s="17">
        <f t="shared" si="14"/>
        <v>1.9647222222222223</v>
      </c>
      <c r="J39" s="17">
        <f t="shared" si="14"/>
        <v>1.784888888888889</v>
      </c>
      <c r="K39" s="17">
        <f t="shared" si="14"/>
        <v>1.4874074074074073</v>
      </c>
      <c r="L39" s="17">
        <f t="shared" si="14"/>
        <v>1.3604761904761904</v>
      </c>
      <c r="M39" s="17">
        <f t="shared" si="14"/>
        <v>1.273611111111111</v>
      </c>
      <c r="N39" s="17">
        <f t="shared" si="14"/>
        <v>1.28</v>
      </c>
      <c r="O39" s="17">
        <f t="shared" si="14"/>
        <v>1.2185555555555556</v>
      </c>
      <c r="P39" s="17">
        <f t="shared" si="14"/>
        <v>1.1077777777777778</v>
      </c>
      <c r="Q39" s="17">
        <f t="shared" si="14"/>
        <v>1.0709259259259261</v>
      </c>
      <c r="R39" s="17">
        <f t="shared" si="14"/>
        <v>0.9885470085470085</v>
      </c>
      <c r="S39" s="17">
        <f t="shared" si="14"/>
        <v>1.0526984126984125</v>
      </c>
      <c r="T39" s="17">
        <f t="shared" si="14"/>
        <v>0.97955555555555551</v>
      </c>
      <c r="U39" s="17">
        <f t="shared" si="14"/>
        <v>0.92527777777777775</v>
      </c>
      <c r="V39" s="17">
        <f t="shared" si="14"/>
        <v>0.94915032679738554</v>
      </c>
      <c r="W39" s="17">
        <f t="shared" si="14"/>
        <v>0.89641975308641975</v>
      </c>
      <c r="X39" s="17">
        <f t="shared" si="14"/>
        <v>0.8842690058479532</v>
      </c>
      <c r="Y39" s="17">
        <f t="shared" si="14"/>
        <v>0.87672222222222218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9.6014999999999997</v>
      </c>
      <c r="G40" s="17">
        <f t="shared" si="15"/>
        <v>5.0754999999999999</v>
      </c>
      <c r="H40" s="17">
        <f t="shared" si="15"/>
        <v>3.7850333333333337</v>
      </c>
      <c r="I40" s="17">
        <f t="shared" si="15"/>
        <v>2.8960249999999998</v>
      </c>
      <c r="J40" s="17">
        <f t="shared" si="15"/>
        <v>2.4567199999999998</v>
      </c>
      <c r="K40" s="17">
        <f t="shared" si="15"/>
        <v>2.145516666666667</v>
      </c>
      <c r="L40" s="17">
        <f t="shared" si="15"/>
        <v>2.0230857142857142</v>
      </c>
      <c r="M40" s="17">
        <f t="shared" si="15"/>
        <v>1.9482625</v>
      </c>
      <c r="N40" s="17">
        <f t="shared" si="15"/>
        <v>1.8849555555555557</v>
      </c>
      <c r="O40" s="17">
        <f t="shared" si="15"/>
        <v>1.7863100000000001</v>
      </c>
      <c r="P40" s="17">
        <f t="shared" si="15"/>
        <v>1.6892818181818179</v>
      </c>
      <c r="Q40" s="17">
        <f t="shared" si="15"/>
        <v>1.7166333333333332</v>
      </c>
      <c r="R40" s="17">
        <f t="shared" si="15"/>
        <v>1.7014307692307691</v>
      </c>
      <c r="S40" s="17">
        <f t="shared" si="15"/>
        <v>1.6226857142857143</v>
      </c>
      <c r="T40" s="17">
        <f t="shared" si="15"/>
        <v>1.6080399999999999</v>
      </c>
      <c r="U40" s="17">
        <f t="shared" si="15"/>
        <v>1.5075375</v>
      </c>
      <c r="V40" s="17">
        <f t="shared" si="15"/>
        <v>1.4896235294117648</v>
      </c>
      <c r="W40" s="17">
        <f t="shared" si="15"/>
        <v>1.4068666666666665</v>
      </c>
      <c r="X40" s="17">
        <f t="shared" si="15"/>
        <v>1.3328210526315789</v>
      </c>
      <c r="Y40" s="17">
        <f t="shared" si="15"/>
        <v>1.2489049999999999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4.7541237113402062</v>
      </c>
      <c r="G41" s="17">
        <f t="shared" si="16"/>
        <v>2.627319587628866</v>
      </c>
      <c r="H41" s="17">
        <f t="shared" si="16"/>
        <v>2.0142955326460483</v>
      </c>
      <c r="I41" s="17">
        <f t="shared" si="16"/>
        <v>1.6902577319587628</v>
      </c>
      <c r="J41" s="17">
        <f t="shared" si="16"/>
        <v>1.4560412371134022</v>
      </c>
      <c r="K41" s="17">
        <f t="shared" si="16"/>
        <v>1.4512886597938144</v>
      </c>
      <c r="L41" s="17">
        <f t="shared" si="16"/>
        <v>1.3022385861561121</v>
      </c>
      <c r="M41" s="17">
        <f t="shared" si="16"/>
        <v>1.2576417525773196</v>
      </c>
      <c r="N41" s="17">
        <f t="shared" si="16"/>
        <v>1.1179037800687284</v>
      </c>
      <c r="O41" s="17">
        <f t="shared" si="16"/>
        <v>1.1694536082474227</v>
      </c>
      <c r="P41" s="17">
        <f t="shared" si="16"/>
        <v>1.0115651358950328</v>
      </c>
      <c r="Q41" s="17">
        <f t="shared" si="16"/>
        <v>0.95042096219931282</v>
      </c>
      <c r="R41" s="17">
        <f t="shared" si="16"/>
        <v>0.96293417922283908</v>
      </c>
      <c r="S41" s="17">
        <f t="shared" si="16"/>
        <v>0.92066273932253306</v>
      </c>
      <c r="T41" s="17">
        <f t="shared" si="16"/>
        <v>0.91151890034364269</v>
      </c>
      <c r="U41" s="17">
        <f t="shared" si="16"/>
        <v>0.85454896907216493</v>
      </c>
      <c r="V41" s="17">
        <f t="shared" si="16"/>
        <v>0.85229229836264409</v>
      </c>
      <c r="W41" s="17">
        <f t="shared" si="16"/>
        <v>0.80494272623138596</v>
      </c>
      <c r="X41" s="17">
        <f t="shared" si="16"/>
        <v>0.73332609875203458</v>
      </c>
      <c r="Y41" s="17">
        <f t="shared" si="16"/>
        <v>0.75860309278350513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1.3002061855670104</v>
      </c>
      <c r="G42" s="17">
        <f t="shared" si="16"/>
        <v>1.0106701030927836</v>
      </c>
      <c r="H42" s="17">
        <f t="shared" si="16"/>
        <v>0.67378006872852236</v>
      </c>
      <c r="I42" s="17">
        <f t="shared" si="16"/>
        <v>0.68097938144329895</v>
      </c>
      <c r="J42" s="17">
        <f t="shared" si="16"/>
        <v>0.50564948453608249</v>
      </c>
      <c r="K42" s="17">
        <f t="shared" si="16"/>
        <v>0.42137457044673543</v>
      </c>
      <c r="L42" s="17">
        <f t="shared" si="16"/>
        <v>0.45536082474226802</v>
      </c>
      <c r="M42" s="17">
        <f t="shared" si="16"/>
        <v>0.5014690721649484</v>
      </c>
      <c r="N42" s="17">
        <f t="shared" si="16"/>
        <v>0.4712027491408935</v>
      </c>
      <c r="O42" s="17">
        <f t="shared" si="16"/>
        <v>0.42408247422680412</v>
      </c>
      <c r="P42" s="17">
        <f t="shared" si="16"/>
        <v>0.38552952202436735</v>
      </c>
      <c r="Q42" s="17">
        <f t="shared" si="16"/>
        <v>0.35340206185567008</v>
      </c>
      <c r="R42" s="17">
        <f t="shared" si="16"/>
        <v>0.3262172878667724</v>
      </c>
      <c r="S42" s="17">
        <f t="shared" si="16"/>
        <v>0.33973490427098679</v>
      </c>
      <c r="T42" s="17">
        <f t="shared" si="16"/>
        <v>0.31708591065292097</v>
      </c>
      <c r="U42" s="17">
        <f t="shared" si="16"/>
        <v>0.35729381443298969</v>
      </c>
      <c r="V42" s="17">
        <f t="shared" si="16"/>
        <v>0.33627653123104911</v>
      </c>
      <c r="W42" s="17">
        <f t="shared" si="16"/>
        <v>0.31759450171821302</v>
      </c>
      <c r="X42" s="17">
        <f t="shared" si="16"/>
        <v>0.30087900162778081</v>
      </c>
      <c r="Y42" s="17">
        <f t="shared" si="16"/>
        <v>0.28583505154639177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5.4979945799457992</v>
      </c>
      <c r="G43" s="18">
        <f t="shared" si="17"/>
        <v>3.6266666666666665</v>
      </c>
      <c r="H43" s="18">
        <f t="shared" si="17"/>
        <v>3.0457091237579044</v>
      </c>
      <c r="I43" s="18">
        <f t="shared" si="17"/>
        <v>2.4784823848238484</v>
      </c>
      <c r="J43" s="18">
        <f t="shared" si="17"/>
        <v>2.0521734417344173</v>
      </c>
      <c r="K43" s="18">
        <f t="shared" si="17"/>
        <v>1.7323667570009034</v>
      </c>
      <c r="L43" s="18">
        <f t="shared" si="17"/>
        <v>1.7216492450638794</v>
      </c>
      <c r="M43" s="18">
        <f t="shared" si="17"/>
        <v>1.6945867208672087</v>
      </c>
      <c r="N43" s="18">
        <f t="shared" si="17"/>
        <v>1.5873230954531767</v>
      </c>
      <c r="O43" s="18">
        <f t="shared" si="17"/>
        <v>1.522888888888889</v>
      </c>
      <c r="P43" s="18">
        <f t="shared" si="17"/>
        <v>1.3954175905395416</v>
      </c>
      <c r="Q43" s="18">
        <f t="shared" si="17"/>
        <v>1.3013550135501355</v>
      </c>
      <c r="R43" s="18">
        <f t="shared" si="17"/>
        <v>1.2612007504690432</v>
      </c>
      <c r="S43" s="18">
        <f t="shared" si="17"/>
        <v>1.2345567169957412</v>
      </c>
      <c r="T43" s="18">
        <f t="shared" si="17"/>
        <v>1.1875555555555555</v>
      </c>
      <c r="U43" s="18">
        <f t="shared" si="17"/>
        <v>1.1681436314363143</v>
      </c>
      <c r="V43" s="18">
        <f t="shared" si="17"/>
        <v>1.133065518890483</v>
      </c>
      <c r="W43" s="18">
        <f t="shared" si="17"/>
        <v>1.1032580548027702</v>
      </c>
      <c r="X43" s="18">
        <f t="shared" si="17"/>
        <v>1.1281471972614463</v>
      </c>
      <c r="Y43" s="18">
        <f t="shared" si="17"/>
        <v>0.99127913279132795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7.3429729729729729</v>
      </c>
      <c r="G44" s="17">
        <f t="shared" si="18"/>
        <v>4.2455643879173293</v>
      </c>
      <c r="H44" s="17">
        <f t="shared" si="18"/>
        <v>3.2295283518812932</v>
      </c>
      <c r="I44" s="17">
        <f t="shared" si="18"/>
        <v>2.601422893481717</v>
      </c>
      <c r="J44" s="17">
        <f t="shared" si="18"/>
        <v>2.2037678855325913</v>
      </c>
      <c r="K44" s="17">
        <f t="shared" si="18"/>
        <v>1.9610519342872286</v>
      </c>
      <c r="L44" s="17">
        <f t="shared" si="18"/>
        <v>1.8288144446967975</v>
      </c>
      <c r="M44" s="17">
        <f t="shared" si="18"/>
        <v>1.7761367249602544</v>
      </c>
      <c r="N44" s="17">
        <f t="shared" si="18"/>
        <v>1.6360431019254549</v>
      </c>
      <c r="O44" s="17">
        <f t="shared" si="18"/>
        <v>1.5902591414944356</v>
      </c>
      <c r="P44" s="17">
        <f t="shared" si="18"/>
        <v>1.4601315218962276</v>
      </c>
      <c r="Q44" s="17">
        <f t="shared" si="18"/>
        <v>1.3987069422363538</v>
      </c>
      <c r="R44" s="17">
        <f t="shared" si="18"/>
        <v>1.368380824263177</v>
      </c>
      <c r="S44" s="17">
        <f t="shared" si="18"/>
        <v>1.3384567340449693</v>
      </c>
      <c r="T44" s="17">
        <f t="shared" si="18"/>
        <v>1.2982798092209857</v>
      </c>
      <c r="U44" s="17">
        <f t="shared" si="18"/>
        <v>1.2429680047694753</v>
      </c>
      <c r="V44" s="17">
        <f t="shared" si="18"/>
        <v>1.2132666230244087</v>
      </c>
      <c r="W44" s="17">
        <f t="shared" si="18"/>
        <v>1.166320438085144</v>
      </c>
      <c r="X44" s="17">
        <f t="shared" si="18"/>
        <v>1.1221772236632916</v>
      </c>
      <c r="Y44" s="17">
        <f t="shared" si="18"/>
        <v>1.0289340222575516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355000</v>
      </c>
      <c r="D48" s="4"/>
      <c r="E48" s="4"/>
      <c r="F48" s="55">
        <f t="shared" ref="F48:Y53" si="20">(F27)/F$1*$Y$1</f>
        <v>3600360</v>
      </c>
      <c r="G48" s="55">
        <f t="shared" si="20"/>
        <v>1928160</v>
      </c>
      <c r="H48" s="55">
        <f t="shared" si="20"/>
        <v>1424680</v>
      </c>
      <c r="I48" s="55">
        <f t="shared" si="20"/>
        <v>1141980</v>
      </c>
      <c r="J48" s="55">
        <f t="shared" si="20"/>
        <v>982536</v>
      </c>
      <c r="K48" s="55">
        <f t="shared" si="20"/>
        <v>901493.33333333326</v>
      </c>
      <c r="L48" s="55">
        <f t="shared" si="20"/>
        <v>797325.71428571432</v>
      </c>
      <c r="M48" s="55">
        <f t="shared" si="20"/>
        <v>763532.5</v>
      </c>
      <c r="N48" s="55">
        <f t="shared" si="20"/>
        <v>671942.22222222225</v>
      </c>
      <c r="O48" s="55">
        <f t="shared" si="20"/>
        <v>662522</v>
      </c>
      <c r="P48" s="55">
        <f t="shared" si="20"/>
        <v>613343.63636363635</v>
      </c>
      <c r="Q48" s="55">
        <f t="shared" si="20"/>
        <v>586721.66666666663</v>
      </c>
      <c r="R48" s="55">
        <f t="shared" si="20"/>
        <v>576689.23076923075</v>
      </c>
      <c r="S48" s="55">
        <f t="shared" si="20"/>
        <v>564430</v>
      </c>
      <c r="T48" s="55">
        <f t="shared" si="20"/>
        <v>546910.66666666663</v>
      </c>
      <c r="U48" s="55">
        <f t="shared" si="20"/>
        <v>512728.75</v>
      </c>
      <c r="V48" s="55">
        <f t="shared" si="20"/>
        <v>494257.6470588235</v>
      </c>
      <c r="W48" s="55">
        <f t="shared" si="20"/>
        <v>480305.55555555556</v>
      </c>
      <c r="X48" s="55">
        <f t="shared" si="20"/>
        <v>448628.42105263157</v>
      </c>
      <c r="Y48" s="55">
        <f t="shared" si="20"/>
        <v>397310</v>
      </c>
      <c r="AX48"/>
    </row>
    <row r="49" spans="2:50">
      <c r="B49" s="4" t="s">
        <v>64</v>
      </c>
      <c r="C49" s="37">
        <v>90000</v>
      </c>
      <c r="D49" s="4"/>
      <c r="E49" s="4"/>
      <c r="F49" s="55">
        <f t="shared" si="20"/>
        <v>513500</v>
      </c>
      <c r="G49" s="55">
        <f t="shared" si="20"/>
        <v>353650</v>
      </c>
      <c r="H49" s="55">
        <f t="shared" si="20"/>
        <v>235706.66666666669</v>
      </c>
      <c r="I49" s="55">
        <f t="shared" si="20"/>
        <v>176825</v>
      </c>
      <c r="J49" s="55">
        <f t="shared" si="20"/>
        <v>160640</v>
      </c>
      <c r="K49" s="55">
        <f t="shared" si="20"/>
        <v>133866.66666666666</v>
      </c>
      <c r="L49" s="55">
        <f t="shared" si="20"/>
        <v>122442.85714285713</v>
      </c>
      <c r="M49" s="55">
        <f t="shared" si="20"/>
        <v>114625</v>
      </c>
      <c r="N49" s="55">
        <f t="shared" si="20"/>
        <v>115200</v>
      </c>
      <c r="O49" s="55">
        <f t="shared" si="20"/>
        <v>109670</v>
      </c>
      <c r="P49" s="55">
        <f t="shared" si="20"/>
        <v>99700</v>
      </c>
      <c r="Q49" s="55">
        <f t="shared" si="20"/>
        <v>96383.333333333343</v>
      </c>
      <c r="R49" s="55">
        <f t="shared" si="20"/>
        <v>88969.230769230766</v>
      </c>
      <c r="S49" s="55">
        <f t="shared" si="20"/>
        <v>94742.85714285713</v>
      </c>
      <c r="T49" s="55">
        <f t="shared" si="20"/>
        <v>88160</v>
      </c>
      <c r="U49" s="55">
        <f t="shared" si="20"/>
        <v>83275</v>
      </c>
      <c r="V49" s="55">
        <f t="shared" si="20"/>
        <v>85423.529411764699</v>
      </c>
      <c r="W49" s="55">
        <f t="shared" si="20"/>
        <v>80677.777777777781</v>
      </c>
      <c r="X49" s="55">
        <f t="shared" si="20"/>
        <v>79584.210526315786</v>
      </c>
      <c r="Y49" s="55">
        <f t="shared" si="20"/>
        <v>78905</v>
      </c>
      <c r="AX49"/>
    </row>
    <row r="50" spans="2:50">
      <c r="B50" s="4" t="s">
        <v>1</v>
      </c>
      <c r="C50" s="37">
        <v>200000</v>
      </c>
      <c r="D50" s="4"/>
      <c r="E50" s="4"/>
      <c r="F50" s="55">
        <f t="shared" si="20"/>
        <v>1920300</v>
      </c>
      <c r="G50" s="55">
        <f t="shared" si="20"/>
        <v>1015100</v>
      </c>
      <c r="H50" s="55">
        <f t="shared" si="20"/>
        <v>757006.66666666674</v>
      </c>
      <c r="I50" s="55">
        <f t="shared" si="20"/>
        <v>579205</v>
      </c>
      <c r="J50" s="55">
        <f t="shared" si="20"/>
        <v>491344</v>
      </c>
      <c r="K50" s="55">
        <f t="shared" si="20"/>
        <v>429103.33333333337</v>
      </c>
      <c r="L50" s="55">
        <f t="shared" si="20"/>
        <v>404617.14285714284</v>
      </c>
      <c r="M50" s="55">
        <f t="shared" si="20"/>
        <v>389652.5</v>
      </c>
      <c r="N50" s="55">
        <f t="shared" si="20"/>
        <v>376991.11111111112</v>
      </c>
      <c r="O50" s="55">
        <f t="shared" si="20"/>
        <v>357262</v>
      </c>
      <c r="P50" s="55">
        <f t="shared" si="20"/>
        <v>337856.36363636359</v>
      </c>
      <c r="Q50" s="55">
        <f t="shared" si="20"/>
        <v>343326.66666666663</v>
      </c>
      <c r="R50" s="55">
        <f t="shared" si="20"/>
        <v>340286.15384615381</v>
      </c>
      <c r="S50" s="55">
        <f t="shared" si="20"/>
        <v>324537.14285714284</v>
      </c>
      <c r="T50" s="55">
        <f t="shared" si="20"/>
        <v>321608</v>
      </c>
      <c r="U50" s="55">
        <f t="shared" si="20"/>
        <v>301507.5</v>
      </c>
      <c r="V50" s="55">
        <f t="shared" si="20"/>
        <v>297924.70588235295</v>
      </c>
      <c r="W50" s="55">
        <f t="shared" si="20"/>
        <v>281373.33333333331</v>
      </c>
      <c r="X50" s="55">
        <f t="shared" si="20"/>
        <v>266564.21052631579</v>
      </c>
      <c r="Y50" s="55">
        <f t="shared" si="20"/>
        <v>249781</v>
      </c>
      <c r="AX50"/>
    </row>
    <row r="51" spans="2:50">
      <c r="B51" s="4" t="s">
        <v>2</v>
      </c>
      <c r="C51" s="37">
        <v>194000</v>
      </c>
      <c r="D51" s="4"/>
      <c r="E51" s="4"/>
      <c r="F51" s="55">
        <f t="shared" si="20"/>
        <v>922300</v>
      </c>
      <c r="G51" s="55">
        <f t="shared" si="20"/>
        <v>509700</v>
      </c>
      <c r="H51" s="55">
        <f t="shared" si="20"/>
        <v>390773.33333333337</v>
      </c>
      <c r="I51" s="55">
        <f t="shared" si="20"/>
        <v>327910</v>
      </c>
      <c r="J51" s="55">
        <f t="shared" si="20"/>
        <v>282472</v>
      </c>
      <c r="K51" s="55">
        <f t="shared" si="20"/>
        <v>281550</v>
      </c>
      <c r="L51" s="55">
        <f t="shared" si="20"/>
        <v>252634.28571428574</v>
      </c>
      <c r="M51" s="55">
        <f t="shared" si="20"/>
        <v>243982.5</v>
      </c>
      <c r="N51" s="55">
        <f t="shared" si="20"/>
        <v>216873.33333333331</v>
      </c>
      <c r="O51" s="55">
        <f t="shared" si="20"/>
        <v>226874</v>
      </c>
      <c r="P51" s="55">
        <f t="shared" si="20"/>
        <v>196243.63636363635</v>
      </c>
      <c r="Q51" s="55">
        <f t="shared" si="20"/>
        <v>184381.66666666669</v>
      </c>
      <c r="R51" s="55">
        <f t="shared" si="20"/>
        <v>186809.23076923078</v>
      </c>
      <c r="S51" s="55">
        <f t="shared" si="20"/>
        <v>178608.57142857142</v>
      </c>
      <c r="T51" s="55">
        <f t="shared" si="20"/>
        <v>176834.66666666669</v>
      </c>
      <c r="U51" s="55">
        <f t="shared" si="20"/>
        <v>165782.5</v>
      </c>
      <c r="V51" s="55">
        <f t="shared" si="20"/>
        <v>165344.70588235295</v>
      </c>
      <c r="W51" s="55">
        <f t="shared" si="20"/>
        <v>156158.88888888888</v>
      </c>
      <c r="X51" s="55">
        <f t="shared" si="20"/>
        <v>142265.26315789472</v>
      </c>
      <c r="Y51" s="55">
        <f t="shared" si="20"/>
        <v>147169</v>
      </c>
      <c r="AA51" s="48"/>
    </row>
    <row r="52" spans="2:50">
      <c r="B52" s="4" t="s">
        <v>63</v>
      </c>
      <c r="C52" s="37">
        <v>50000</v>
      </c>
      <c r="D52" s="4"/>
      <c r="E52" s="4"/>
      <c r="F52" s="55">
        <f t="shared" si="20"/>
        <v>252240</v>
      </c>
      <c r="G52" s="55">
        <f t="shared" si="20"/>
        <v>196070</v>
      </c>
      <c r="H52" s="55">
        <f t="shared" si="20"/>
        <v>130713.33333333334</v>
      </c>
      <c r="I52" s="55">
        <f t="shared" si="20"/>
        <v>132110</v>
      </c>
      <c r="J52" s="55">
        <f t="shared" si="20"/>
        <v>98096</v>
      </c>
      <c r="K52" s="55">
        <f t="shared" si="20"/>
        <v>81746.666666666672</v>
      </c>
      <c r="L52" s="55">
        <f t="shared" si="20"/>
        <v>88340</v>
      </c>
      <c r="M52" s="55">
        <f t="shared" si="20"/>
        <v>97285</v>
      </c>
      <c r="N52" s="55">
        <f t="shared" si="20"/>
        <v>91413.333333333343</v>
      </c>
      <c r="O52" s="55">
        <f t="shared" si="20"/>
        <v>82272</v>
      </c>
      <c r="P52" s="55">
        <f t="shared" si="20"/>
        <v>74792.727272727265</v>
      </c>
      <c r="Q52" s="55">
        <f t="shared" si="20"/>
        <v>68560</v>
      </c>
      <c r="R52" s="55">
        <f t="shared" si="20"/>
        <v>63286.153846153844</v>
      </c>
      <c r="S52" s="55">
        <f t="shared" si="20"/>
        <v>65908.571428571435</v>
      </c>
      <c r="T52" s="55">
        <f t="shared" si="20"/>
        <v>61514.666666666664</v>
      </c>
      <c r="U52" s="55">
        <f t="shared" si="20"/>
        <v>69315</v>
      </c>
      <c r="V52" s="55">
        <f t="shared" si="20"/>
        <v>65237.647058823532</v>
      </c>
      <c r="W52" s="55">
        <f t="shared" si="20"/>
        <v>61613.333333333328</v>
      </c>
      <c r="X52" s="55">
        <f t="shared" si="20"/>
        <v>58370.526315789473</v>
      </c>
      <c r="Y52" s="55">
        <f t="shared" si="20"/>
        <v>55452</v>
      </c>
      <c r="AA52" s="48"/>
    </row>
    <row r="53" spans="2:50">
      <c r="B53" s="4" t="s">
        <v>3</v>
      </c>
      <c r="C53" s="38">
        <v>369000</v>
      </c>
      <c r="D53" s="19"/>
      <c r="E53" s="19"/>
      <c r="F53" s="98">
        <f t="shared" si="20"/>
        <v>2028760</v>
      </c>
      <c r="G53" s="98">
        <f t="shared" si="20"/>
        <v>1338240</v>
      </c>
      <c r="H53" s="98">
        <f t="shared" si="20"/>
        <v>1123866.6666666667</v>
      </c>
      <c r="I53" s="98">
        <f t="shared" si="20"/>
        <v>914560</v>
      </c>
      <c r="J53" s="98">
        <f t="shared" si="20"/>
        <v>757252</v>
      </c>
      <c r="K53" s="98">
        <f t="shared" si="20"/>
        <v>639243.33333333337</v>
      </c>
      <c r="L53" s="98">
        <f t="shared" si="20"/>
        <v>635288.57142857148</v>
      </c>
      <c r="M53" s="98">
        <f t="shared" si="20"/>
        <v>625302.5</v>
      </c>
      <c r="N53" s="98">
        <f t="shared" si="20"/>
        <v>585722.22222222225</v>
      </c>
      <c r="O53" s="98">
        <f t="shared" si="20"/>
        <v>561946</v>
      </c>
      <c r="P53" s="98">
        <f t="shared" si="20"/>
        <v>514909.09090909088</v>
      </c>
      <c r="Q53" s="98">
        <f t="shared" si="20"/>
        <v>480200</v>
      </c>
      <c r="R53" s="98">
        <f t="shared" si="20"/>
        <v>465383.07692307694</v>
      </c>
      <c r="S53" s="98">
        <f t="shared" si="20"/>
        <v>455551.42857142852</v>
      </c>
      <c r="T53" s="98">
        <f t="shared" si="20"/>
        <v>438208</v>
      </c>
      <c r="U53" s="98">
        <f t="shared" si="20"/>
        <v>431045</v>
      </c>
      <c r="V53" s="98">
        <f t="shared" si="20"/>
        <v>418101.17647058825</v>
      </c>
      <c r="W53" s="98">
        <f t="shared" si="20"/>
        <v>407102.22222222219</v>
      </c>
      <c r="X53" s="98">
        <f t="shared" si="20"/>
        <v>416286.31578947365</v>
      </c>
      <c r="Y53" s="98">
        <f t="shared" si="20"/>
        <v>365782</v>
      </c>
    </row>
    <row r="54" spans="2:50">
      <c r="B54" s="14" t="s">
        <v>27</v>
      </c>
      <c r="C54" s="39">
        <f>SUM(C48:C53)</f>
        <v>1258000</v>
      </c>
      <c r="D54" s="10">
        <f>SUM(D48:D53)</f>
        <v>0</v>
      </c>
      <c r="E54" s="10"/>
      <c r="F54" s="10">
        <f t="shared" ref="F54:Y54" si="21">SUM(F48:F53)</f>
        <v>9237460</v>
      </c>
      <c r="G54" s="10">
        <f t="shared" si="21"/>
        <v>5340920</v>
      </c>
      <c r="H54" s="10">
        <f t="shared" si="21"/>
        <v>4062746.666666667</v>
      </c>
      <c r="I54" s="10">
        <f t="shared" si="21"/>
        <v>3272590</v>
      </c>
      <c r="J54" s="10">
        <f t="shared" si="21"/>
        <v>2772340</v>
      </c>
      <c r="K54" s="10">
        <f t="shared" si="21"/>
        <v>2467003.3333333335</v>
      </c>
      <c r="L54" s="10">
        <f t="shared" si="21"/>
        <v>2300648.5714285714</v>
      </c>
      <c r="M54" s="10">
        <f t="shared" si="21"/>
        <v>2234380</v>
      </c>
      <c r="N54" s="10">
        <f t="shared" si="21"/>
        <v>2058142.2222222222</v>
      </c>
      <c r="O54" s="10">
        <f t="shared" si="21"/>
        <v>2000546</v>
      </c>
      <c r="P54" s="10">
        <f t="shared" si="21"/>
        <v>1836845.4545454544</v>
      </c>
      <c r="Q54" s="10">
        <f t="shared" si="21"/>
        <v>1759573.3333333333</v>
      </c>
      <c r="R54" s="10">
        <f t="shared" si="21"/>
        <v>1721423.0769230768</v>
      </c>
      <c r="S54" s="10">
        <f t="shared" si="21"/>
        <v>1683778.5714285714</v>
      </c>
      <c r="T54" s="10">
        <f t="shared" si="21"/>
        <v>1633236</v>
      </c>
      <c r="U54" s="10">
        <f t="shared" si="21"/>
        <v>1563653.75</v>
      </c>
      <c r="V54" s="10">
        <f t="shared" si="21"/>
        <v>1526289.411764706</v>
      </c>
      <c r="W54" s="10">
        <f t="shared" si="21"/>
        <v>1467231.1111111112</v>
      </c>
      <c r="X54" s="10">
        <f t="shared" si="21"/>
        <v>1411698.9473684209</v>
      </c>
      <c r="Y54" s="10">
        <f t="shared" si="21"/>
        <v>1294399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81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18750</v>
      </c>
      <c r="D6" s="10"/>
      <c r="E6" s="11">
        <v>132357</v>
      </c>
      <c r="F6" s="122">
        <v>25848</v>
      </c>
      <c r="G6" s="122">
        <v>19314</v>
      </c>
      <c r="H6" s="122">
        <v>17232</v>
      </c>
      <c r="I6" s="122">
        <v>22505</v>
      </c>
      <c r="J6" s="122">
        <v>16731</v>
      </c>
      <c r="K6" s="122">
        <v>3039</v>
      </c>
      <c r="L6" s="122">
        <v>11200</v>
      </c>
      <c r="M6" s="122">
        <v>27694</v>
      </c>
      <c r="N6" s="122">
        <v>14199</v>
      </c>
      <c r="O6" s="122">
        <v>19320</v>
      </c>
      <c r="P6" s="122">
        <v>20690</v>
      </c>
      <c r="Q6" s="34">
        <v>22765</v>
      </c>
      <c r="R6" s="34">
        <v>19726</v>
      </c>
      <c r="S6" s="34">
        <v>19320</v>
      </c>
      <c r="T6" s="34">
        <v>18260</v>
      </c>
      <c r="U6" s="34">
        <v>6078</v>
      </c>
      <c r="V6" s="34">
        <v>2583</v>
      </c>
      <c r="W6" s="34">
        <v>12156</v>
      </c>
      <c r="X6" s="34">
        <v>6078</v>
      </c>
      <c r="Y6" s="34">
        <v>23355</v>
      </c>
      <c r="Z6" s="69">
        <f t="shared" ref="Z6:Z11" si="1">(SUM(F6:Y6)/(COUNT(F6:Y6)))</f>
        <v>16404.650000000001</v>
      </c>
      <c r="AA6" s="103"/>
      <c r="AX6"/>
    </row>
    <row r="7" spans="1:50">
      <c r="B7" s="4" t="s">
        <v>64</v>
      </c>
      <c r="C7" s="20">
        <f t="shared" si="0"/>
        <v>5250</v>
      </c>
      <c r="D7" s="10"/>
      <c r="E7" s="11">
        <v>0</v>
      </c>
      <c r="F7" s="122">
        <v>6295</v>
      </c>
      <c r="G7" s="122">
        <v>0</v>
      </c>
      <c r="H7" s="122">
        <v>0</v>
      </c>
      <c r="I7" s="122">
        <v>5495</v>
      </c>
      <c r="J7" s="122">
        <v>0</v>
      </c>
      <c r="K7" s="122">
        <v>0</v>
      </c>
      <c r="L7" s="122">
        <v>0</v>
      </c>
      <c r="M7" s="122">
        <v>0</v>
      </c>
      <c r="N7" s="122">
        <v>0</v>
      </c>
      <c r="O7" s="122">
        <v>0</v>
      </c>
      <c r="P7" s="122">
        <v>2995</v>
      </c>
      <c r="Q7" s="34">
        <v>8490</v>
      </c>
      <c r="R7" s="34">
        <v>0</v>
      </c>
      <c r="S7" s="34">
        <v>19480</v>
      </c>
      <c r="T7" s="34">
        <v>13490</v>
      </c>
      <c r="U7" s="34">
        <v>0</v>
      </c>
      <c r="V7" s="34">
        <v>11590</v>
      </c>
      <c r="W7" s="34">
        <v>0</v>
      </c>
      <c r="X7" s="34">
        <v>7995</v>
      </c>
      <c r="Y7" s="34">
        <v>5990</v>
      </c>
      <c r="Z7" s="69">
        <f t="shared" si="1"/>
        <v>4091</v>
      </c>
      <c r="AA7" s="103"/>
      <c r="AX7"/>
    </row>
    <row r="8" spans="1:50">
      <c r="B8" s="4" t="s">
        <v>1</v>
      </c>
      <c r="C8" s="20">
        <f t="shared" si="0"/>
        <v>10000</v>
      </c>
      <c r="D8" s="10"/>
      <c r="E8" s="11">
        <v>33010</v>
      </c>
      <c r="F8" s="122">
        <v>0</v>
      </c>
      <c r="G8" s="122">
        <v>8535</v>
      </c>
      <c r="H8" s="122">
        <v>5540</v>
      </c>
      <c r="I8" s="122">
        <v>5990</v>
      </c>
      <c r="J8" s="122">
        <v>14030</v>
      </c>
      <c r="K8" s="122">
        <v>10990</v>
      </c>
      <c r="L8" s="122">
        <v>8535</v>
      </c>
      <c r="M8" s="122">
        <v>10040</v>
      </c>
      <c r="N8" s="122">
        <v>15280</v>
      </c>
      <c r="O8" s="122">
        <v>14480</v>
      </c>
      <c r="P8" s="122">
        <v>20020</v>
      </c>
      <c r="Q8" s="34">
        <v>17735</v>
      </c>
      <c r="R8" s="34">
        <v>22525</v>
      </c>
      <c r="S8" s="34">
        <v>16485</v>
      </c>
      <c r="T8" s="34">
        <v>26320</v>
      </c>
      <c r="U8" s="34">
        <v>19725</v>
      </c>
      <c r="V8" s="34">
        <v>5090</v>
      </c>
      <c r="W8" s="34">
        <v>16575</v>
      </c>
      <c r="X8" s="34">
        <v>8490</v>
      </c>
      <c r="Y8" s="34">
        <v>28015</v>
      </c>
      <c r="Z8" s="115">
        <f t="shared" si="1"/>
        <v>13720</v>
      </c>
      <c r="AA8" s="103"/>
      <c r="AX8"/>
    </row>
    <row r="9" spans="1:50">
      <c r="B9" s="4" t="s">
        <v>2</v>
      </c>
      <c r="C9" s="20">
        <f t="shared" si="0"/>
        <v>9900</v>
      </c>
      <c r="D9" s="10"/>
      <c r="E9" s="11">
        <v>17835</v>
      </c>
      <c r="F9" s="122">
        <v>6201</v>
      </c>
      <c r="G9" s="122">
        <v>2695</v>
      </c>
      <c r="H9" s="122">
        <v>0</v>
      </c>
      <c r="I9" s="122">
        <v>2695</v>
      </c>
      <c r="J9" s="122">
        <v>2700</v>
      </c>
      <c r="K9" s="122">
        <v>0</v>
      </c>
      <c r="L9" s="122">
        <v>0</v>
      </c>
      <c r="M9" s="122">
        <v>4045</v>
      </c>
      <c r="N9" s="122">
        <v>0</v>
      </c>
      <c r="O9" s="122">
        <v>1350</v>
      </c>
      <c r="P9" s="122">
        <v>0</v>
      </c>
      <c r="Q9" s="34">
        <v>4401</v>
      </c>
      <c r="R9" s="34">
        <v>2417</v>
      </c>
      <c r="S9" s="34">
        <v>4270</v>
      </c>
      <c r="T9" s="34">
        <v>2417</v>
      </c>
      <c r="U9" s="34">
        <v>5220</v>
      </c>
      <c r="V9" s="34">
        <v>8725</v>
      </c>
      <c r="W9" s="34">
        <v>2992</v>
      </c>
      <c r="X9" s="34">
        <v>9211</v>
      </c>
      <c r="Y9" s="34">
        <v>9965</v>
      </c>
      <c r="Z9" s="69">
        <f t="shared" si="1"/>
        <v>3465.2</v>
      </c>
      <c r="AA9" s="103"/>
      <c r="AX9"/>
    </row>
    <row r="10" spans="1:50">
      <c r="B10" s="4" t="s">
        <v>63</v>
      </c>
      <c r="C10" s="20">
        <f t="shared" si="0"/>
        <v>3750</v>
      </c>
      <c r="D10" s="10"/>
      <c r="E10" s="11">
        <v>0</v>
      </c>
      <c r="F10" s="122">
        <v>0</v>
      </c>
      <c r="G10" s="122">
        <v>0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34">
        <v>2695</v>
      </c>
      <c r="R10" s="34">
        <v>0</v>
      </c>
      <c r="S10" s="34">
        <v>2695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2995</v>
      </c>
      <c r="Z10" s="69">
        <f t="shared" si="1"/>
        <v>419.25</v>
      </c>
      <c r="AA10" s="103"/>
      <c r="AX10"/>
    </row>
    <row r="11" spans="1:50">
      <c r="B11" s="4" t="s">
        <v>3</v>
      </c>
      <c r="C11" s="21">
        <f t="shared" si="0"/>
        <v>19250</v>
      </c>
      <c r="D11" s="13"/>
      <c r="E11" s="40">
        <v>7370</v>
      </c>
      <c r="F11" s="124">
        <v>3070</v>
      </c>
      <c r="G11" s="124">
        <v>8700</v>
      </c>
      <c r="H11" s="124">
        <v>3070</v>
      </c>
      <c r="I11" s="124">
        <v>20139</v>
      </c>
      <c r="J11" s="124">
        <v>33252</v>
      </c>
      <c r="K11" s="124">
        <v>10445</v>
      </c>
      <c r="L11" s="124">
        <v>11270</v>
      </c>
      <c r="M11" s="124">
        <v>3070</v>
      </c>
      <c r="N11" s="124">
        <v>10435</v>
      </c>
      <c r="O11" s="124">
        <v>28206</v>
      </c>
      <c r="P11" s="124">
        <v>14889</v>
      </c>
      <c r="Q11" s="35">
        <v>19734</v>
      </c>
      <c r="R11" s="35">
        <v>17410</v>
      </c>
      <c r="S11" s="35">
        <v>14333</v>
      </c>
      <c r="T11" s="35">
        <v>9561</v>
      </c>
      <c r="U11" s="35">
        <v>3070</v>
      </c>
      <c r="V11" s="35">
        <v>13489</v>
      </c>
      <c r="W11" s="35">
        <v>0</v>
      </c>
      <c r="X11" s="35">
        <v>3070</v>
      </c>
      <c r="Y11" s="35">
        <v>25292</v>
      </c>
      <c r="Z11" s="69">
        <f t="shared" si="1"/>
        <v>12625.25</v>
      </c>
      <c r="AA11" s="103"/>
      <c r="AX11"/>
    </row>
    <row r="12" spans="1:50" ht="15.75" thickBot="1">
      <c r="B12" s="14" t="s">
        <v>27</v>
      </c>
      <c r="C12" s="20">
        <f>SUM(C6:C11)</f>
        <v>66900</v>
      </c>
      <c r="D12" s="10"/>
      <c r="E12" s="11">
        <f t="shared" ref="E12:Y12" si="2">SUM(E6:E11)</f>
        <v>190572</v>
      </c>
      <c r="F12" s="10">
        <f t="shared" si="2"/>
        <v>41414</v>
      </c>
      <c r="G12" s="10">
        <f t="shared" si="2"/>
        <v>39244</v>
      </c>
      <c r="H12" s="10">
        <f t="shared" si="2"/>
        <v>25842</v>
      </c>
      <c r="I12" s="10">
        <f t="shared" si="2"/>
        <v>56824</v>
      </c>
      <c r="J12" s="10">
        <f t="shared" si="2"/>
        <v>66713</v>
      </c>
      <c r="K12" s="10">
        <f t="shared" si="2"/>
        <v>24474</v>
      </c>
      <c r="L12" s="10">
        <f t="shared" si="2"/>
        <v>31005</v>
      </c>
      <c r="M12" s="10">
        <f t="shared" si="2"/>
        <v>44849</v>
      </c>
      <c r="N12" s="10">
        <f t="shared" si="2"/>
        <v>39914</v>
      </c>
      <c r="O12" s="10">
        <f t="shared" si="2"/>
        <v>63356</v>
      </c>
      <c r="P12" s="10">
        <f t="shared" si="2"/>
        <v>58594</v>
      </c>
      <c r="Q12" s="10">
        <f t="shared" si="2"/>
        <v>75820</v>
      </c>
      <c r="R12" s="10">
        <f t="shared" si="2"/>
        <v>62078</v>
      </c>
      <c r="S12" s="10">
        <f t="shared" si="2"/>
        <v>76583</v>
      </c>
      <c r="T12" s="10">
        <f t="shared" si="2"/>
        <v>70048</v>
      </c>
      <c r="U12" s="10">
        <f t="shared" si="2"/>
        <v>34093</v>
      </c>
      <c r="V12" s="10">
        <f t="shared" si="2"/>
        <v>41477</v>
      </c>
      <c r="W12" s="10">
        <f t="shared" si="2"/>
        <v>31723</v>
      </c>
      <c r="X12" s="10">
        <f t="shared" si="2"/>
        <v>34844</v>
      </c>
      <c r="Y12" s="10">
        <f t="shared" si="2"/>
        <v>95612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50725.35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1.37856</v>
      </c>
      <c r="G17" s="25">
        <f t="shared" si="4"/>
        <v>1.0300800000000001</v>
      </c>
      <c r="H17" s="25">
        <f t="shared" si="4"/>
        <v>0.91903999999999997</v>
      </c>
      <c r="I17" s="25">
        <f t="shared" si="4"/>
        <v>1.2002666666666666</v>
      </c>
      <c r="J17" s="25">
        <f t="shared" si="4"/>
        <v>0.89232</v>
      </c>
      <c r="K17" s="25">
        <f t="shared" si="4"/>
        <v>0.16208</v>
      </c>
      <c r="L17" s="25">
        <f t="shared" si="4"/>
        <v>0.59733333333333327</v>
      </c>
      <c r="M17" s="25">
        <f t="shared" si="4"/>
        <v>1.4770133333333333</v>
      </c>
      <c r="N17" s="25">
        <f t="shared" si="4"/>
        <v>0.75727999999999995</v>
      </c>
      <c r="O17" s="25">
        <f t="shared" si="4"/>
        <v>1.0304</v>
      </c>
      <c r="P17" s="25">
        <f t="shared" si="4"/>
        <v>1.1034666666666666</v>
      </c>
      <c r="Q17" s="25">
        <f t="shared" si="4"/>
        <v>1.2141333333333333</v>
      </c>
      <c r="R17" s="25">
        <f t="shared" si="4"/>
        <v>1.0520533333333333</v>
      </c>
      <c r="S17" s="25">
        <f t="shared" si="4"/>
        <v>1.0304</v>
      </c>
      <c r="T17" s="25">
        <f t="shared" si="4"/>
        <v>0.97386666666666666</v>
      </c>
      <c r="U17" s="25">
        <f t="shared" si="4"/>
        <v>0.32416</v>
      </c>
      <c r="V17" s="25">
        <f t="shared" si="4"/>
        <v>0.13775999999999999</v>
      </c>
      <c r="W17" s="25">
        <f t="shared" si="4"/>
        <v>0.64832000000000001</v>
      </c>
      <c r="X17" s="25">
        <f t="shared" si="4"/>
        <v>0.32416</v>
      </c>
      <c r="Y17" s="25">
        <f t="shared" si="4"/>
        <v>1.2456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1.1990476190476191</v>
      </c>
      <c r="G18" s="25">
        <f t="shared" si="4"/>
        <v>0</v>
      </c>
      <c r="H18" s="25">
        <f t="shared" si="4"/>
        <v>0</v>
      </c>
      <c r="I18" s="25">
        <f t="shared" si="4"/>
        <v>1.0466666666666666</v>
      </c>
      <c r="J18" s="25">
        <f t="shared" si="4"/>
        <v>0</v>
      </c>
      <c r="K18" s="25">
        <f t="shared" si="4"/>
        <v>0</v>
      </c>
      <c r="L18" s="25">
        <f t="shared" si="4"/>
        <v>0</v>
      </c>
      <c r="M18" s="25">
        <f t="shared" si="4"/>
        <v>0</v>
      </c>
      <c r="N18" s="25">
        <f t="shared" si="4"/>
        <v>0</v>
      </c>
      <c r="O18" s="25">
        <f t="shared" si="4"/>
        <v>0</v>
      </c>
      <c r="P18" s="25">
        <f t="shared" si="4"/>
        <v>0.57047619047619047</v>
      </c>
      <c r="Q18" s="25">
        <f t="shared" si="4"/>
        <v>1.617142857142857</v>
      </c>
      <c r="R18" s="25">
        <f t="shared" si="4"/>
        <v>0</v>
      </c>
      <c r="S18" s="25">
        <f t="shared" si="4"/>
        <v>3.7104761904761903</v>
      </c>
      <c r="T18" s="25">
        <f t="shared" si="4"/>
        <v>2.5695238095238095</v>
      </c>
      <c r="U18" s="25">
        <f t="shared" si="4"/>
        <v>0</v>
      </c>
      <c r="V18" s="25">
        <f t="shared" si="4"/>
        <v>2.2076190476190476</v>
      </c>
      <c r="W18" s="25">
        <f t="shared" si="4"/>
        <v>0</v>
      </c>
      <c r="X18" s="25">
        <f t="shared" si="4"/>
        <v>1.5228571428571429</v>
      </c>
      <c r="Y18" s="25">
        <f t="shared" si="4"/>
        <v>1.1409523809523809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0</v>
      </c>
      <c r="G19" s="25">
        <f t="shared" si="4"/>
        <v>0.85350000000000004</v>
      </c>
      <c r="H19" s="25">
        <f t="shared" si="4"/>
        <v>0.55400000000000005</v>
      </c>
      <c r="I19" s="25">
        <f t="shared" si="4"/>
        <v>0.59899999999999998</v>
      </c>
      <c r="J19" s="25">
        <f t="shared" si="4"/>
        <v>1.403</v>
      </c>
      <c r="K19" s="25">
        <f t="shared" si="4"/>
        <v>1.099</v>
      </c>
      <c r="L19" s="25">
        <f t="shared" si="4"/>
        <v>0.85350000000000004</v>
      </c>
      <c r="M19" s="25">
        <f t="shared" si="4"/>
        <v>1.004</v>
      </c>
      <c r="N19" s="25">
        <f t="shared" si="4"/>
        <v>1.528</v>
      </c>
      <c r="O19" s="25">
        <f t="shared" si="4"/>
        <v>1.448</v>
      </c>
      <c r="P19" s="25">
        <f t="shared" si="4"/>
        <v>2.0019999999999998</v>
      </c>
      <c r="Q19" s="25">
        <f t="shared" si="4"/>
        <v>1.7734999999999999</v>
      </c>
      <c r="R19" s="25">
        <f t="shared" si="4"/>
        <v>2.2524999999999999</v>
      </c>
      <c r="S19" s="25">
        <f t="shared" si="4"/>
        <v>1.6484999999999999</v>
      </c>
      <c r="T19" s="25">
        <f t="shared" si="4"/>
        <v>2.6319999999999997</v>
      </c>
      <c r="U19" s="25">
        <f t="shared" si="4"/>
        <v>1.9725000000000001</v>
      </c>
      <c r="V19" s="25">
        <f t="shared" si="4"/>
        <v>0.50900000000000001</v>
      </c>
      <c r="W19" s="25">
        <f t="shared" si="4"/>
        <v>1.6575</v>
      </c>
      <c r="X19" s="25">
        <f t="shared" si="4"/>
        <v>0.84899999999999998</v>
      </c>
      <c r="Y19" s="25">
        <f t="shared" si="4"/>
        <v>2.8014999999999999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0.62636363636363634</v>
      </c>
      <c r="G20" s="25">
        <f t="shared" si="4"/>
        <v>0.27222222222222225</v>
      </c>
      <c r="H20" s="25">
        <f t="shared" si="4"/>
        <v>0</v>
      </c>
      <c r="I20" s="25">
        <f t="shared" si="4"/>
        <v>0.27222222222222225</v>
      </c>
      <c r="J20" s="25">
        <f t="shared" si="4"/>
        <v>0.27272727272727271</v>
      </c>
      <c r="K20" s="25">
        <f t="shared" si="4"/>
        <v>0</v>
      </c>
      <c r="L20" s="25">
        <f t="shared" si="4"/>
        <v>0</v>
      </c>
      <c r="M20" s="25">
        <f t="shared" si="4"/>
        <v>0.40858585858585861</v>
      </c>
      <c r="N20" s="25">
        <f t="shared" si="4"/>
        <v>0</v>
      </c>
      <c r="O20" s="25">
        <f t="shared" si="4"/>
        <v>0.13636363636363635</v>
      </c>
      <c r="P20" s="25">
        <f t="shared" si="4"/>
        <v>0</v>
      </c>
      <c r="Q20" s="25">
        <f t="shared" si="4"/>
        <v>0.44454545454545458</v>
      </c>
      <c r="R20" s="25">
        <f t="shared" si="4"/>
        <v>0.2441414141414141</v>
      </c>
      <c r="S20" s="25">
        <f t="shared" si="4"/>
        <v>0.43131313131313131</v>
      </c>
      <c r="T20" s="25">
        <f t="shared" si="4"/>
        <v>0.2441414141414141</v>
      </c>
      <c r="U20" s="25">
        <f t="shared" si="4"/>
        <v>0.52727272727272734</v>
      </c>
      <c r="V20" s="25">
        <f t="shared" si="4"/>
        <v>0.88131313131313127</v>
      </c>
      <c r="W20" s="25">
        <f t="shared" si="4"/>
        <v>0.30222222222222217</v>
      </c>
      <c r="X20" s="25">
        <f t="shared" si="4"/>
        <v>0.93040404040404034</v>
      </c>
      <c r="Y20" s="25">
        <f t="shared" si="4"/>
        <v>1.0065656565656567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</v>
      </c>
      <c r="H21" s="25">
        <f t="shared" si="4"/>
        <v>0</v>
      </c>
      <c r="I21" s="25">
        <f t="shared" si="4"/>
        <v>0</v>
      </c>
      <c r="J21" s="25">
        <f t="shared" si="4"/>
        <v>0</v>
      </c>
      <c r="K21" s="25">
        <f t="shared" si="4"/>
        <v>0</v>
      </c>
      <c r="L21" s="25">
        <f t="shared" si="4"/>
        <v>0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</v>
      </c>
      <c r="Q21" s="25">
        <f t="shared" si="4"/>
        <v>0.71866666666666668</v>
      </c>
      <c r="R21" s="25">
        <f t="shared" si="4"/>
        <v>0</v>
      </c>
      <c r="S21" s="25">
        <f t="shared" si="4"/>
        <v>0.71866666666666668</v>
      </c>
      <c r="T21" s="25">
        <f t="shared" si="4"/>
        <v>0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0</v>
      </c>
      <c r="Y21" s="25">
        <f t="shared" si="4"/>
        <v>0.79866666666666664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0.15948051948051944</v>
      </c>
      <c r="G22" s="27">
        <f t="shared" si="4"/>
        <v>0.45194805194805199</v>
      </c>
      <c r="H22" s="27">
        <f t="shared" si="4"/>
        <v>0.15948051948051944</v>
      </c>
      <c r="I22" s="27">
        <f t="shared" si="4"/>
        <v>1.0461818181818181</v>
      </c>
      <c r="J22" s="27">
        <f t="shared" si="4"/>
        <v>1.7273766233766232</v>
      </c>
      <c r="K22" s="27">
        <f t="shared" si="4"/>
        <v>0.54259740259740252</v>
      </c>
      <c r="L22" s="27">
        <f t="shared" si="4"/>
        <v>0.58545454545454545</v>
      </c>
      <c r="M22" s="27">
        <f t="shared" si="4"/>
        <v>0.15948051948051944</v>
      </c>
      <c r="N22" s="27">
        <f t="shared" si="4"/>
        <v>0.54207792207792216</v>
      </c>
      <c r="O22" s="27">
        <f t="shared" si="4"/>
        <v>1.4652467532467532</v>
      </c>
      <c r="P22" s="27">
        <f t="shared" si="4"/>
        <v>0.77345454545454539</v>
      </c>
      <c r="Q22" s="27">
        <f t="shared" si="4"/>
        <v>1.0251428571428571</v>
      </c>
      <c r="R22" s="27">
        <f t="shared" si="4"/>
        <v>0.90441558441558445</v>
      </c>
      <c r="S22" s="27">
        <f t="shared" si="4"/>
        <v>0.74457142857142855</v>
      </c>
      <c r="T22" s="27">
        <f t="shared" si="4"/>
        <v>0.49667532467532471</v>
      </c>
      <c r="U22" s="27">
        <f t="shared" si="4"/>
        <v>0.15948051948051944</v>
      </c>
      <c r="V22" s="27">
        <f t="shared" si="4"/>
        <v>0.70072727272727275</v>
      </c>
      <c r="W22" s="27">
        <f t="shared" si="4"/>
        <v>0</v>
      </c>
      <c r="X22" s="27">
        <f t="shared" si="4"/>
        <v>0.15948051948051944</v>
      </c>
      <c r="Y22" s="27">
        <f t="shared" si="4"/>
        <v>1.3138701298701299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0.61904334828101648</v>
      </c>
      <c r="G23" s="25">
        <f t="shared" si="4"/>
        <v>0.58660687593423022</v>
      </c>
      <c r="H23" s="25">
        <f t="shared" si="4"/>
        <v>0.38627802690582957</v>
      </c>
      <c r="I23" s="25">
        <f t="shared" si="4"/>
        <v>0.8493871449925261</v>
      </c>
      <c r="J23" s="25">
        <f>(J12-$C12)/$C12+1</f>
        <v>0.99720478325859496</v>
      </c>
      <c r="K23" s="25">
        <f>(K12-$C12)/$C12+1</f>
        <v>0.36582959641255608</v>
      </c>
      <c r="L23" s="25">
        <f>(L12-$C12)/$C12+1</f>
        <v>0.46345291479820627</v>
      </c>
      <c r="M23" s="25">
        <f t="shared" si="4"/>
        <v>0.67038863976083707</v>
      </c>
      <c r="N23" s="25">
        <f t="shared" si="4"/>
        <v>0.59662182361733929</v>
      </c>
      <c r="O23" s="25">
        <f t="shared" si="4"/>
        <v>0.94702541106128546</v>
      </c>
      <c r="P23" s="25">
        <f t="shared" si="4"/>
        <v>0.87584454409566515</v>
      </c>
      <c r="Q23" s="25">
        <f t="shared" si="4"/>
        <v>1.1333333333333333</v>
      </c>
      <c r="R23" s="25">
        <f t="shared" si="4"/>
        <v>0.92792227204783262</v>
      </c>
      <c r="S23" s="25">
        <f>(S12-$C12)/$C12+1</f>
        <v>1.1447384155455904</v>
      </c>
      <c r="T23" s="25">
        <f>(T12-$C12)/$C12+1</f>
        <v>1.0470553064275037</v>
      </c>
      <c r="U23" s="25">
        <f>(U12-$C12)/$C12+1</f>
        <v>0.50961136023916298</v>
      </c>
      <c r="V23" s="25">
        <f>(V12-$C12)/$C12+1</f>
        <v>0.61998505231689083</v>
      </c>
      <c r="W23" s="25">
        <f>(W12-$C12)/$C12+1</f>
        <v>0.47418535127055306</v>
      </c>
      <c r="X23" s="25">
        <f t="shared" si="4"/>
        <v>0.52083707025411063</v>
      </c>
      <c r="Y23" s="25">
        <f t="shared" si="4"/>
        <v>1.4291778774289985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132357</v>
      </c>
      <c r="G27" s="23">
        <v>157248</v>
      </c>
      <c r="H27" s="23">
        <v>174480</v>
      </c>
      <c r="I27" s="23">
        <v>197486</v>
      </c>
      <c r="J27" s="23">
        <v>214217</v>
      </c>
      <c r="K27" s="23">
        <v>217256</v>
      </c>
      <c r="L27" s="122">
        <v>228456</v>
      </c>
      <c r="M27" s="122">
        <v>250573</v>
      </c>
      <c r="N27" s="122">
        <v>264772</v>
      </c>
      <c r="O27" s="122">
        <v>284092</v>
      </c>
      <c r="P27" s="122">
        <v>304782</v>
      </c>
      <c r="Q27" s="23">
        <v>327547</v>
      </c>
      <c r="R27" s="23">
        <v>347317</v>
      </c>
      <c r="S27" s="23">
        <v>366593</v>
      </c>
      <c r="T27" s="23">
        <v>381814</v>
      </c>
      <c r="U27" s="23">
        <v>381814</v>
      </c>
      <c r="V27" s="23">
        <v>384898</v>
      </c>
      <c r="W27" s="23">
        <v>390976</v>
      </c>
      <c r="X27" s="23">
        <v>397054</v>
      </c>
      <c r="Y27" s="23">
        <v>400594</v>
      </c>
      <c r="Z27" s="109">
        <f>+Y27/C48</f>
        <v>1.0682506666666667</v>
      </c>
      <c r="AA27" s="97">
        <f t="shared" ref="AA27:AA33" si="8">+Z27-Y$25</f>
        <v>6.8250666666666682E-2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2995</v>
      </c>
      <c r="H28" s="34">
        <v>2995</v>
      </c>
      <c r="I28" s="34">
        <v>8490</v>
      </c>
      <c r="J28" s="34">
        <v>8490</v>
      </c>
      <c r="K28" s="34">
        <v>8490</v>
      </c>
      <c r="L28" s="122">
        <v>8490</v>
      </c>
      <c r="M28" s="122">
        <v>8490</v>
      </c>
      <c r="N28" s="122">
        <v>8490</v>
      </c>
      <c r="O28" s="122">
        <v>8490</v>
      </c>
      <c r="P28" s="122">
        <v>11485</v>
      </c>
      <c r="Q28" s="23">
        <v>19975</v>
      </c>
      <c r="R28" s="23">
        <v>19975</v>
      </c>
      <c r="S28" s="23">
        <v>36460</v>
      </c>
      <c r="T28" s="23">
        <v>52945</v>
      </c>
      <c r="U28" s="23">
        <v>52945</v>
      </c>
      <c r="V28" s="121">
        <v>53545</v>
      </c>
      <c r="W28" s="23">
        <v>53545</v>
      </c>
      <c r="X28" s="23">
        <v>61540</v>
      </c>
      <c r="Y28" s="23">
        <v>73025</v>
      </c>
      <c r="Z28" s="109">
        <f>+Y28/C49</f>
        <v>0.69547619047619047</v>
      </c>
      <c r="AA28" s="113">
        <f t="shared" si="8"/>
        <v>-0.30452380952380953</v>
      </c>
      <c r="AX28"/>
    </row>
    <row r="29" spans="2:50">
      <c r="B29" s="4" t="str">
        <f>+B19</f>
        <v>Boston</v>
      </c>
      <c r="C29" s="4"/>
      <c r="D29" s="4"/>
      <c r="E29" s="23"/>
      <c r="F29" s="34">
        <v>33010</v>
      </c>
      <c r="G29" s="34">
        <v>33010</v>
      </c>
      <c r="H29" s="34">
        <v>44090</v>
      </c>
      <c r="I29" s="34">
        <v>50080</v>
      </c>
      <c r="J29" s="34">
        <v>64110</v>
      </c>
      <c r="K29" s="34">
        <v>72105</v>
      </c>
      <c r="L29" s="122">
        <v>83635</v>
      </c>
      <c r="M29" s="122">
        <v>90630</v>
      </c>
      <c r="N29" s="122">
        <v>102915</v>
      </c>
      <c r="O29" s="122">
        <v>120885</v>
      </c>
      <c r="P29" s="122">
        <v>132415</v>
      </c>
      <c r="Q29" s="23">
        <v>158640</v>
      </c>
      <c r="R29" s="23">
        <v>181165</v>
      </c>
      <c r="S29" s="23">
        <v>197650</v>
      </c>
      <c r="T29" s="23">
        <v>223970</v>
      </c>
      <c r="U29" s="23">
        <v>235700</v>
      </c>
      <c r="V29" s="121">
        <v>219345</v>
      </c>
      <c r="W29" s="23">
        <v>227385</v>
      </c>
      <c r="X29" s="23">
        <v>228880</v>
      </c>
      <c r="Y29" s="23">
        <v>231920</v>
      </c>
      <c r="Z29" s="109">
        <f>+Y29/C50</f>
        <v>1.1596</v>
      </c>
      <c r="AA29" s="113">
        <f t="shared" si="8"/>
        <v>0.15959999999999996</v>
      </c>
      <c r="AX29"/>
    </row>
    <row r="30" spans="2:50" s="4" customFormat="1" ht="12.75">
      <c r="B30" s="4" t="str">
        <f>+B20</f>
        <v>Canada</v>
      </c>
      <c r="E30" s="23"/>
      <c r="F30" s="34">
        <v>17835</v>
      </c>
      <c r="G30" s="34">
        <v>22015</v>
      </c>
      <c r="H30" s="34">
        <v>22015</v>
      </c>
      <c r="I30" s="34">
        <v>24711</v>
      </c>
      <c r="J30" s="34">
        <v>27411</v>
      </c>
      <c r="K30" s="34">
        <v>27411</v>
      </c>
      <c r="L30" s="122">
        <v>27411</v>
      </c>
      <c r="M30" s="122">
        <v>29227</v>
      </c>
      <c r="N30" s="122">
        <v>29227</v>
      </c>
      <c r="O30" s="122">
        <v>28404</v>
      </c>
      <c r="P30" s="122">
        <v>28404</v>
      </c>
      <c r="Q30" s="34">
        <v>32806</v>
      </c>
      <c r="R30" s="34">
        <v>37047</v>
      </c>
      <c r="S30" s="34">
        <v>41317</v>
      </c>
      <c r="T30" s="34">
        <v>43274</v>
      </c>
      <c r="U30" s="34">
        <v>46537</v>
      </c>
      <c r="V30" s="121">
        <v>52418</v>
      </c>
      <c r="W30" s="34">
        <v>55410</v>
      </c>
      <c r="X30" s="34">
        <v>60283</v>
      </c>
      <c r="Y30" s="34">
        <v>70248</v>
      </c>
      <c r="Z30" s="109">
        <f>Y30/C51</f>
        <v>0.35478787878787876</v>
      </c>
      <c r="AA30" s="113">
        <f t="shared" si="8"/>
        <v>-0.64521212121212124</v>
      </c>
    </row>
    <row r="31" spans="2:50" s="4" customFormat="1" ht="12.75">
      <c r="B31" s="4" t="s">
        <v>63</v>
      </c>
      <c r="E31" s="23"/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34">
        <v>2695</v>
      </c>
      <c r="R31" s="34">
        <v>2695</v>
      </c>
      <c r="S31" s="34">
        <v>5390</v>
      </c>
      <c r="T31" s="34">
        <v>5390</v>
      </c>
      <c r="U31" s="34">
        <v>5390</v>
      </c>
      <c r="V31" s="121">
        <v>5390</v>
      </c>
      <c r="W31" s="34">
        <v>5390</v>
      </c>
      <c r="X31" s="34">
        <v>5390</v>
      </c>
      <c r="Y31" s="34">
        <v>8385</v>
      </c>
      <c r="Z31" s="109">
        <f>Y31/C52</f>
        <v>0.1118</v>
      </c>
      <c r="AA31" s="113">
        <f t="shared" si="8"/>
        <v>-0.88819999999999999</v>
      </c>
    </row>
    <row r="32" spans="2:50">
      <c r="B32" s="5" t="str">
        <f>+B22</f>
        <v>Norwich</v>
      </c>
      <c r="C32" s="19"/>
      <c r="D32" s="19"/>
      <c r="E32" s="35"/>
      <c r="F32" s="35">
        <v>7370</v>
      </c>
      <c r="G32" s="35">
        <v>13000</v>
      </c>
      <c r="H32" s="35">
        <v>16070</v>
      </c>
      <c r="I32" s="35">
        <v>79208</v>
      </c>
      <c r="J32" s="35">
        <v>111641</v>
      </c>
      <c r="K32" s="35">
        <v>114711</v>
      </c>
      <c r="L32" s="124">
        <v>131180</v>
      </c>
      <c r="M32" s="124">
        <v>134250</v>
      </c>
      <c r="N32" s="124">
        <v>144687</v>
      </c>
      <c r="O32" s="124">
        <v>169825</v>
      </c>
      <c r="P32" s="124">
        <v>184713</v>
      </c>
      <c r="Q32" s="35">
        <v>204447</v>
      </c>
      <c r="R32" s="35">
        <v>216458</v>
      </c>
      <c r="S32" s="35">
        <v>225112</v>
      </c>
      <c r="T32" s="35">
        <v>234674</v>
      </c>
      <c r="U32" s="35">
        <v>231604</v>
      </c>
      <c r="V32" s="35">
        <v>242023</v>
      </c>
      <c r="W32" s="35">
        <v>242023</v>
      </c>
      <c r="X32" s="35">
        <v>245091</v>
      </c>
      <c r="Y32" s="35">
        <v>277907</v>
      </c>
      <c r="Z32" s="110">
        <f>+Y32/C53</f>
        <v>0.72183636363636361</v>
      </c>
      <c r="AA32" s="113">
        <f t="shared" si="8"/>
        <v>-0.27816363636363639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190572</v>
      </c>
      <c r="G33" s="10">
        <f>SUM(G27:G32)</f>
        <v>228268</v>
      </c>
      <c r="H33" s="10">
        <f>SUM(H27:H32)</f>
        <v>259650</v>
      </c>
      <c r="I33" s="10">
        <f>SUM(I27:I32)</f>
        <v>359975</v>
      </c>
      <c r="J33" s="4">
        <f t="shared" ref="J33:Y33" si="9">SUM(J27:J32)</f>
        <v>425869</v>
      </c>
      <c r="K33" s="10">
        <f t="shared" si="9"/>
        <v>439973</v>
      </c>
      <c r="L33" s="10">
        <f t="shared" si="9"/>
        <v>479172</v>
      </c>
      <c r="M33" s="10">
        <f t="shared" si="9"/>
        <v>513170</v>
      </c>
      <c r="N33" s="10">
        <f t="shared" si="9"/>
        <v>550091</v>
      </c>
      <c r="O33" s="4">
        <f>SUM(O27:O32)</f>
        <v>611696</v>
      </c>
      <c r="P33" s="10">
        <f t="shared" si="9"/>
        <v>661799</v>
      </c>
      <c r="Q33" s="10">
        <f t="shared" si="9"/>
        <v>746110</v>
      </c>
      <c r="R33" s="10">
        <f t="shared" si="9"/>
        <v>804657</v>
      </c>
      <c r="S33" s="10">
        <f t="shared" si="9"/>
        <v>872522</v>
      </c>
      <c r="T33" s="4">
        <f t="shared" si="9"/>
        <v>942067</v>
      </c>
      <c r="U33" s="10">
        <f t="shared" si="9"/>
        <v>953990</v>
      </c>
      <c r="V33" s="10">
        <f t="shared" si="9"/>
        <v>957619</v>
      </c>
      <c r="W33" s="10">
        <f t="shared" si="9"/>
        <v>974729</v>
      </c>
      <c r="X33" s="10">
        <f t="shared" si="9"/>
        <v>998238</v>
      </c>
      <c r="Y33" s="10">
        <f t="shared" si="9"/>
        <v>1062079</v>
      </c>
      <c r="Z33" s="111">
        <f>+Y33/C54</f>
        <v>0.79378101644245147</v>
      </c>
      <c r="AA33" s="118">
        <f t="shared" si="8"/>
        <v>-0.20621898355754853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0.1424304932735426</v>
      </c>
      <c r="G34" s="30">
        <f t="shared" si="10"/>
        <v>0.17060388639760837</v>
      </c>
      <c r="H34" s="30">
        <f t="shared" si="10"/>
        <v>0.19405829596412555</v>
      </c>
      <c r="I34" s="30">
        <f t="shared" si="10"/>
        <v>0.26903961136023918</v>
      </c>
      <c r="J34" s="30">
        <f t="shared" si="10"/>
        <v>0.31828774289985051</v>
      </c>
      <c r="K34" s="30">
        <f t="shared" si="10"/>
        <v>0.32882884902840059</v>
      </c>
      <c r="L34" s="30">
        <f t="shared" si="10"/>
        <v>0.35812556053811662</v>
      </c>
      <c r="M34" s="30">
        <f t="shared" si="10"/>
        <v>0.3835351270553064</v>
      </c>
      <c r="N34" s="30">
        <f t="shared" si="10"/>
        <v>0.41112929745889387</v>
      </c>
      <c r="O34" s="30">
        <f>+O33/$C$54</f>
        <v>0.45717189835575484</v>
      </c>
      <c r="P34" s="30">
        <f t="shared" ref="P34:Y34" si="11">+P33/$C$54</f>
        <v>0.49461808669656204</v>
      </c>
      <c r="Q34" s="30">
        <f t="shared" si="11"/>
        <v>0.5576307922272048</v>
      </c>
      <c r="R34" s="30">
        <f t="shared" si="11"/>
        <v>0.60138789237668167</v>
      </c>
      <c r="S34" s="30">
        <f t="shared" si="11"/>
        <v>0.65210911808669658</v>
      </c>
      <c r="T34" s="30">
        <f t="shared" si="11"/>
        <v>0.70408594917787748</v>
      </c>
      <c r="U34" s="30">
        <f t="shared" si="11"/>
        <v>0.71299701046337816</v>
      </c>
      <c r="V34" s="30">
        <f t="shared" si="11"/>
        <v>0.71570926756352771</v>
      </c>
      <c r="W34" s="30">
        <f t="shared" si="11"/>
        <v>0.72849701046337823</v>
      </c>
      <c r="X34" s="30">
        <f t="shared" si="11"/>
        <v>0.74606726457399108</v>
      </c>
      <c r="Y34" s="30">
        <f t="shared" si="11"/>
        <v>0.79378101644245147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AX37"/>
    </row>
    <row r="38" spans="2:50">
      <c r="B38" s="4" t="s">
        <v>0</v>
      </c>
      <c r="C38" s="17"/>
      <c r="D38" s="17"/>
      <c r="E38" s="17"/>
      <c r="F38" s="17">
        <f>(F48/$C$48)</f>
        <v>7.0590400000000004</v>
      </c>
      <c r="G38" s="17">
        <f t="shared" ref="G38:Y38" si="13">(G48/$C$48)</f>
        <v>4.1932799999999997</v>
      </c>
      <c r="H38" s="17">
        <f t="shared" si="13"/>
        <v>3.1018666666666665</v>
      </c>
      <c r="I38" s="17">
        <f t="shared" si="13"/>
        <v>2.6331466666666667</v>
      </c>
      <c r="J38" s="17">
        <f t="shared" si="13"/>
        <v>2.2849813333333335</v>
      </c>
      <c r="K38" s="17">
        <f t="shared" si="13"/>
        <v>1.9311644444444447</v>
      </c>
      <c r="L38" s="17">
        <f t="shared" si="13"/>
        <v>1.7406171428571426</v>
      </c>
      <c r="M38" s="17">
        <f t="shared" si="13"/>
        <v>1.6704866666666667</v>
      </c>
      <c r="N38" s="17">
        <f t="shared" si="13"/>
        <v>1.5690192592592593</v>
      </c>
      <c r="O38" s="17">
        <f t="shared" si="13"/>
        <v>1.5151573333333332</v>
      </c>
      <c r="P38" s="17">
        <f t="shared" si="13"/>
        <v>1.4777309090909088</v>
      </c>
      <c r="Q38" s="17">
        <f t="shared" si="13"/>
        <v>1.4557644444444444</v>
      </c>
      <c r="R38" s="17">
        <f t="shared" si="13"/>
        <v>1.4248902564102564</v>
      </c>
      <c r="S38" s="17">
        <f t="shared" si="13"/>
        <v>1.396544761904762</v>
      </c>
      <c r="T38" s="17">
        <f t="shared" si="13"/>
        <v>1.3575608888888888</v>
      </c>
      <c r="U38" s="17">
        <f t="shared" si="13"/>
        <v>1.2727133333333334</v>
      </c>
      <c r="V38" s="17">
        <f t="shared" si="13"/>
        <v>1.207523137254902</v>
      </c>
      <c r="W38" s="17">
        <f t="shared" si="13"/>
        <v>1.1584474074074076</v>
      </c>
      <c r="X38" s="17">
        <f t="shared" si="13"/>
        <v>1.1145375438596492</v>
      </c>
      <c r="Y38" s="17">
        <f t="shared" si="13"/>
        <v>1.0682506666666667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0.28523809523809524</v>
      </c>
      <c r="H39" s="17">
        <f t="shared" si="14"/>
        <v>0.19015873015873017</v>
      </c>
      <c r="I39" s="17">
        <f t="shared" si="14"/>
        <v>0.4042857142857143</v>
      </c>
      <c r="J39" s="17">
        <f t="shared" si="14"/>
        <v>0.32342857142857145</v>
      </c>
      <c r="K39" s="17">
        <f t="shared" si="14"/>
        <v>0.2695238095238095</v>
      </c>
      <c r="L39" s="17">
        <f t="shared" si="14"/>
        <v>0.23102040816326533</v>
      </c>
      <c r="M39" s="17">
        <f t="shared" si="14"/>
        <v>0.20214285714285715</v>
      </c>
      <c r="N39" s="17">
        <f t="shared" si="14"/>
        <v>0.17968253968253969</v>
      </c>
      <c r="O39" s="17">
        <f t="shared" si="14"/>
        <v>0.16171428571428573</v>
      </c>
      <c r="P39" s="17">
        <f t="shared" si="14"/>
        <v>0.19887445887445887</v>
      </c>
      <c r="Q39" s="17">
        <f t="shared" si="14"/>
        <v>0.31706349206349205</v>
      </c>
      <c r="R39" s="17">
        <f t="shared" si="14"/>
        <v>0.29267399267399263</v>
      </c>
      <c r="S39" s="17">
        <f t="shared" si="14"/>
        <v>0.49605442176870745</v>
      </c>
      <c r="T39" s="17">
        <f t="shared" si="14"/>
        <v>0.67231746031746031</v>
      </c>
      <c r="U39" s="17">
        <f t="shared" si="14"/>
        <v>0.63029761904761905</v>
      </c>
      <c r="V39" s="17">
        <f t="shared" si="14"/>
        <v>0.59994397759103635</v>
      </c>
      <c r="W39" s="17">
        <f t="shared" si="14"/>
        <v>0.56661375661375657</v>
      </c>
      <c r="X39" s="17">
        <f t="shared" si="14"/>
        <v>0.61694235588972435</v>
      </c>
      <c r="Y39" s="17">
        <f t="shared" si="14"/>
        <v>0.69547619047619047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3.3010000000000002</v>
      </c>
      <c r="G40" s="17">
        <f t="shared" si="15"/>
        <v>1.6505000000000001</v>
      </c>
      <c r="H40" s="17">
        <f t="shared" si="15"/>
        <v>1.4696666666666667</v>
      </c>
      <c r="I40" s="17">
        <f t="shared" si="15"/>
        <v>1.252</v>
      </c>
      <c r="J40" s="17">
        <f t="shared" si="15"/>
        <v>1.2822</v>
      </c>
      <c r="K40" s="17">
        <f t="shared" si="15"/>
        <v>1.2017500000000001</v>
      </c>
      <c r="L40" s="17">
        <f t="shared" si="15"/>
        <v>1.1947857142857143</v>
      </c>
      <c r="M40" s="17">
        <f t="shared" si="15"/>
        <v>1.1328750000000001</v>
      </c>
      <c r="N40" s="17">
        <f t="shared" si="15"/>
        <v>1.1435</v>
      </c>
      <c r="O40" s="17">
        <f t="shared" si="15"/>
        <v>1.20885</v>
      </c>
      <c r="P40" s="17">
        <f t="shared" si="15"/>
        <v>1.2037727272727272</v>
      </c>
      <c r="Q40" s="17">
        <f t="shared" si="15"/>
        <v>1.3220000000000001</v>
      </c>
      <c r="R40" s="17">
        <f t="shared" si="15"/>
        <v>1.393576923076923</v>
      </c>
      <c r="S40" s="17">
        <f t="shared" si="15"/>
        <v>1.4117857142857142</v>
      </c>
      <c r="T40" s="17">
        <f t="shared" si="15"/>
        <v>1.4931333333333334</v>
      </c>
      <c r="U40" s="17">
        <f t="shared" si="15"/>
        <v>1.473125</v>
      </c>
      <c r="V40" s="17">
        <f t="shared" si="15"/>
        <v>1.2902647058823531</v>
      </c>
      <c r="W40" s="17">
        <f t="shared" si="15"/>
        <v>1.26325</v>
      </c>
      <c r="X40" s="17">
        <f t="shared" si="15"/>
        <v>1.2046315789473685</v>
      </c>
      <c r="Y40" s="17">
        <f t="shared" si="15"/>
        <v>1.1596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1.8015151515151515</v>
      </c>
      <c r="G41" s="17">
        <f t="shared" si="16"/>
        <v>1.1118686868686869</v>
      </c>
      <c r="H41" s="17">
        <f t="shared" si="16"/>
        <v>0.74124579124579115</v>
      </c>
      <c r="I41" s="17">
        <f t="shared" si="16"/>
        <v>0.62401515151515152</v>
      </c>
      <c r="J41" s="17">
        <f t="shared" si="16"/>
        <v>0.55375757575757578</v>
      </c>
      <c r="K41" s="17">
        <f t="shared" si="16"/>
        <v>0.46146464646464647</v>
      </c>
      <c r="L41" s="17">
        <f t="shared" si="16"/>
        <v>0.39554112554112553</v>
      </c>
      <c r="M41" s="17">
        <f t="shared" si="16"/>
        <v>0.36902777777777779</v>
      </c>
      <c r="N41" s="17">
        <f t="shared" si="16"/>
        <v>0.3280246913580247</v>
      </c>
      <c r="O41" s="17">
        <f t="shared" si="16"/>
        <v>0.28690909090909089</v>
      </c>
      <c r="P41" s="17">
        <f t="shared" si="16"/>
        <v>0.26082644628099172</v>
      </c>
      <c r="Q41" s="17">
        <f t="shared" si="16"/>
        <v>0.27614478114478119</v>
      </c>
      <c r="R41" s="17">
        <f t="shared" si="16"/>
        <v>0.28785547785547788</v>
      </c>
      <c r="S41" s="17">
        <f t="shared" si="16"/>
        <v>0.29810245310245309</v>
      </c>
      <c r="T41" s="17">
        <f t="shared" si="16"/>
        <v>0.29140740740740745</v>
      </c>
      <c r="U41" s="17">
        <f t="shared" si="16"/>
        <v>0.29379419191919193</v>
      </c>
      <c r="V41" s="17">
        <f t="shared" si="16"/>
        <v>0.31145573380867503</v>
      </c>
      <c r="W41" s="17">
        <f t="shared" si="16"/>
        <v>0.31094276094276097</v>
      </c>
      <c r="X41" s="17">
        <f t="shared" si="16"/>
        <v>0.32048378522062732</v>
      </c>
      <c r="Y41" s="17">
        <f t="shared" si="16"/>
        <v>0.35478787878787876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</v>
      </c>
      <c r="H42" s="17">
        <f t="shared" si="16"/>
        <v>0</v>
      </c>
      <c r="I42" s="17">
        <f t="shared" si="16"/>
        <v>0</v>
      </c>
      <c r="J42" s="17">
        <f t="shared" si="16"/>
        <v>0</v>
      </c>
      <c r="K42" s="17">
        <f t="shared" si="16"/>
        <v>0</v>
      </c>
      <c r="L42" s="17">
        <f t="shared" si="16"/>
        <v>0</v>
      </c>
      <c r="M42" s="17">
        <f t="shared" si="16"/>
        <v>0</v>
      </c>
      <c r="N42" s="17">
        <f t="shared" si="16"/>
        <v>0</v>
      </c>
      <c r="O42" s="17">
        <f t="shared" si="16"/>
        <v>0</v>
      </c>
      <c r="P42" s="17">
        <f t="shared" si="16"/>
        <v>0</v>
      </c>
      <c r="Q42" s="17">
        <f t="shared" si="16"/>
        <v>2.2685185185185187E-2</v>
      </c>
      <c r="R42" s="17">
        <f t="shared" si="16"/>
        <v>2.0940170940170942E-2</v>
      </c>
      <c r="S42" s="17">
        <f t="shared" si="16"/>
        <v>3.888888888888889E-2</v>
      </c>
      <c r="T42" s="17">
        <f t="shared" si="16"/>
        <v>3.6296296296296292E-2</v>
      </c>
      <c r="U42" s="17">
        <f t="shared" si="16"/>
        <v>3.4027777777777775E-2</v>
      </c>
      <c r="V42" s="17">
        <f t="shared" si="16"/>
        <v>3.202614379084967E-2</v>
      </c>
      <c r="W42" s="17">
        <f t="shared" si="16"/>
        <v>3.0246913580246913E-2</v>
      </c>
      <c r="X42" s="17">
        <f t="shared" si="16"/>
        <v>2.8654970760233919E-2</v>
      </c>
      <c r="Y42" s="17">
        <f t="shared" si="16"/>
        <v>4.2348484848484851E-2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0.38285714285714284</v>
      </c>
      <c r="G43" s="18">
        <f t="shared" si="17"/>
        <v>0.33766233766233766</v>
      </c>
      <c r="H43" s="18">
        <f t="shared" si="17"/>
        <v>0.27826839826839828</v>
      </c>
      <c r="I43" s="18">
        <f t="shared" si="17"/>
        <v>1.0286753246753246</v>
      </c>
      <c r="J43" s="18">
        <f t="shared" si="17"/>
        <v>1.1599064935064936</v>
      </c>
      <c r="K43" s="18">
        <f t="shared" si="17"/>
        <v>0.99316883116883115</v>
      </c>
      <c r="L43" s="18">
        <f t="shared" si="17"/>
        <v>0.97350649350649354</v>
      </c>
      <c r="M43" s="18">
        <f t="shared" si="17"/>
        <v>0.87175324675324672</v>
      </c>
      <c r="N43" s="18">
        <f t="shared" si="17"/>
        <v>0.83513419913419917</v>
      </c>
      <c r="O43" s="18">
        <f t="shared" si="17"/>
        <v>0.88220779220779222</v>
      </c>
      <c r="P43" s="18">
        <f t="shared" si="17"/>
        <v>0.8723164108618654</v>
      </c>
      <c r="Q43" s="18">
        <f t="shared" si="17"/>
        <v>0.88505194805194809</v>
      </c>
      <c r="R43" s="18">
        <f t="shared" si="17"/>
        <v>0.86496703296703281</v>
      </c>
      <c r="S43" s="18">
        <f t="shared" si="17"/>
        <v>0.83529499072356217</v>
      </c>
      <c r="T43" s="18">
        <f t="shared" si="17"/>
        <v>0.8127238095238094</v>
      </c>
      <c r="U43" s="18">
        <f t="shared" si="17"/>
        <v>0.75196103896103894</v>
      </c>
      <c r="V43" s="18">
        <f t="shared" si="17"/>
        <v>0.73956608097784571</v>
      </c>
      <c r="W43" s="18">
        <f t="shared" si="17"/>
        <v>0.69847907647907648</v>
      </c>
      <c r="X43" s="18">
        <f t="shared" si="17"/>
        <v>0.67010526315789476</v>
      </c>
      <c r="Y43" s="18">
        <f t="shared" si="17"/>
        <v>0.72183636363636361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2.848609865470852</v>
      </c>
      <c r="G44" s="17">
        <f t="shared" si="18"/>
        <v>1.7060388639760837</v>
      </c>
      <c r="H44" s="17">
        <f t="shared" si="18"/>
        <v>1.2937219730941705</v>
      </c>
      <c r="I44" s="17">
        <f t="shared" si="18"/>
        <v>1.3451980568011959</v>
      </c>
      <c r="J44" s="17">
        <f t="shared" si="18"/>
        <v>1.273150971599402</v>
      </c>
      <c r="K44" s="17">
        <f t="shared" si="18"/>
        <v>1.096096163428002</v>
      </c>
      <c r="L44" s="17">
        <f t="shared" si="18"/>
        <v>1.0232158872517616</v>
      </c>
      <c r="M44" s="17">
        <f t="shared" si="18"/>
        <v>0.95883781763826603</v>
      </c>
      <c r="N44" s="17">
        <f t="shared" si="18"/>
        <v>0.91362066101976425</v>
      </c>
      <c r="O44" s="17">
        <f t="shared" si="18"/>
        <v>0.91434379671150967</v>
      </c>
      <c r="P44" s="17">
        <f t="shared" si="18"/>
        <v>0.89930561217556726</v>
      </c>
      <c r="Q44" s="17">
        <f t="shared" si="18"/>
        <v>0.92938465371200785</v>
      </c>
      <c r="R44" s="17">
        <f t="shared" si="18"/>
        <v>0.92521214211797165</v>
      </c>
      <c r="S44" s="17">
        <f t="shared" si="18"/>
        <v>0.9315844544095665</v>
      </c>
      <c r="T44" s="17">
        <f t="shared" si="18"/>
        <v>0.93878126557050301</v>
      </c>
      <c r="U44" s="17">
        <f t="shared" si="18"/>
        <v>0.89124626307922272</v>
      </c>
      <c r="V44" s="17">
        <f t="shared" si="18"/>
        <v>0.84201090301591475</v>
      </c>
      <c r="W44" s="17">
        <f t="shared" si="18"/>
        <v>0.8094411227370869</v>
      </c>
      <c r="X44" s="17">
        <f t="shared" si="18"/>
        <v>0.78533396270946421</v>
      </c>
      <c r="Y44" s="17">
        <f t="shared" si="18"/>
        <v>0.79378101644245147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375000</v>
      </c>
      <c r="D48" s="4"/>
      <c r="E48" s="4"/>
      <c r="F48" s="55">
        <f t="shared" ref="F48:Y53" si="20">(F27)/F$1*$Y$1</f>
        <v>2647140</v>
      </c>
      <c r="G48" s="55">
        <f t="shared" si="20"/>
        <v>1572480</v>
      </c>
      <c r="H48" s="55">
        <f t="shared" si="20"/>
        <v>1163200</v>
      </c>
      <c r="I48" s="55">
        <f t="shared" si="20"/>
        <v>987430</v>
      </c>
      <c r="J48" s="55">
        <f t="shared" si="20"/>
        <v>856868</v>
      </c>
      <c r="K48" s="55">
        <f t="shared" si="20"/>
        <v>724186.66666666674</v>
      </c>
      <c r="L48" s="55">
        <f t="shared" si="20"/>
        <v>652731.42857142852</v>
      </c>
      <c r="M48" s="55">
        <f t="shared" si="20"/>
        <v>626432.5</v>
      </c>
      <c r="N48" s="55">
        <f t="shared" si="20"/>
        <v>588382.22222222225</v>
      </c>
      <c r="O48" s="55">
        <f t="shared" si="20"/>
        <v>568184</v>
      </c>
      <c r="P48" s="55">
        <f t="shared" si="20"/>
        <v>554149.09090909082</v>
      </c>
      <c r="Q48" s="55">
        <f t="shared" si="20"/>
        <v>545911.66666666663</v>
      </c>
      <c r="R48" s="55">
        <f t="shared" si="20"/>
        <v>534333.84615384613</v>
      </c>
      <c r="S48" s="55">
        <f t="shared" si="20"/>
        <v>523704.28571428574</v>
      </c>
      <c r="T48" s="55">
        <f t="shared" si="20"/>
        <v>509085.33333333331</v>
      </c>
      <c r="U48" s="55">
        <f t="shared" si="20"/>
        <v>477267.5</v>
      </c>
      <c r="V48" s="55">
        <f t="shared" si="20"/>
        <v>452821.17647058825</v>
      </c>
      <c r="W48" s="55">
        <f t="shared" si="20"/>
        <v>434417.77777777781</v>
      </c>
      <c r="X48" s="55">
        <f t="shared" si="20"/>
        <v>417951.57894736843</v>
      </c>
      <c r="Y48" s="55">
        <f t="shared" si="20"/>
        <v>400594</v>
      </c>
      <c r="AX48"/>
    </row>
    <row r="49" spans="2:50">
      <c r="B49" s="4" t="s">
        <v>64</v>
      </c>
      <c r="C49" s="37">
        <v>105000</v>
      </c>
      <c r="D49" s="4"/>
      <c r="E49" s="4"/>
      <c r="F49" s="55">
        <f t="shared" si="20"/>
        <v>0</v>
      </c>
      <c r="G49" s="55">
        <f t="shared" si="20"/>
        <v>29950</v>
      </c>
      <c r="H49" s="55">
        <f t="shared" si="20"/>
        <v>19966.666666666668</v>
      </c>
      <c r="I49" s="55">
        <f t="shared" si="20"/>
        <v>42450</v>
      </c>
      <c r="J49" s="55">
        <f t="shared" si="20"/>
        <v>33960</v>
      </c>
      <c r="K49" s="55">
        <f t="shared" si="20"/>
        <v>28300</v>
      </c>
      <c r="L49" s="55">
        <f t="shared" si="20"/>
        <v>24257.142857142859</v>
      </c>
      <c r="M49" s="55">
        <f t="shared" si="20"/>
        <v>21225</v>
      </c>
      <c r="N49" s="55">
        <f t="shared" si="20"/>
        <v>18866.666666666668</v>
      </c>
      <c r="O49" s="55">
        <f t="shared" si="20"/>
        <v>16980</v>
      </c>
      <c r="P49" s="55">
        <f t="shared" si="20"/>
        <v>20881.81818181818</v>
      </c>
      <c r="Q49" s="55">
        <f t="shared" si="20"/>
        <v>33291.666666666664</v>
      </c>
      <c r="R49" s="55">
        <f t="shared" si="20"/>
        <v>30730.769230769227</v>
      </c>
      <c r="S49" s="55">
        <f t="shared" si="20"/>
        <v>52085.714285714283</v>
      </c>
      <c r="T49" s="55">
        <f t="shared" si="20"/>
        <v>70593.333333333328</v>
      </c>
      <c r="U49" s="55">
        <f t="shared" si="20"/>
        <v>66181.25</v>
      </c>
      <c r="V49" s="55">
        <f t="shared" si="20"/>
        <v>62994.117647058818</v>
      </c>
      <c r="W49" s="55">
        <f t="shared" si="20"/>
        <v>59494.444444444445</v>
      </c>
      <c r="X49" s="55">
        <f t="shared" si="20"/>
        <v>64778.947368421053</v>
      </c>
      <c r="Y49" s="55">
        <f t="shared" si="20"/>
        <v>73025</v>
      </c>
      <c r="AX49"/>
    </row>
    <row r="50" spans="2:50">
      <c r="B50" s="4" t="s">
        <v>1</v>
      </c>
      <c r="C50" s="37">
        <v>200000</v>
      </c>
      <c r="D50" s="4"/>
      <c r="E50" s="4"/>
      <c r="F50" s="55">
        <f t="shared" si="20"/>
        <v>660200</v>
      </c>
      <c r="G50" s="55">
        <f t="shared" si="20"/>
        <v>330100</v>
      </c>
      <c r="H50" s="55">
        <f t="shared" si="20"/>
        <v>293933.33333333331</v>
      </c>
      <c r="I50" s="55">
        <f t="shared" si="20"/>
        <v>250400</v>
      </c>
      <c r="J50" s="55">
        <f t="shared" si="20"/>
        <v>256440</v>
      </c>
      <c r="K50" s="55">
        <f t="shared" si="20"/>
        <v>240350</v>
      </c>
      <c r="L50" s="55">
        <f t="shared" si="20"/>
        <v>238957.14285714287</v>
      </c>
      <c r="M50" s="55">
        <f t="shared" si="20"/>
        <v>226575</v>
      </c>
      <c r="N50" s="55">
        <f t="shared" si="20"/>
        <v>228700</v>
      </c>
      <c r="O50" s="55">
        <f t="shared" si="20"/>
        <v>241770</v>
      </c>
      <c r="P50" s="55">
        <f t="shared" si="20"/>
        <v>240754.54545454544</v>
      </c>
      <c r="Q50" s="55">
        <f t="shared" si="20"/>
        <v>264400</v>
      </c>
      <c r="R50" s="55">
        <f t="shared" si="20"/>
        <v>278715.38461538462</v>
      </c>
      <c r="S50" s="55">
        <f t="shared" si="20"/>
        <v>282357.14285714284</v>
      </c>
      <c r="T50" s="55">
        <f t="shared" si="20"/>
        <v>298626.66666666669</v>
      </c>
      <c r="U50" s="55">
        <f t="shared" si="20"/>
        <v>294625</v>
      </c>
      <c r="V50" s="55">
        <f t="shared" si="20"/>
        <v>258052.9411764706</v>
      </c>
      <c r="W50" s="55">
        <f t="shared" si="20"/>
        <v>252650</v>
      </c>
      <c r="X50" s="55">
        <f t="shared" si="20"/>
        <v>240926.31578947371</v>
      </c>
      <c r="Y50" s="55">
        <f t="shared" si="20"/>
        <v>231920</v>
      </c>
      <c r="AX50"/>
    </row>
    <row r="51" spans="2:50">
      <c r="B51" s="4" t="s">
        <v>2</v>
      </c>
      <c r="C51" s="37">
        <v>198000</v>
      </c>
      <c r="D51" s="4"/>
      <c r="E51" s="4"/>
      <c r="F51" s="55">
        <f t="shared" si="20"/>
        <v>356700</v>
      </c>
      <c r="G51" s="55">
        <f t="shared" si="20"/>
        <v>220150</v>
      </c>
      <c r="H51" s="55">
        <f t="shared" si="20"/>
        <v>146766.66666666666</v>
      </c>
      <c r="I51" s="55">
        <f t="shared" si="20"/>
        <v>123555</v>
      </c>
      <c r="J51" s="55">
        <f t="shared" si="20"/>
        <v>109644</v>
      </c>
      <c r="K51" s="55">
        <f t="shared" si="20"/>
        <v>91370</v>
      </c>
      <c r="L51" s="55">
        <f t="shared" si="20"/>
        <v>78317.142857142855</v>
      </c>
      <c r="M51" s="55">
        <f t="shared" si="20"/>
        <v>73067.5</v>
      </c>
      <c r="N51" s="55">
        <f t="shared" si="20"/>
        <v>64948.888888888891</v>
      </c>
      <c r="O51" s="55">
        <f t="shared" si="20"/>
        <v>56808</v>
      </c>
      <c r="P51" s="55">
        <f t="shared" si="20"/>
        <v>51643.63636363636</v>
      </c>
      <c r="Q51" s="55">
        <f t="shared" si="20"/>
        <v>54676.666666666672</v>
      </c>
      <c r="R51" s="55">
        <f t="shared" si="20"/>
        <v>56995.384615384617</v>
      </c>
      <c r="S51" s="55">
        <f t="shared" si="20"/>
        <v>59024.285714285717</v>
      </c>
      <c r="T51" s="55">
        <f t="shared" si="20"/>
        <v>57698.666666666672</v>
      </c>
      <c r="U51" s="55">
        <f t="shared" si="20"/>
        <v>58171.25</v>
      </c>
      <c r="V51" s="55">
        <f t="shared" si="20"/>
        <v>61668.23529411765</v>
      </c>
      <c r="W51" s="55">
        <f t="shared" si="20"/>
        <v>61566.666666666672</v>
      </c>
      <c r="X51" s="55">
        <f t="shared" si="20"/>
        <v>63455.789473684206</v>
      </c>
      <c r="Y51" s="55">
        <f t="shared" si="20"/>
        <v>70248</v>
      </c>
      <c r="AA51" s="48"/>
    </row>
    <row r="52" spans="2:50">
      <c r="B52" s="4" t="s">
        <v>63</v>
      </c>
      <c r="C52" s="37">
        <v>75000</v>
      </c>
      <c r="D52" s="4"/>
      <c r="E52" s="4"/>
      <c r="F52" s="55">
        <f t="shared" si="20"/>
        <v>0</v>
      </c>
      <c r="G52" s="55">
        <f t="shared" si="20"/>
        <v>0</v>
      </c>
      <c r="H52" s="55">
        <f t="shared" si="20"/>
        <v>0</v>
      </c>
      <c r="I52" s="55">
        <f t="shared" si="20"/>
        <v>0</v>
      </c>
      <c r="J52" s="55">
        <f t="shared" si="20"/>
        <v>0</v>
      </c>
      <c r="K52" s="55">
        <f t="shared" si="20"/>
        <v>0</v>
      </c>
      <c r="L52" s="55">
        <f t="shared" si="20"/>
        <v>0</v>
      </c>
      <c r="M52" s="55">
        <f t="shared" si="20"/>
        <v>0</v>
      </c>
      <c r="N52" s="55">
        <f t="shared" si="20"/>
        <v>0</v>
      </c>
      <c r="O52" s="55">
        <f t="shared" si="20"/>
        <v>0</v>
      </c>
      <c r="P52" s="55">
        <f t="shared" si="20"/>
        <v>0</v>
      </c>
      <c r="Q52" s="55">
        <f t="shared" si="20"/>
        <v>4491.666666666667</v>
      </c>
      <c r="R52" s="55">
        <f t="shared" si="20"/>
        <v>4146.1538461538466</v>
      </c>
      <c r="S52" s="55">
        <f t="shared" si="20"/>
        <v>7700</v>
      </c>
      <c r="T52" s="55">
        <f t="shared" si="20"/>
        <v>7186.6666666666661</v>
      </c>
      <c r="U52" s="55">
        <f t="shared" si="20"/>
        <v>6737.5</v>
      </c>
      <c r="V52" s="55">
        <f t="shared" si="20"/>
        <v>6341.1764705882351</v>
      </c>
      <c r="W52" s="55">
        <f t="shared" si="20"/>
        <v>5988.8888888888887</v>
      </c>
      <c r="X52" s="55">
        <f t="shared" si="20"/>
        <v>5673.6842105263158</v>
      </c>
      <c r="Y52" s="55">
        <f t="shared" si="20"/>
        <v>8385</v>
      </c>
      <c r="AA52" s="48"/>
    </row>
    <row r="53" spans="2:50">
      <c r="B53" s="4" t="s">
        <v>3</v>
      </c>
      <c r="C53" s="38">
        <v>385000</v>
      </c>
      <c r="D53" s="19"/>
      <c r="E53" s="19"/>
      <c r="F53" s="98">
        <f t="shared" si="20"/>
        <v>147400</v>
      </c>
      <c r="G53" s="98">
        <f t="shared" si="20"/>
        <v>130000</v>
      </c>
      <c r="H53" s="98">
        <f t="shared" si="20"/>
        <v>107133.33333333334</v>
      </c>
      <c r="I53" s="98">
        <f t="shared" si="20"/>
        <v>396040</v>
      </c>
      <c r="J53" s="98">
        <f t="shared" si="20"/>
        <v>446564</v>
      </c>
      <c r="K53" s="98">
        <f t="shared" si="20"/>
        <v>382370</v>
      </c>
      <c r="L53" s="98">
        <f t="shared" si="20"/>
        <v>374800</v>
      </c>
      <c r="M53" s="98">
        <f t="shared" si="20"/>
        <v>335625</v>
      </c>
      <c r="N53" s="98">
        <f t="shared" si="20"/>
        <v>321526.66666666669</v>
      </c>
      <c r="O53" s="98">
        <f t="shared" si="20"/>
        <v>339650</v>
      </c>
      <c r="P53" s="98">
        <f t="shared" si="20"/>
        <v>335841.81818181818</v>
      </c>
      <c r="Q53" s="98">
        <f t="shared" si="20"/>
        <v>340745</v>
      </c>
      <c r="R53" s="98">
        <f t="shared" si="20"/>
        <v>333012.30769230763</v>
      </c>
      <c r="S53" s="98">
        <f t="shared" si="20"/>
        <v>321588.57142857142</v>
      </c>
      <c r="T53" s="98">
        <f t="shared" si="20"/>
        <v>312898.66666666663</v>
      </c>
      <c r="U53" s="98">
        <f t="shared" si="20"/>
        <v>289505</v>
      </c>
      <c r="V53" s="98">
        <f t="shared" si="20"/>
        <v>284732.9411764706</v>
      </c>
      <c r="W53" s="98">
        <f t="shared" si="20"/>
        <v>268914.44444444444</v>
      </c>
      <c r="X53" s="98">
        <f t="shared" si="20"/>
        <v>257990.52631578947</v>
      </c>
      <c r="Y53" s="98">
        <f t="shared" si="20"/>
        <v>277907</v>
      </c>
    </row>
    <row r="54" spans="2:50">
      <c r="B54" s="14" t="s">
        <v>27</v>
      </c>
      <c r="C54" s="39">
        <f>SUM(C48:C53)</f>
        <v>1338000</v>
      </c>
      <c r="D54" s="10">
        <f>SUM(D48:D53)</f>
        <v>0</v>
      </c>
      <c r="E54" s="10"/>
      <c r="F54" s="10">
        <f t="shared" ref="F54:Y54" si="21">SUM(F48:F53)</f>
        <v>3811440</v>
      </c>
      <c r="G54" s="10">
        <f t="shared" si="21"/>
        <v>2282680</v>
      </c>
      <c r="H54" s="10">
        <f t="shared" si="21"/>
        <v>1731000</v>
      </c>
      <c r="I54" s="10">
        <f t="shared" si="21"/>
        <v>1799875</v>
      </c>
      <c r="J54" s="10">
        <f t="shared" si="21"/>
        <v>1703476</v>
      </c>
      <c r="K54" s="10">
        <f t="shared" si="21"/>
        <v>1466576.6666666667</v>
      </c>
      <c r="L54" s="10">
        <f t="shared" si="21"/>
        <v>1369062.857142857</v>
      </c>
      <c r="M54" s="10">
        <f t="shared" si="21"/>
        <v>1282925</v>
      </c>
      <c r="N54" s="10">
        <f t="shared" si="21"/>
        <v>1222424.4444444445</v>
      </c>
      <c r="O54" s="10">
        <f t="shared" si="21"/>
        <v>1223392</v>
      </c>
      <c r="P54" s="10">
        <f t="shared" si="21"/>
        <v>1203270.9090909089</v>
      </c>
      <c r="Q54" s="10">
        <f t="shared" si="21"/>
        <v>1243516.6666666665</v>
      </c>
      <c r="R54" s="10">
        <f t="shared" si="21"/>
        <v>1237933.846153846</v>
      </c>
      <c r="S54" s="10">
        <f t="shared" si="21"/>
        <v>1246460</v>
      </c>
      <c r="T54" s="10">
        <f t="shared" si="21"/>
        <v>1256089.333333333</v>
      </c>
      <c r="U54" s="10">
        <f t="shared" si="21"/>
        <v>1192487.5</v>
      </c>
      <c r="V54" s="10">
        <f t="shared" si="21"/>
        <v>1126610.588235294</v>
      </c>
      <c r="W54" s="10">
        <f t="shared" si="21"/>
        <v>1083032.2222222222</v>
      </c>
      <c r="X54" s="10">
        <f t="shared" si="21"/>
        <v>1050776.8421052631</v>
      </c>
      <c r="Y54" s="10">
        <f t="shared" si="21"/>
        <v>1062079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82</v>
      </c>
      <c r="M2" s="93" t="s">
        <v>45</v>
      </c>
      <c r="O2" s="28"/>
      <c r="P2" s="28"/>
      <c r="Q2" s="28"/>
      <c r="R2" s="28"/>
    </row>
    <row r="3" spans="1:50">
      <c r="F3" s="28"/>
      <c r="M3" s="126" t="s">
        <v>66</v>
      </c>
      <c r="N3" s="126"/>
      <c r="O3" s="126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47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18750</v>
      </c>
      <c r="D6" s="10"/>
      <c r="E6" s="11">
        <v>60109</v>
      </c>
      <c r="F6" s="122">
        <v>11213</v>
      </c>
      <c r="G6" s="122">
        <v>11950</v>
      </c>
      <c r="H6" s="122">
        <v>19945</v>
      </c>
      <c r="I6" s="122">
        <v>6232</v>
      </c>
      <c r="J6" s="122">
        <v>8931</v>
      </c>
      <c r="K6" s="122">
        <v>16490</v>
      </c>
      <c r="L6" s="34">
        <v>20067</v>
      </c>
      <c r="M6" s="34">
        <v>4866</v>
      </c>
      <c r="N6" s="34">
        <v>11450</v>
      </c>
      <c r="O6" s="34">
        <v>20305</v>
      </c>
      <c r="P6" s="34">
        <v>11663</v>
      </c>
      <c r="Q6" s="34">
        <v>14179</v>
      </c>
      <c r="R6" s="34">
        <v>17607</v>
      </c>
      <c r="S6" s="34">
        <v>24906</v>
      </c>
      <c r="T6" s="34">
        <v>6155</v>
      </c>
      <c r="U6" s="81">
        <v>0</v>
      </c>
      <c r="V6" s="34">
        <v>7902</v>
      </c>
      <c r="W6" s="34">
        <v>18254</v>
      </c>
      <c r="X6" s="34">
        <v>18254</v>
      </c>
      <c r="Y6" s="34">
        <v>17238</v>
      </c>
      <c r="Z6" s="69">
        <f t="shared" ref="Z6:Z11" si="1">(SUM(F6:Y6)/(COUNT(F6:Y6)))</f>
        <v>13380.35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28465</v>
      </c>
      <c r="F7" s="122">
        <v>0</v>
      </c>
      <c r="G7" s="122">
        <v>8490</v>
      </c>
      <c r="H7" s="122">
        <v>0</v>
      </c>
      <c r="I7" s="122">
        <v>8490</v>
      </c>
      <c r="J7" s="122">
        <v>0</v>
      </c>
      <c r="K7" s="122">
        <v>2995</v>
      </c>
      <c r="L7" s="34">
        <v>2995</v>
      </c>
      <c r="M7" s="34">
        <v>2995</v>
      </c>
      <c r="N7" s="34">
        <v>10540</v>
      </c>
      <c r="O7" s="34">
        <v>0</v>
      </c>
      <c r="P7" s="34">
        <v>0</v>
      </c>
      <c r="Q7" s="34">
        <v>14030</v>
      </c>
      <c r="R7" s="34">
        <v>2545</v>
      </c>
      <c r="S7" s="34">
        <v>0</v>
      </c>
      <c r="T7" s="81">
        <v>0</v>
      </c>
      <c r="U7" s="34">
        <v>0</v>
      </c>
      <c r="V7" s="34">
        <v>2545</v>
      </c>
      <c r="W7" s="34">
        <v>0</v>
      </c>
      <c r="X7" s="34">
        <v>8490</v>
      </c>
      <c r="Y7" s="34">
        <v>2995</v>
      </c>
      <c r="Z7" s="69">
        <f t="shared" si="1"/>
        <v>3355.5</v>
      </c>
      <c r="AA7" s="103"/>
      <c r="AX7"/>
    </row>
    <row r="8" spans="1:50">
      <c r="B8" s="4" t="s">
        <v>1</v>
      </c>
      <c r="C8" s="20">
        <f t="shared" si="0"/>
        <v>11250</v>
      </c>
      <c r="D8" s="10"/>
      <c r="E8" s="11">
        <v>138150</v>
      </c>
      <c r="F8" s="122">
        <v>8535</v>
      </c>
      <c r="G8" s="122">
        <v>19570</v>
      </c>
      <c r="H8" s="122">
        <v>7995</v>
      </c>
      <c r="I8" s="122">
        <v>14030</v>
      </c>
      <c r="J8" s="122">
        <v>11485</v>
      </c>
      <c r="K8" s="122">
        <v>14075</v>
      </c>
      <c r="L8" s="34">
        <v>14525</v>
      </c>
      <c r="M8" s="34">
        <v>14225</v>
      </c>
      <c r="N8" s="34">
        <v>5495</v>
      </c>
      <c r="O8" s="34">
        <v>40515</v>
      </c>
      <c r="P8" s="34">
        <v>10990</v>
      </c>
      <c r="Q8" s="34">
        <v>12335</v>
      </c>
      <c r="R8" s="34">
        <v>24980</v>
      </c>
      <c r="S8" s="34">
        <v>13205</v>
      </c>
      <c r="T8" s="34">
        <v>2955</v>
      </c>
      <c r="U8" s="34">
        <v>5990</v>
      </c>
      <c r="V8" s="34">
        <v>15705</v>
      </c>
      <c r="W8" s="34">
        <v>10990</v>
      </c>
      <c r="X8" s="34">
        <v>13130</v>
      </c>
      <c r="Y8" s="34">
        <v>9385</v>
      </c>
      <c r="Z8" s="115">
        <f t="shared" si="1"/>
        <v>13505.75</v>
      </c>
      <c r="AA8" s="103"/>
      <c r="AX8"/>
    </row>
    <row r="9" spans="1:50">
      <c r="B9" s="4" t="s">
        <v>2</v>
      </c>
      <c r="C9" s="20">
        <f t="shared" si="0"/>
        <v>10450</v>
      </c>
      <c r="D9" s="10"/>
      <c r="E9" s="11">
        <v>13823</v>
      </c>
      <c r="F9" s="122">
        <v>1847</v>
      </c>
      <c r="G9" s="122">
        <v>2951</v>
      </c>
      <c r="H9" s="122">
        <v>0</v>
      </c>
      <c r="I9" s="122">
        <v>0</v>
      </c>
      <c r="J9" s="122">
        <v>8944</v>
      </c>
      <c r="K9" s="122">
        <v>2845</v>
      </c>
      <c r="L9" s="34">
        <v>2845</v>
      </c>
      <c r="M9" s="34">
        <v>0</v>
      </c>
      <c r="N9" s="34">
        <v>8730</v>
      </c>
      <c r="O9" s="34">
        <v>2845</v>
      </c>
      <c r="P9" s="34">
        <v>2545</v>
      </c>
      <c r="Q9" s="34">
        <v>0</v>
      </c>
      <c r="R9" s="34">
        <v>0</v>
      </c>
      <c r="S9" s="34">
        <v>4408</v>
      </c>
      <c r="T9" s="81">
        <v>0</v>
      </c>
      <c r="U9" s="34">
        <v>4045</v>
      </c>
      <c r="V9" s="34">
        <v>5495</v>
      </c>
      <c r="W9" s="34">
        <v>0</v>
      </c>
      <c r="X9" s="34">
        <v>1900</v>
      </c>
      <c r="Y9" s="34">
        <v>2845</v>
      </c>
      <c r="Z9" s="69">
        <f t="shared" si="1"/>
        <v>2612.25</v>
      </c>
      <c r="AA9" s="103"/>
      <c r="AX9"/>
    </row>
    <row r="10" spans="1:50">
      <c r="B10" s="4" t="s">
        <v>63</v>
      </c>
      <c r="C10" s="20">
        <f t="shared" si="0"/>
        <v>5250</v>
      </c>
      <c r="D10" s="10"/>
      <c r="E10" s="11">
        <v>0</v>
      </c>
      <c r="F10" s="122">
        <v>0</v>
      </c>
      <c r="G10" s="122">
        <v>0</v>
      </c>
      <c r="H10" s="122">
        <v>0</v>
      </c>
      <c r="I10" s="122">
        <v>0</v>
      </c>
      <c r="J10" s="122">
        <v>0</v>
      </c>
      <c r="K10" s="122">
        <v>2995</v>
      </c>
      <c r="L10" s="34">
        <v>2995</v>
      </c>
      <c r="M10" s="34">
        <v>5495</v>
      </c>
      <c r="N10" s="34">
        <v>0</v>
      </c>
      <c r="O10" s="34">
        <v>0</v>
      </c>
      <c r="P10" s="34">
        <v>4396</v>
      </c>
      <c r="Q10" s="34">
        <v>0</v>
      </c>
      <c r="R10" s="34">
        <v>0</v>
      </c>
      <c r="S10" s="34">
        <v>0</v>
      </c>
      <c r="T10" s="81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69">
        <f t="shared" si="1"/>
        <v>794.05</v>
      </c>
      <c r="AA10" s="103"/>
      <c r="AX10"/>
    </row>
    <row r="11" spans="1:50">
      <c r="B11" s="4" t="s">
        <v>3</v>
      </c>
      <c r="C11" s="21">
        <f t="shared" si="0"/>
        <v>19250</v>
      </c>
      <c r="D11" s="13"/>
      <c r="E11" s="40">
        <v>59623</v>
      </c>
      <c r="F11" s="124">
        <v>11263</v>
      </c>
      <c r="G11" s="124">
        <v>8701</v>
      </c>
      <c r="H11" s="124">
        <v>9475</v>
      </c>
      <c r="I11" s="124">
        <v>3070</v>
      </c>
      <c r="J11" s="124">
        <v>14026</v>
      </c>
      <c r="K11" s="124">
        <v>8749</v>
      </c>
      <c r="L11" s="35">
        <v>8190</v>
      </c>
      <c r="M11" s="35">
        <v>8364</v>
      </c>
      <c r="N11" s="35">
        <v>11434</v>
      </c>
      <c r="O11" s="35">
        <v>13889</v>
      </c>
      <c r="P11" s="19">
        <v>14505</v>
      </c>
      <c r="Q11" s="19">
        <v>14461</v>
      </c>
      <c r="R11" s="19">
        <v>17405</v>
      </c>
      <c r="S11" s="19">
        <v>19663</v>
      </c>
      <c r="T11" s="128">
        <v>0</v>
      </c>
      <c r="U11" s="80">
        <v>0</v>
      </c>
      <c r="V11" s="35">
        <v>4782</v>
      </c>
      <c r="W11" s="35">
        <v>0</v>
      </c>
      <c r="X11" s="35">
        <v>14492</v>
      </c>
      <c r="Y11" s="80">
        <v>0</v>
      </c>
      <c r="Z11" s="69">
        <f t="shared" si="1"/>
        <v>9123.4500000000007</v>
      </c>
      <c r="AA11" s="103"/>
      <c r="AX11"/>
    </row>
    <row r="12" spans="1:50" ht="15.75" thickBot="1">
      <c r="B12" s="14" t="s">
        <v>27</v>
      </c>
      <c r="C12" s="20">
        <f>SUM(C6:C11)</f>
        <v>71200</v>
      </c>
      <c r="D12" s="10"/>
      <c r="E12" s="11">
        <f>SUM(E6:E11)</f>
        <v>300170</v>
      </c>
      <c r="F12" s="10">
        <f>SUM(F6:F11)</f>
        <v>32858</v>
      </c>
      <c r="G12" s="10">
        <f t="shared" ref="G12:Y12" si="2">SUM(G6:G11)</f>
        <v>51662</v>
      </c>
      <c r="H12" s="10">
        <f t="shared" si="2"/>
        <v>37415</v>
      </c>
      <c r="I12" s="10">
        <f t="shared" si="2"/>
        <v>31822</v>
      </c>
      <c r="J12" s="10">
        <f t="shared" si="2"/>
        <v>43386</v>
      </c>
      <c r="K12" s="10">
        <f t="shared" si="2"/>
        <v>48149</v>
      </c>
      <c r="L12" s="10">
        <f t="shared" si="2"/>
        <v>51617</v>
      </c>
      <c r="M12" s="10">
        <f t="shared" si="2"/>
        <v>35945</v>
      </c>
      <c r="N12" s="10">
        <f t="shared" si="2"/>
        <v>47649</v>
      </c>
      <c r="O12" s="10">
        <f t="shared" si="2"/>
        <v>77554</v>
      </c>
      <c r="P12" s="10">
        <f t="shared" si="2"/>
        <v>44099</v>
      </c>
      <c r="Q12" s="10">
        <f t="shared" si="2"/>
        <v>55005</v>
      </c>
      <c r="R12" s="10">
        <f t="shared" si="2"/>
        <v>62537</v>
      </c>
      <c r="S12" s="10">
        <f t="shared" si="2"/>
        <v>62182</v>
      </c>
      <c r="T12" s="10">
        <f t="shared" si="2"/>
        <v>9110</v>
      </c>
      <c r="U12" s="10">
        <f t="shared" si="2"/>
        <v>10035</v>
      </c>
      <c r="V12" s="10">
        <f t="shared" si="2"/>
        <v>36429</v>
      </c>
      <c r="W12" s="10">
        <f t="shared" si="2"/>
        <v>29244</v>
      </c>
      <c r="X12" s="10">
        <f t="shared" si="2"/>
        <v>56266</v>
      </c>
      <c r="Y12" s="10">
        <f t="shared" si="2"/>
        <v>32463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42771.35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17" si="4">(F6-$C6)/$C6+1</f>
        <v>0.59802666666666671</v>
      </c>
      <c r="G17" s="25">
        <f t="shared" si="4"/>
        <v>0.63733333333333331</v>
      </c>
      <c r="H17" s="25">
        <f t="shared" si="4"/>
        <v>1.0637333333333334</v>
      </c>
      <c r="I17" s="25">
        <f t="shared" si="4"/>
        <v>0.3323733333333333</v>
      </c>
      <c r="J17" s="25">
        <f t="shared" si="4"/>
        <v>0.47631999999999997</v>
      </c>
      <c r="K17" s="25">
        <f t="shared" si="4"/>
        <v>0.87946666666666662</v>
      </c>
      <c r="L17" s="25">
        <f t="shared" si="4"/>
        <v>1.0702400000000001</v>
      </c>
      <c r="M17" s="25">
        <f t="shared" si="4"/>
        <v>0.25951999999999997</v>
      </c>
      <c r="N17" s="25">
        <f t="shared" si="4"/>
        <v>0.61066666666666669</v>
      </c>
      <c r="O17" s="25">
        <f t="shared" si="4"/>
        <v>1.0829333333333333</v>
      </c>
      <c r="P17" s="25">
        <f t="shared" si="4"/>
        <v>0.62202666666666673</v>
      </c>
      <c r="Q17" s="25">
        <f t="shared" si="4"/>
        <v>0.75621333333333329</v>
      </c>
      <c r="R17" s="25">
        <f t="shared" si="4"/>
        <v>0.93903999999999999</v>
      </c>
      <c r="S17" s="25">
        <f t="shared" si="4"/>
        <v>1.3283199999999999</v>
      </c>
      <c r="T17" s="25">
        <f t="shared" si="4"/>
        <v>0.32826666666666671</v>
      </c>
      <c r="U17" s="25">
        <f t="shared" si="4"/>
        <v>0</v>
      </c>
      <c r="V17" s="25">
        <f t="shared" si="4"/>
        <v>0.42144000000000004</v>
      </c>
      <c r="W17" s="25">
        <f t="shared" si="4"/>
        <v>0.97354666666666667</v>
      </c>
      <c r="X17" s="25">
        <f t="shared" si="4"/>
        <v>0.97354666666666667</v>
      </c>
      <c r="Y17" s="25">
        <f t="shared" si="4"/>
        <v>0.91935999999999996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ref="F18:Y18" si="6">(F7-$C7)/$C7+1</f>
        <v>0</v>
      </c>
      <c r="G18" s="25">
        <f t="shared" si="6"/>
        <v>1.3584000000000001</v>
      </c>
      <c r="H18" s="25">
        <f t="shared" si="6"/>
        <v>0</v>
      </c>
      <c r="I18" s="25">
        <f t="shared" si="6"/>
        <v>1.3584000000000001</v>
      </c>
      <c r="J18" s="25">
        <f t="shared" si="6"/>
        <v>0</v>
      </c>
      <c r="K18" s="25">
        <f t="shared" si="6"/>
        <v>0.47919999999999996</v>
      </c>
      <c r="L18" s="25">
        <f t="shared" si="6"/>
        <v>0.47919999999999996</v>
      </c>
      <c r="M18" s="25">
        <f t="shared" si="6"/>
        <v>0.47919999999999996</v>
      </c>
      <c r="N18" s="25">
        <f t="shared" si="6"/>
        <v>1.6863999999999999</v>
      </c>
      <c r="O18" s="25">
        <f t="shared" si="6"/>
        <v>0</v>
      </c>
      <c r="P18" s="25">
        <f t="shared" si="6"/>
        <v>0</v>
      </c>
      <c r="Q18" s="25">
        <f t="shared" si="6"/>
        <v>2.2447999999999997</v>
      </c>
      <c r="R18" s="25">
        <f t="shared" si="6"/>
        <v>0.40720000000000001</v>
      </c>
      <c r="S18" s="25">
        <f t="shared" si="6"/>
        <v>0</v>
      </c>
      <c r="T18" s="25">
        <f t="shared" si="6"/>
        <v>0</v>
      </c>
      <c r="U18" s="25">
        <f t="shared" si="6"/>
        <v>0</v>
      </c>
      <c r="V18" s="25">
        <f t="shared" si="6"/>
        <v>0.40720000000000001</v>
      </c>
      <c r="W18" s="25">
        <f t="shared" si="6"/>
        <v>0</v>
      </c>
      <c r="X18" s="25">
        <f t="shared" si="6"/>
        <v>1.3584000000000001</v>
      </c>
      <c r="Y18" s="25">
        <f t="shared" si="6"/>
        <v>0.47919999999999996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ref="F19:Y19" si="7">(F8-$C8)/$C8+1</f>
        <v>0.7586666666666666</v>
      </c>
      <c r="G19" s="25">
        <f t="shared" si="7"/>
        <v>1.7395555555555555</v>
      </c>
      <c r="H19" s="25">
        <f t="shared" si="7"/>
        <v>0.71066666666666667</v>
      </c>
      <c r="I19" s="25">
        <f t="shared" si="7"/>
        <v>1.2471111111111111</v>
      </c>
      <c r="J19" s="25">
        <f t="shared" si="7"/>
        <v>1.020888888888889</v>
      </c>
      <c r="K19" s="25">
        <f t="shared" si="7"/>
        <v>1.2511111111111111</v>
      </c>
      <c r="L19" s="25">
        <f t="shared" si="7"/>
        <v>1.2911111111111111</v>
      </c>
      <c r="M19" s="25">
        <f t="shared" si="7"/>
        <v>1.2644444444444445</v>
      </c>
      <c r="N19" s="25">
        <f t="shared" si="7"/>
        <v>0.48844444444444446</v>
      </c>
      <c r="O19" s="25">
        <f t="shared" si="7"/>
        <v>3.6013333333333333</v>
      </c>
      <c r="P19" s="25">
        <f t="shared" si="7"/>
        <v>0.97688888888888892</v>
      </c>
      <c r="Q19" s="25">
        <f t="shared" si="7"/>
        <v>1.0964444444444443</v>
      </c>
      <c r="R19" s="25">
        <f t="shared" si="7"/>
        <v>2.2204444444444444</v>
      </c>
      <c r="S19" s="25">
        <f t="shared" si="7"/>
        <v>1.1737777777777778</v>
      </c>
      <c r="T19" s="25">
        <f t="shared" si="7"/>
        <v>0.26266666666666671</v>
      </c>
      <c r="U19" s="25">
        <f t="shared" si="7"/>
        <v>0.5324444444444445</v>
      </c>
      <c r="V19" s="25">
        <f t="shared" si="7"/>
        <v>1.3959999999999999</v>
      </c>
      <c r="W19" s="25">
        <f t="shared" si="7"/>
        <v>0.97688888888888892</v>
      </c>
      <c r="X19" s="25">
        <f t="shared" si="7"/>
        <v>1.1671111111111112</v>
      </c>
      <c r="Y19" s="25">
        <f t="shared" si="7"/>
        <v>0.8342222222222222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ref="F20:Y20" si="8">(F9-$C9)/$C9+1</f>
        <v>0.17674641148325354</v>
      </c>
      <c r="G20" s="25">
        <f t="shared" si="8"/>
        <v>0.28239234449760764</v>
      </c>
      <c r="H20" s="25">
        <f t="shared" si="8"/>
        <v>0</v>
      </c>
      <c r="I20" s="25">
        <f t="shared" si="8"/>
        <v>0</v>
      </c>
      <c r="J20" s="25">
        <f t="shared" si="8"/>
        <v>0.8558851674641148</v>
      </c>
      <c r="K20" s="25">
        <f t="shared" si="8"/>
        <v>0.27224880382775118</v>
      </c>
      <c r="L20" s="25">
        <f t="shared" si="8"/>
        <v>0.27224880382775118</v>
      </c>
      <c r="M20" s="25">
        <f t="shared" si="8"/>
        <v>0</v>
      </c>
      <c r="N20" s="25">
        <f t="shared" si="8"/>
        <v>0.83540669856459326</v>
      </c>
      <c r="O20" s="25">
        <f t="shared" si="8"/>
        <v>0.27224880382775118</v>
      </c>
      <c r="P20" s="25">
        <f t="shared" si="8"/>
        <v>0.24354066985645928</v>
      </c>
      <c r="Q20" s="25">
        <f t="shared" si="8"/>
        <v>0</v>
      </c>
      <c r="R20" s="25">
        <f t="shared" si="8"/>
        <v>0</v>
      </c>
      <c r="S20" s="25">
        <f t="shared" si="8"/>
        <v>0.42181818181818187</v>
      </c>
      <c r="T20" s="25">
        <f t="shared" si="8"/>
        <v>0</v>
      </c>
      <c r="U20" s="25">
        <f t="shared" si="8"/>
        <v>0.38708133971291869</v>
      </c>
      <c r="V20" s="25">
        <f t="shared" si="8"/>
        <v>0.52583732057416266</v>
      </c>
      <c r="W20" s="25">
        <f t="shared" si="8"/>
        <v>0</v>
      </c>
      <c r="X20" s="25">
        <f t="shared" si="8"/>
        <v>0.18181818181818177</v>
      </c>
      <c r="Y20" s="25">
        <f t="shared" si="8"/>
        <v>0.27224880382775118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ref="F21:Y21" si="9">(F10-$C10)/$C10+1</f>
        <v>0</v>
      </c>
      <c r="G21" s="25">
        <f t="shared" si="9"/>
        <v>0</v>
      </c>
      <c r="H21" s="25">
        <f t="shared" si="9"/>
        <v>0</v>
      </c>
      <c r="I21" s="25">
        <f t="shared" si="9"/>
        <v>0</v>
      </c>
      <c r="J21" s="25">
        <f t="shared" si="9"/>
        <v>0</v>
      </c>
      <c r="K21" s="25">
        <f t="shared" si="9"/>
        <v>0.57047619047619047</v>
      </c>
      <c r="L21" s="25">
        <f t="shared" si="9"/>
        <v>0.57047619047619047</v>
      </c>
      <c r="M21" s="25">
        <f t="shared" si="9"/>
        <v>1.0466666666666666</v>
      </c>
      <c r="N21" s="25">
        <f t="shared" si="9"/>
        <v>0</v>
      </c>
      <c r="O21" s="25">
        <f t="shared" si="9"/>
        <v>0</v>
      </c>
      <c r="P21" s="25">
        <f t="shared" si="9"/>
        <v>0.83733333333333337</v>
      </c>
      <c r="Q21" s="25">
        <f t="shared" si="9"/>
        <v>0</v>
      </c>
      <c r="R21" s="25">
        <f t="shared" si="9"/>
        <v>0</v>
      </c>
      <c r="S21" s="25">
        <f t="shared" si="9"/>
        <v>0</v>
      </c>
      <c r="T21" s="25">
        <f t="shared" si="9"/>
        <v>0</v>
      </c>
      <c r="U21" s="25">
        <f t="shared" si="9"/>
        <v>0</v>
      </c>
      <c r="V21" s="25">
        <f t="shared" si="9"/>
        <v>0</v>
      </c>
      <c r="W21" s="25">
        <f t="shared" si="9"/>
        <v>0</v>
      </c>
      <c r="X21" s="25">
        <f t="shared" si="9"/>
        <v>0</v>
      </c>
      <c r="Y21" s="25">
        <f t="shared" si="9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ref="F22:Y22" si="10">(F11-$C11)/$C11+1</f>
        <v>0.58509090909090911</v>
      </c>
      <c r="G22" s="27">
        <f t="shared" si="10"/>
        <v>0.45199999999999996</v>
      </c>
      <c r="H22" s="27">
        <f t="shared" si="10"/>
        <v>0.49220779220779221</v>
      </c>
      <c r="I22" s="27">
        <f t="shared" si="10"/>
        <v>0.15948051948051944</v>
      </c>
      <c r="J22" s="27">
        <f t="shared" si="10"/>
        <v>0.72862337662337662</v>
      </c>
      <c r="K22" s="27">
        <f t="shared" si="10"/>
        <v>0.4544935064935065</v>
      </c>
      <c r="L22" s="27">
        <f t="shared" si="10"/>
        <v>0.42545454545454542</v>
      </c>
      <c r="M22" s="27">
        <f t="shared" si="10"/>
        <v>0.43449350649350649</v>
      </c>
      <c r="N22" s="27">
        <f t="shared" si="10"/>
        <v>0.59397402597402604</v>
      </c>
      <c r="O22" s="27">
        <f t="shared" si="10"/>
        <v>0.72150649350649343</v>
      </c>
      <c r="P22" s="27">
        <f t="shared" si="10"/>
        <v>0.75350649350649346</v>
      </c>
      <c r="Q22" s="27">
        <f t="shared" si="10"/>
        <v>0.75122077922077923</v>
      </c>
      <c r="R22" s="27">
        <f t="shared" si="10"/>
        <v>0.90415584415584416</v>
      </c>
      <c r="S22" s="27">
        <f t="shared" si="10"/>
        <v>1.0214545454545454</v>
      </c>
      <c r="T22" s="27">
        <f t="shared" si="10"/>
        <v>0</v>
      </c>
      <c r="U22" s="27">
        <f t="shared" si="10"/>
        <v>0</v>
      </c>
      <c r="V22" s="27">
        <f t="shared" si="10"/>
        <v>0.24841558441558442</v>
      </c>
      <c r="W22" s="27">
        <f t="shared" si="10"/>
        <v>0</v>
      </c>
      <c r="X22" s="27">
        <f t="shared" si="10"/>
        <v>0.75283116883116885</v>
      </c>
      <c r="Y22" s="27">
        <f t="shared" si="10"/>
        <v>0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 t="shared" ref="F23:Y23" si="11">(F12-$C12)/$C12+1</f>
        <v>0.46148876404494377</v>
      </c>
      <c r="G23" s="25">
        <f t="shared" si="11"/>
        <v>0.7255898876404494</v>
      </c>
      <c r="H23" s="25">
        <f t="shared" si="11"/>
        <v>0.52549157303370786</v>
      </c>
      <c r="I23" s="25">
        <f t="shared" si="11"/>
        <v>0.44693820224719105</v>
      </c>
      <c r="J23" s="25">
        <f t="shared" si="11"/>
        <v>0.60935393258426962</v>
      </c>
      <c r="K23" s="25">
        <f t="shared" si="11"/>
        <v>0.67625000000000002</v>
      </c>
      <c r="L23" s="25">
        <f t="shared" si="11"/>
        <v>0.72495786516853933</v>
      </c>
      <c r="M23" s="25">
        <f t="shared" si="11"/>
        <v>0.50484550561797747</v>
      </c>
      <c r="N23" s="25">
        <f t="shared" si="11"/>
        <v>0.66922752808988761</v>
      </c>
      <c r="O23" s="25">
        <f t="shared" si="11"/>
        <v>1.0892415730337079</v>
      </c>
      <c r="P23" s="25">
        <f t="shared" si="11"/>
        <v>0.61936797752808981</v>
      </c>
      <c r="Q23" s="25">
        <f t="shared" si="11"/>
        <v>0.77254213483146073</v>
      </c>
      <c r="R23" s="25">
        <f t="shared" si="11"/>
        <v>0.8783286516853932</v>
      </c>
      <c r="S23" s="25">
        <f t="shared" si="11"/>
        <v>0.87334269662921349</v>
      </c>
      <c r="T23" s="25">
        <f t="shared" si="11"/>
        <v>0.12794943820224725</v>
      </c>
      <c r="U23" s="25">
        <f t="shared" si="11"/>
        <v>0.14094101123595504</v>
      </c>
      <c r="V23" s="25">
        <f t="shared" si="11"/>
        <v>0.51164325842696634</v>
      </c>
      <c r="W23" s="25">
        <f t="shared" si="11"/>
        <v>0.4107303370786517</v>
      </c>
      <c r="X23" s="25">
        <f t="shared" si="11"/>
        <v>0.79025280898876404</v>
      </c>
      <c r="Y23" s="25">
        <f t="shared" si="11"/>
        <v>0.4559410112359551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12">+G1/$Y$1</f>
        <v>0.1</v>
      </c>
      <c r="H25" s="49">
        <f t="shared" si="12"/>
        <v>0.15</v>
      </c>
      <c r="I25" s="49">
        <f t="shared" si="12"/>
        <v>0.2</v>
      </c>
      <c r="J25" s="49">
        <f t="shared" si="12"/>
        <v>0.25</v>
      </c>
      <c r="K25" s="49">
        <f t="shared" si="12"/>
        <v>0.3</v>
      </c>
      <c r="L25" s="49">
        <f t="shared" si="12"/>
        <v>0.35</v>
      </c>
      <c r="M25" s="49">
        <f t="shared" si="12"/>
        <v>0.4</v>
      </c>
      <c r="N25" s="49">
        <f t="shared" si="12"/>
        <v>0.45</v>
      </c>
      <c r="O25" s="49">
        <f t="shared" si="12"/>
        <v>0.5</v>
      </c>
      <c r="P25" s="49">
        <f t="shared" si="12"/>
        <v>0.55000000000000004</v>
      </c>
      <c r="Q25" s="49">
        <f t="shared" si="12"/>
        <v>0.6</v>
      </c>
      <c r="R25" s="49">
        <f t="shared" si="12"/>
        <v>0.65</v>
      </c>
      <c r="S25" s="49">
        <f t="shared" si="12"/>
        <v>0.7</v>
      </c>
      <c r="T25" s="49">
        <f t="shared" si="12"/>
        <v>0.75</v>
      </c>
      <c r="U25" s="49">
        <f t="shared" si="12"/>
        <v>0.8</v>
      </c>
      <c r="V25" s="49">
        <f t="shared" si="12"/>
        <v>0.85</v>
      </c>
      <c r="W25" s="49">
        <f t="shared" si="12"/>
        <v>0.9</v>
      </c>
      <c r="X25" s="49">
        <f t="shared" si="12"/>
        <v>0.95</v>
      </c>
      <c r="Y25" s="49">
        <f t="shared" si="12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13">+F16</f>
        <v>Day 1</v>
      </c>
      <c r="G26" s="4" t="str">
        <f t="shared" si="13"/>
        <v>Day 2</v>
      </c>
      <c r="H26" s="4" t="str">
        <f t="shared" si="13"/>
        <v>Day 3</v>
      </c>
      <c r="I26" s="4" t="str">
        <f t="shared" si="13"/>
        <v>Day 4</v>
      </c>
      <c r="J26" s="4" t="str">
        <f t="shared" si="13"/>
        <v>Day 5</v>
      </c>
      <c r="K26" s="4" t="str">
        <f t="shared" si="13"/>
        <v>Day 6</v>
      </c>
      <c r="L26" s="4" t="str">
        <f t="shared" si="13"/>
        <v>Day 7</v>
      </c>
      <c r="M26" s="4" t="str">
        <f t="shared" si="13"/>
        <v>Day 8</v>
      </c>
      <c r="N26" s="4" t="str">
        <f t="shared" si="13"/>
        <v>Day 9</v>
      </c>
      <c r="O26" s="4" t="str">
        <f t="shared" si="13"/>
        <v>Day 10</v>
      </c>
      <c r="P26" s="4" t="str">
        <f t="shared" si="13"/>
        <v>Day 11</v>
      </c>
      <c r="Q26" s="4" t="str">
        <f t="shared" si="13"/>
        <v>Day 12</v>
      </c>
      <c r="R26" s="4" t="str">
        <f t="shared" si="13"/>
        <v>Day 13</v>
      </c>
      <c r="S26" s="4" t="str">
        <f t="shared" si="13"/>
        <v>Day 14</v>
      </c>
      <c r="T26" s="4" t="str">
        <f t="shared" si="13"/>
        <v>Day 15</v>
      </c>
      <c r="U26" s="4" t="str">
        <f t="shared" si="13"/>
        <v>Day 16</v>
      </c>
      <c r="V26" s="4" t="str">
        <f t="shared" si="13"/>
        <v>Day 17</v>
      </c>
      <c r="W26" s="4" t="str">
        <f t="shared" si="13"/>
        <v>Day 18</v>
      </c>
      <c r="X26" s="4" t="str">
        <f t="shared" si="13"/>
        <v>Day 19</v>
      </c>
      <c r="Y26" s="4" t="str">
        <f t="shared" si="13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60168</v>
      </c>
      <c r="G27" s="122">
        <v>72118</v>
      </c>
      <c r="H27" s="122">
        <v>92060</v>
      </c>
      <c r="I27" s="122">
        <v>98295</v>
      </c>
      <c r="J27" s="122">
        <v>107226</v>
      </c>
      <c r="K27" s="122">
        <v>123716</v>
      </c>
      <c r="L27" s="23">
        <v>143783</v>
      </c>
      <c r="M27" s="23">
        <v>148649</v>
      </c>
      <c r="N27" s="23">
        <v>160099</v>
      </c>
      <c r="O27" s="23">
        <v>180404</v>
      </c>
      <c r="P27" s="23">
        <v>192067</v>
      </c>
      <c r="Q27" s="23">
        <v>206246</v>
      </c>
      <c r="R27" s="23">
        <v>223853</v>
      </c>
      <c r="S27" s="23">
        <v>248759</v>
      </c>
      <c r="T27" s="23">
        <v>254914</v>
      </c>
      <c r="U27" s="23">
        <v>254914</v>
      </c>
      <c r="V27" s="23">
        <v>262816</v>
      </c>
      <c r="W27" s="23">
        <v>277850</v>
      </c>
      <c r="X27" s="23">
        <v>277850</v>
      </c>
      <c r="Y27" s="23">
        <v>295088</v>
      </c>
      <c r="Z27" s="109">
        <f>+Y27/C48</f>
        <v>0.78690133333333334</v>
      </c>
      <c r="AA27" s="97">
        <f t="shared" ref="AA27:AA33" si="14">+Z27-Y$25</f>
        <v>-0.21309866666666666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22970</v>
      </c>
      <c r="G28" s="122">
        <v>31460</v>
      </c>
      <c r="H28" s="122">
        <v>31460</v>
      </c>
      <c r="I28" s="122">
        <v>39950</v>
      </c>
      <c r="J28" s="122">
        <v>39950</v>
      </c>
      <c r="K28" s="122">
        <v>42945</v>
      </c>
      <c r="L28" s="23">
        <v>45940</v>
      </c>
      <c r="M28" s="23">
        <v>48935</v>
      </c>
      <c r="N28" s="23">
        <v>59475</v>
      </c>
      <c r="O28" s="23">
        <v>59475</v>
      </c>
      <c r="P28" s="23">
        <v>59475</v>
      </c>
      <c r="Q28" s="23">
        <v>73505</v>
      </c>
      <c r="R28" s="23">
        <v>76050</v>
      </c>
      <c r="S28" s="23">
        <v>76050</v>
      </c>
      <c r="T28" s="23">
        <v>76050</v>
      </c>
      <c r="U28" s="23">
        <v>76050</v>
      </c>
      <c r="V28" s="121">
        <v>78595</v>
      </c>
      <c r="W28" s="23">
        <v>78595</v>
      </c>
      <c r="X28" s="23">
        <v>87085</v>
      </c>
      <c r="Y28" s="23">
        <v>90080</v>
      </c>
      <c r="Z28" s="109">
        <f>+Y28/C49</f>
        <v>0.72063999999999995</v>
      </c>
      <c r="AA28" s="113">
        <f t="shared" si="14"/>
        <v>-0.27936000000000005</v>
      </c>
      <c r="AX28"/>
    </row>
    <row r="29" spans="2:50">
      <c r="B29" s="4" t="str">
        <f>+B19</f>
        <v>Boston</v>
      </c>
      <c r="C29" s="4"/>
      <c r="D29" s="4"/>
      <c r="E29" s="23"/>
      <c r="F29" s="34">
        <v>132655</v>
      </c>
      <c r="G29" s="122">
        <v>150975</v>
      </c>
      <c r="H29" s="122">
        <v>158970</v>
      </c>
      <c r="I29" s="122">
        <v>173000</v>
      </c>
      <c r="J29" s="122">
        <v>179945</v>
      </c>
      <c r="K29" s="122">
        <v>190475</v>
      </c>
      <c r="L29" s="23">
        <v>202005</v>
      </c>
      <c r="M29" s="23">
        <v>213235</v>
      </c>
      <c r="N29" s="23">
        <v>221725</v>
      </c>
      <c r="O29" s="23">
        <v>256251</v>
      </c>
      <c r="P29" s="23">
        <v>265991</v>
      </c>
      <c r="Q29" s="23">
        <v>278326</v>
      </c>
      <c r="R29" s="23">
        <v>303306</v>
      </c>
      <c r="S29" s="23">
        <v>316511</v>
      </c>
      <c r="T29" s="23">
        <v>319506</v>
      </c>
      <c r="U29" s="23">
        <v>325496</v>
      </c>
      <c r="V29" s="121">
        <v>341201</v>
      </c>
      <c r="W29" s="23">
        <v>325116</v>
      </c>
      <c r="X29" s="23">
        <v>322221</v>
      </c>
      <c r="Y29" s="23">
        <v>316131</v>
      </c>
      <c r="Z29" s="109">
        <f>+Y29/C50</f>
        <v>1.4050266666666666</v>
      </c>
      <c r="AA29" s="113">
        <f t="shared" si="14"/>
        <v>0.40502666666666665</v>
      </c>
      <c r="AX29"/>
    </row>
    <row r="30" spans="2:50" s="4" customFormat="1" ht="12.75">
      <c r="B30" s="4" t="str">
        <f>+B20</f>
        <v>Canada</v>
      </c>
      <c r="E30" s="23"/>
      <c r="F30" s="34">
        <v>15197</v>
      </c>
      <c r="G30" s="122">
        <v>18148</v>
      </c>
      <c r="H30" s="122">
        <v>15303</v>
      </c>
      <c r="I30" s="122">
        <v>15303</v>
      </c>
      <c r="J30" s="122">
        <v>21478</v>
      </c>
      <c r="K30" s="122">
        <v>24323</v>
      </c>
      <c r="L30" s="34">
        <v>27169</v>
      </c>
      <c r="M30" s="34">
        <v>27169</v>
      </c>
      <c r="N30" s="34">
        <v>44630</v>
      </c>
      <c r="O30" s="34">
        <v>38744</v>
      </c>
      <c r="P30" s="4">
        <v>52738</v>
      </c>
      <c r="Q30" s="4">
        <v>41162</v>
      </c>
      <c r="R30" s="4">
        <v>41162</v>
      </c>
      <c r="S30" s="4">
        <v>46340</v>
      </c>
      <c r="T30" s="4">
        <v>46340</v>
      </c>
      <c r="U30" s="34">
        <v>48050</v>
      </c>
      <c r="V30" s="121">
        <v>46154</v>
      </c>
      <c r="W30" s="34">
        <v>46154</v>
      </c>
      <c r="X30" s="34">
        <v>45385</v>
      </c>
      <c r="Y30" s="34">
        <v>45385</v>
      </c>
      <c r="Z30" s="109">
        <f>Y30/C51</f>
        <v>0.2171531100478469</v>
      </c>
      <c r="AA30" s="113">
        <f t="shared" si="14"/>
        <v>-0.78284688995215312</v>
      </c>
    </row>
    <row r="31" spans="2:50" s="4" customFormat="1" ht="12.75">
      <c r="B31" s="4" t="s">
        <v>63</v>
      </c>
      <c r="E31" s="23"/>
      <c r="F31" s="34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2995</v>
      </c>
      <c r="L31" s="34">
        <v>5990</v>
      </c>
      <c r="M31" s="34">
        <v>11485</v>
      </c>
      <c r="N31" s="34">
        <v>11485</v>
      </c>
      <c r="O31" s="34">
        <v>11485</v>
      </c>
      <c r="P31" s="4">
        <v>15881</v>
      </c>
      <c r="Q31" s="4">
        <v>15881</v>
      </c>
      <c r="R31" s="4">
        <v>15881</v>
      </c>
      <c r="S31" s="4">
        <v>15881</v>
      </c>
      <c r="T31" s="4">
        <v>15881</v>
      </c>
      <c r="U31" s="34">
        <v>15881</v>
      </c>
      <c r="V31" s="121">
        <v>15881</v>
      </c>
      <c r="W31" s="34">
        <v>15881</v>
      </c>
      <c r="X31" s="34">
        <v>15881</v>
      </c>
      <c r="Y31" s="34">
        <v>24371</v>
      </c>
      <c r="Z31" s="109">
        <f>Y31/C52</f>
        <v>0.2321047619047619</v>
      </c>
      <c r="AA31" s="113">
        <f t="shared" si="14"/>
        <v>-0.76789523809523808</v>
      </c>
    </row>
    <row r="32" spans="2:50">
      <c r="B32" s="5" t="str">
        <f>+B22</f>
        <v>Norwich</v>
      </c>
      <c r="C32" s="19"/>
      <c r="D32" s="19"/>
      <c r="E32" s="35"/>
      <c r="F32" s="35">
        <v>42646</v>
      </c>
      <c r="G32" s="124">
        <v>51348</v>
      </c>
      <c r="H32" s="124">
        <v>56980</v>
      </c>
      <c r="I32" s="124">
        <v>63894</v>
      </c>
      <c r="J32" s="124">
        <v>77921</v>
      </c>
      <c r="K32" s="124">
        <v>83600</v>
      </c>
      <c r="L32" s="35">
        <v>91790</v>
      </c>
      <c r="M32" s="35">
        <v>91284</v>
      </c>
      <c r="N32" s="35">
        <v>102716</v>
      </c>
      <c r="O32" s="35">
        <v>116605</v>
      </c>
      <c r="P32" s="19">
        <v>124971</v>
      </c>
      <c r="Q32" s="19">
        <v>139432</v>
      </c>
      <c r="R32" s="19">
        <v>151206</v>
      </c>
      <c r="S32" s="19">
        <v>162064</v>
      </c>
      <c r="T32" s="19">
        <v>162064</v>
      </c>
      <c r="U32" s="35">
        <v>162064</v>
      </c>
      <c r="V32" s="35">
        <v>166847</v>
      </c>
      <c r="W32" s="35">
        <v>166847</v>
      </c>
      <c r="X32" s="35">
        <v>181339</v>
      </c>
      <c r="Y32" s="35">
        <v>181339</v>
      </c>
      <c r="Z32" s="110">
        <f>+Y32/C53</f>
        <v>0.4710103896103896</v>
      </c>
      <c r="AA32" s="113">
        <f t="shared" si="14"/>
        <v>-0.52898961038961034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273636</v>
      </c>
      <c r="G33" s="10">
        <f t="shared" ref="G33:Y33" si="15">SUM(G27:G32)</f>
        <v>324049</v>
      </c>
      <c r="H33" s="10">
        <f t="shared" si="15"/>
        <v>354773</v>
      </c>
      <c r="I33" s="10">
        <f t="shared" si="15"/>
        <v>390442</v>
      </c>
      <c r="J33" s="10">
        <f t="shared" si="15"/>
        <v>426520</v>
      </c>
      <c r="K33" s="10">
        <f t="shared" si="15"/>
        <v>468054</v>
      </c>
      <c r="L33" s="10">
        <f t="shared" si="15"/>
        <v>516677</v>
      </c>
      <c r="M33" s="10">
        <f t="shared" si="15"/>
        <v>540757</v>
      </c>
      <c r="N33" s="10">
        <f t="shared" si="15"/>
        <v>600130</v>
      </c>
      <c r="O33" s="10">
        <f t="shared" si="15"/>
        <v>662964</v>
      </c>
      <c r="P33" s="10">
        <f t="shared" si="15"/>
        <v>711123</v>
      </c>
      <c r="Q33" s="10">
        <f t="shared" si="15"/>
        <v>754552</v>
      </c>
      <c r="R33" s="10">
        <f t="shared" si="15"/>
        <v>811458</v>
      </c>
      <c r="S33" s="10">
        <f t="shared" si="15"/>
        <v>865605</v>
      </c>
      <c r="T33" s="10">
        <f t="shared" si="15"/>
        <v>874755</v>
      </c>
      <c r="U33" s="10">
        <f t="shared" si="15"/>
        <v>882455</v>
      </c>
      <c r="V33" s="10">
        <f t="shared" si="15"/>
        <v>911494</v>
      </c>
      <c r="W33" s="10">
        <f t="shared" si="15"/>
        <v>910443</v>
      </c>
      <c r="X33" s="10">
        <f t="shared" si="15"/>
        <v>929761</v>
      </c>
      <c r="Y33" s="10">
        <f t="shared" si="15"/>
        <v>952394</v>
      </c>
      <c r="Z33" s="111">
        <f>+Y33/C54</f>
        <v>0.66881601123595502</v>
      </c>
      <c r="AA33" s="118">
        <f t="shared" si="14"/>
        <v>-0.33118398876404498</v>
      </c>
      <c r="AX33"/>
    </row>
    <row r="34" spans="2:50" s="1" customFormat="1" ht="11.25">
      <c r="B34" s="1" t="s">
        <v>34</v>
      </c>
      <c r="E34" s="30"/>
      <c r="F34" s="30">
        <f t="shared" ref="F34:N34" si="16">+F33/$C$54</f>
        <v>0.19216011235955055</v>
      </c>
      <c r="G34" s="30">
        <f t="shared" si="16"/>
        <v>0.2275625</v>
      </c>
      <c r="H34" s="30">
        <f t="shared" si="16"/>
        <v>0.24913834269662921</v>
      </c>
      <c r="I34" s="30">
        <f t="shared" si="16"/>
        <v>0.27418679775280896</v>
      </c>
      <c r="J34" s="30">
        <f t="shared" si="16"/>
        <v>0.29952247191011239</v>
      </c>
      <c r="K34" s="30">
        <f t="shared" si="16"/>
        <v>0.32868960674157305</v>
      </c>
      <c r="L34" s="30">
        <f t="shared" si="16"/>
        <v>0.36283497191011238</v>
      </c>
      <c r="M34" s="30">
        <f t="shared" si="16"/>
        <v>0.37974508426966291</v>
      </c>
      <c r="N34" s="30">
        <f t="shared" si="16"/>
        <v>0.42143960674157305</v>
      </c>
      <c r="O34" s="30">
        <f>+O33/$C$54</f>
        <v>0.46556460674157302</v>
      </c>
      <c r="P34" s="30">
        <f t="shared" ref="P34:Y34" si="17">+P33/$C$54</f>
        <v>0.49938412921348313</v>
      </c>
      <c r="Q34" s="30">
        <f t="shared" si="17"/>
        <v>0.52988202247191007</v>
      </c>
      <c r="R34" s="30">
        <f t="shared" si="17"/>
        <v>0.56984410112359551</v>
      </c>
      <c r="S34" s="30">
        <f t="shared" si="17"/>
        <v>0.60786867977528092</v>
      </c>
      <c r="T34" s="30">
        <f t="shared" si="17"/>
        <v>0.61429424157303369</v>
      </c>
      <c r="U34" s="30">
        <f t="shared" si="17"/>
        <v>0.61970154494382024</v>
      </c>
      <c r="V34" s="30">
        <f t="shared" si="17"/>
        <v>0.64009410112359555</v>
      </c>
      <c r="W34" s="30">
        <f t="shared" si="17"/>
        <v>0.63935603932584273</v>
      </c>
      <c r="X34" s="30">
        <f t="shared" si="17"/>
        <v>0.65292205056179775</v>
      </c>
      <c r="Y34" s="30">
        <f t="shared" si="17"/>
        <v>0.66881601123595502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8">+G16</f>
        <v>Day 2</v>
      </c>
      <c r="H37" s="4" t="str">
        <f t="shared" si="18"/>
        <v>Day 3</v>
      </c>
      <c r="I37" s="4" t="str">
        <f t="shared" si="18"/>
        <v>Day 4</v>
      </c>
      <c r="J37" s="4" t="str">
        <f t="shared" si="18"/>
        <v>Day 5</v>
      </c>
      <c r="K37" s="4" t="str">
        <f t="shared" si="18"/>
        <v>Day 6</v>
      </c>
      <c r="L37" s="4" t="str">
        <f t="shared" si="18"/>
        <v>Day 7</v>
      </c>
      <c r="M37" s="4" t="str">
        <f t="shared" si="18"/>
        <v>Day 8</v>
      </c>
      <c r="N37" s="4" t="str">
        <f t="shared" si="18"/>
        <v>Day 9</v>
      </c>
      <c r="O37" s="4" t="str">
        <f t="shared" si="18"/>
        <v>Day 10</v>
      </c>
      <c r="P37" s="4" t="str">
        <f t="shared" si="18"/>
        <v>Day 11</v>
      </c>
      <c r="Q37" s="4" t="str">
        <f t="shared" si="18"/>
        <v>Day 12</v>
      </c>
      <c r="R37" s="4" t="str">
        <f t="shared" si="18"/>
        <v>Day 13</v>
      </c>
      <c r="S37" s="4" t="str">
        <f t="shared" si="18"/>
        <v>Day 14</v>
      </c>
      <c r="T37" s="4" t="str">
        <f t="shared" si="18"/>
        <v>Day 15</v>
      </c>
      <c r="U37" s="4" t="str">
        <f t="shared" si="18"/>
        <v>Day 16</v>
      </c>
      <c r="V37" s="4" t="str">
        <f t="shared" si="18"/>
        <v>Day 17</v>
      </c>
      <c r="W37" s="4" t="str">
        <f t="shared" si="18"/>
        <v>Day 18</v>
      </c>
      <c r="X37" s="4" t="str">
        <f t="shared" si="18"/>
        <v>Day 19</v>
      </c>
      <c r="Y37" s="4" t="str">
        <f t="shared" si="18"/>
        <v>Day 20</v>
      </c>
      <c r="AX37"/>
    </row>
    <row r="38" spans="2:50">
      <c r="B38" s="4" t="s">
        <v>0</v>
      </c>
      <c r="C38" s="17"/>
      <c r="D38" s="17"/>
      <c r="E38" s="17"/>
      <c r="F38" s="17">
        <f t="shared" ref="F38:T38" si="19">(F48/$C$48)</f>
        <v>0.53482666666666667</v>
      </c>
      <c r="G38" s="17">
        <f t="shared" si="19"/>
        <v>0.54947047619047618</v>
      </c>
      <c r="H38" s="17">
        <f t="shared" si="19"/>
        <v>0.61373333333333335</v>
      </c>
      <c r="I38" s="17">
        <f t="shared" si="19"/>
        <v>0.58248888888888883</v>
      </c>
      <c r="J38" s="17">
        <f t="shared" si="19"/>
        <v>0.57187200000000005</v>
      </c>
      <c r="K38" s="17">
        <f t="shared" si="19"/>
        <v>0.59983515151515143</v>
      </c>
      <c r="L38" s="17">
        <f t="shared" si="19"/>
        <v>0.63903555555555547</v>
      </c>
      <c r="M38" s="17">
        <f t="shared" si="19"/>
        <v>0.60984205128205127</v>
      </c>
      <c r="N38" s="17">
        <f t="shared" si="19"/>
        <v>0.60990095238095232</v>
      </c>
      <c r="O38" s="17">
        <f t="shared" si="19"/>
        <v>0.64143644444444436</v>
      </c>
      <c r="P38" s="17">
        <f t="shared" si="19"/>
        <v>0.64022333333333337</v>
      </c>
      <c r="Q38" s="17">
        <f t="shared" si="19"/>
        <v>0.6470462745098039</v>
      </c>
      <c r="R38" s="17">
        <f t="shared" si="19"/>
        <v>0.66326814814814816</v>
      </c>
      <c r="S38" s="17">
        <f t="shared" si="19"/>
        <v>0.69827087719298242</v>
      </c>
      <c r="T38" s="17">
        <f t="shared" si="19"/>
        <v>0.67977066666666663</v>
      </c>
      <c r="U38" s="17">
        <f>(U48/$C$48)</f>
        <v>0.84971333333333332</v>
      </c>
      <c r="V38" s="17">
        <f>(V48/$C$48)</f>
        <v>0.82452078431372544</v>
      </c>
      <c r="W38" s="17">
        <f>(W48/$C$48)</f>
        <v>0.82325925925925936</v>
      </c>
      <c r="X38" s="17">
        <f>(X48/$C$48)</f>
        <v>0.77992982456140347</v>
      </c>
      <c r="Y38" s="17">
        <f>(Y48/$C$48)</f>
        <v>0.78690133333333334</v>
      </c>
      <c r="AX38"/>
    </row>
    <row r="39" spans="2:50">
      <c r="B39" s="4" t="s">
        <v>64</v>
      </c>
      <c r="C39" s="17"/>
      <c r="D39" s="17"/>
      <c r="E39" s="17"/>
      <c r="F39" s="17">
        <f t="shared" ref="F39:T39" si="20">(F49/$C$49)</f>
        <v>0.61253333333333337</v>
      </c>
      <c r="G39" s="17">
        <f t="shared" si="20"/>
        <v>0.71908571428571433</v>
      </c>
      <c r="H39" s="17">
        <f t="shared" si="20"/>
        <v>0.62919999999999998</v>
      </c>
      <c r="I39" s="17">
        <f t="shared" si="20"/>
        <v>0.7102222222222222</v>
      </c>
      <c r="J39" s="17">
        <f t="shared" si="20"/>
        <v>0.63919999999999999</v>
      </c>
      <c r="K39" s="17">
        <f t="shared" si="20"/>
        <v>0.62465454545454546</v>
      </c>
      <c r="L39" s="17">
        <f t="shared" si="20"/>
        <v>0.61253333333333337</v>
      </c>
      <c r="M39" s="17">
        <f t="shared" si="20"/>
        <v>0.60227692307692304</v>
      </c>
      <c r="N39" s="17">
        <f t="shared" si="20"/>
        <v>0.67971428571428572</v>
      </c>
      <c r="O39" s="17">
        <f t="shared" si="20"/>
        <v>0.63439999999999996</v>
      </c>
      <c r="P39" s="17">
        <f t="shared" si="20"/>
        <v>0.59475</v>
      </c>
      <c r="Q39" s="17">
        <f t="shared" si="20"/>
        <v>0.69181176470588246</v>
      </c>
      <c r="R39" s="17">
        <f t="shared" si="20"/>
        <v>0.67600000000000005</v>
      </c>
      <c r="S39" s="17">
        <f t="shared" si="20"/>
        <v>0.64042105263157889</v>
      </c>
      <c r="T39" s="17">
        <f t="shared" si="20"/>
        <v>0.60840000000000005</v>
      </c>
      <c r="U39" s="17">
        <f>(U49/$C$49)</f>
        <v>0.76049999999999995</v>
      </c>
      <c r="V39" s="17">
        <f>(V49/$C$49)</f>
        <v>0.73971764705882348</v>
      </c>
      <c r="W39" s="17">
        <f>(W49/$C$49)</f>
        <v>0.69862222222222226</v>
      </c>
      <c r="X39" s="17">
        <f>(X49/$C$49)</f>
        <v>0.73334736842105275</v>
      </c>
      <c r="Y39" s="17">
        <f>(Y49/$C$49)</f>
        <v>0.72063999999999995</v>
      </c>
      <c r="AX39"/>
    </row>
    <row r="40" spans="2:50">
      <c r="B40" s="4" t="s">
        <v>1</v>
      </c>
      <c r="C40" s="17"/>
      <c r="D40" s="17"/>
      <c r="E40" s="17"/>
      <c r="F40" s="17">
        <f t="shared" ref="F40:T40" si="21">(F50/$C$50)</f>
        <v>1.9652592592592595</v>
      </c>
      <c r="G40" s="17">
        <f t="shared" si="21"/>
        <v>1.917142857142857</v>
      </c>
      <c r="H40" s="17">
        <f t="shared" si="21"/>
        <v>1.7663333333333333</v>
      </c>
      <c r="I40" s="17">
        <f t="shared" si="21"/>
        <v>1.7086419753086419</v>
      </c>
      <c r="J40" s="17">
        <f t="shared" si="21"/>
        <v>1.5995111111111111</v>
      </c>
      <c r="K40" s="17">
        <f t="shared" si="21"/>
        <v>1.5391919191919192</v>
      </c>
      <c r="L40" s="17">
        <f t="shared" si="21"/>
        <v>1.4963333333333333</v>
      </c>
      <c r="M40" s="17">
        <f t="shared" si="21"/>
        <v>1.4580170940170942</v>
      </c>
      <c r="N40" s="17">
        <f t="shared" si="21"/>
        <v>1.4077777777777778</v>
      </c>
      <c r="O40" s="17">
        <f t="shared" si="21"/>
        <v>1.5185244444444443</v>
      </c>
      <c r="P40" s="17">
        <f t="shared" si="21"/>
        <v>1.4777277777777778</v>
      </c>
      <c r="Q40" s="17">
        <f t="shared" si="21"/>
        <v>1.4552993464052286</v>
      </c>
      <c r="R40" s="17">
        <f t="shared" si="21"/>
        <v>1.4978074074074073</v>
      </c>
      <c r="S40" s="17">
        <f t="shared" si="21"/>
        <v>1.4807532163742692</v>
      </c>
      <c r="T40" s="17">
        <f t="shared" si="21"/>
        <v>1.4200266666666668</v>
      </c>
      <c r="U40" s="17">
        <f>(U50/$C$50)</f>
        <v>1.8083111111111112</v>
      </c>
      <c r="V40" s="17">
        <f>(V50/$C$50)</f>
        <v>1.7840575163398691</v>
      </c>
      <c r="W40" s="17">
        <f>(W50/$C$50)</f>
        <v>1.6055111111111111</v>
      </c>
      <c r="X40" s="17">
        <f>(X50/$C$50)</f>
        <v>1.5074666666666667</v>
      </c>
      <c r="Y40" s="17">
        <f>(Y50/$C$50)</f>
        <v>1.4050266666666666</v>
      </c>
      <c r="AX40"/>
    </row>
    <row r="41" spans="2:50">
      <c r="B41" s="4" t="s">
        <v>2</v>
      </c>
      <c r="C41" s="17"/>
      <c r="D41" s="17"/>
      <c r="E41" s="17"/>
      <c r="F41" s="17">
        <f t="shared" ref="F41:T41" si="22">(F51/$C$51)</f>
        <v>0.2423763955342903</v>
      </c>
      <c r="G41" s="17">
        <f t="shared" si="22"/>
        <v>0.248092959671907</v>
      </c>
      <c r="H41" s="17">
        <f t="shared" si="22"/>
        <v>0.18305023923444977</v>
      </c>
      <c r="I41" s="17">
        <f t="shared" si="22"/>
        <v>0.16271132376395533</v>
      </c>
      <c r="J41" s="17">
        <f t="shared" si="22"/>
        <v>0.2055311004784689</v>
      </c>
      <c r="K41" s="17">
        <f t="shared" si="22"/>
        <v>0.21159634623749454</v>
      </c>
      <c r="L41" s="17">
        <f t="shared" si="22"/>
        <v>0.21665869218500799</v>
      </c>
      <c r="M41" s="17">
        <f t="shared" si="22"/>
        <v>0.19999263894000741</v>
      </c>
      <c r="N41" s="17">
        <f t="shared" si="22"/>
        <v>0.30505809979494192</v>
      </c>
      <c r="O41" s="17">
        <f t="shared" si="22"/>
        <v>0.24717065390749604</v>
      </c>
      <c r="P41" s="17">
        <f t="shared" si="22"/>
        <v>0.31541866028708132</v>
      </c>
      <c r="Q41" s="17">
        <f t="shared" si="22"/>
        <v>0.231702786377709</v>
      </c>
      <c r="R41" s="17">
        <f t="shared" si="22"/>
        <v>0.21883040935672515</v>
      </c>
      <c r="S41" s="17">
        <f t="shared" si="22"/>
        <v>0.23339209267187108</v>
      </c>
      <c r="T41" s="17">
        <f t="shared" si="22"/>
        <v>0.22172248803827752</v>
      </c>
      <c r="U41" s="17">
        <f t="shared" ref="U41:Y42" si="23">(U51/$C$51)</f>
        <v>0.28738038277511962</v>
      </c>
      <c r="V41" s="17">
        <f t="shared" si="23"/>
        <v>0.25980298339431462</v>
      </c>
      <c r="W41" s="17">
        <f t="shared" si="23"/>
        <v>0.24536948431685277</v>
      </c>
      <c r="X41" s="17">
        <f t="shared" si="23"/>
        <v>0.22858222110299675</v>
      </c>
      <c r="Y41" s="17">
        <f t="shared" si="23"/>
        <v>0.2171531100478469</v>
      </c>
      <c r="AX41"/>
    </row>
    <row r="42" spans="2:50">
      <c r="B42" s="4" t="s">
        <v>63</v>
      </c>
      <c r="C42" s="17"/>
      <c r="D42" s="17"/>
      <c r="E42" s="17"/>
      <c r="F42" s="17">
        <f t="shared" ref="F42:T42" si="24">(F52/$C$51)</f>
        <v>0</v>
      </c>
      <c r="G42" s="17">
        <f t="shared" si="24"/>
        <v>0</v>
      </c>
      <c r="H42" s="17">
        <f t="shared" si="24"/>
        <v>0</v>
      </c>
      <c r="I42" s="17">
        <f t="shared" si="24"/>
        <v>0</v>
      </c>
      <c r="J42" s="17">
        <f t="shared" si="24"/>
        <v>0</v>
      </c>
      <c r="K42" s="17">
        <f t="shared" si="24"/>
        <v>2.6054806437581554E-2</v>
      </c>
      <c r="L42" s="17">
        <f t="shared" si="24"/>
        <v>4.7767145135566194E-2</v>
      </c>
      <c r="M42" s="17">
        <f t="shared" si="24"/>
        <v>8.4541774015458232E-2</v>
      </c>
      <c r="N42" s="17">
        <f t="shared" si="24"/>
        <v>7.8503075871496936E-2</v>
      </c>
      <c r="O42" s="17">
        <f t="shared" si="24"/>
        <v>7.326953748006379E-2</v>
      </c>
      <c r="P42" s="17">
        <f t="shared" si="24"/>
        <v>9.4982057416267945E-2</v>
      </c>
      <c r="Q42" s="17">
        <f t="shared" si="24"/>
        <v>8.9394877568252179E-2</v>
      </c>
      <c r="R42" s="17">
        <f t="shared" si="24"/>
        <v>8.4428495481127061E-2</v>
      </c>
      <c r="S42" s="17">
        <f t="shared" si="24"/>
        <v>7.9984890455804591E-2</v>
      </c>
      <c r="T42" s="17">
        <f t="shared" si="24"/>
        <v>7.5985645933014351E-2</v>
      </c>
      <c r="U42" s="17">
        <f t="shared" si="23"/>
        <v>9.4982057416267945E-2</v>
      </c>
      <c r="V42" s="17">
        <f t="shared" si="23"/>
        <v>8.9394877568252179E-2</v>
      </c>
      <c r="W42" s="17">
        <f t="shared" si="23"/>
        <v>8.4428495481127061E-2</v>
      </c>
      <c r="X42" s="17">
        <f t="shared" si="23"/>
        <v>7.9984890455804591E-2</v>
      </c>
      <c r="Y42" s="17">
        <f t="shared" si="23"/>
        <v>0.11660765550239234</v>
      </c>
      <c r="AX42"/>
    </row>
    <row r="43" spans="2:50">
      <c r="B43" s="4" t="s">
        <v>3</v>
      </c>
      <c r="C43" s="18"/>
      <c r="D43" s="18"/>
      <c r="E43" s="18"/>
      <c r="F43" s="18">
        <f t="shared" ref="F43:T43" si="25">(F53/$C$53)</f>
        <v>0.36922943722943724</v>
      </c>
      <c r="G43" s="18">
        <f t="shared" si="25"/>
        <v>0.3810612244897959</v>
      </c>
      <c r="H43" s="18">
        <f t="shared" si="25"/>
        <v>0.37</v>
      </c>
      <c r="I43" s="18">
        <f t="shared" si="25"/>
        <v>0.36879653679653679</v>
      </c>
      <c r="J43" s="18">
        <f t="shared" si="25"/>
        <v>0.40478441558441558</v>
      </c>
      <c r="K43" s="18">
        <f t="shared" si="25"/>
        <v>0.39480519480519483</v>
      </c>
      <c r="L43" s="18">
        <f t="shared" si="25"/>
        <v>0.39735930735930741</v>
      </c>
      <c r="M43" s="18">
        <f t="shared" si="25"/>
        <v>0.36477122877122881</v>
      </c>
      <c r="N43" s="18">
        <f t="shared" si="25"/>
        <v>0.38113543599257887</v>
      </c>
      <c r="O43" s="18">
        <f t="shared" si="25"/>
        <v>0.40382683982683987</v>
      </c>
      <c r="P43" s="18">
        <f t="shared" si="25"/>
        <v>0.40575</v>
      </c>
      <c r="Q43" s="18">
        <f t="shared" si="25"/>
        <v>0.42607181054239879</v>
      </c>
      <c r="R43" s="18">
        <f t="shared" si="25"/>
        <v>0.43638095238095242</v>
      </c>
      <c r="S43" s="18">
        <f t="shared" si="25"/>
        <v>0.44310047846889944</v>
      </c>
      <c r="T43" s="18">
        <f t="shared" si="25"/>
        <v>0.42094545454545457</v>
      </c>
      <c r="U43" s="18">
        <f>(U53/$C$53)</f>
        <v>0.52618181818181819</v>
      </c>
      <c r="V43" s="18">
        <f>(V53/$C$53)</f>
        <v>0.50984568372803674</v>
      </c>
      <c r="W43" s="18">
        <f>(W53/$C$53)</f>
        <v>0.48152092352092352</v>
      </c>
      <c r="X43" s="18">
        <f>(X53/$C$53)</f>
        <v>0.49580041011619952</v>
      </c>
      <c r="Y43" s="18">
        <f>(Y53/$C$53)</f>
        <v>0.4710103896103896</v>
      </c>
      <c r="AX43"/>
    </row>
    <row r="44" spans="2:50">
      <c r="B44" s="14" t="s">
        <v>27</v>
      </c>
      <c r="C44" s="17"/>
      <c r="D44" s="17"/>
      <c r="E44" s="17">
        <f>(E54/$C$54)</f>
        <v>0</v>
      </c>
      <c r="F44" s="17">
        <f t="shared" ref="F44:T44" si="26">(F54/$C$54)</f>
        <v>0.6405337078651685</v>
      </c>
      <c r="G44" s="17">
        <f t="shared" si="26"/>
        <v>0.65017857142857138</v>
      </c>
      <c r="H44" s="17">
        <f t="shared" si="26"/>
        <v>0.622845856741573</v>
      </c>
      <c r="I44" s="17">
        <f t="shared" si="26"/>
        <v>0.60930399500624211</v>
      </c>
      <c r="J44" s="17">
        <f t="shared" si="26"/>
        <v>0.59904494382022477</v>
      </c>
      <c r="K44" s="17">
        <f t="shared" si="26"/>
        <v>0.5976174668028601</v>
      </c>
      <c r="L44" s="17">
        <f t="shared" si="26"/>
        <v>0.6047249531835206</v>
      </c>
      <c r="M44" s="17">
        <f t="shared" si="26"/>
        <v>0.58422320656871218</v>
      </c>
      <c r="N44" s="17">
        <f t="shared" si="26"/>
        <v>0.60205658105938997</v>
      </c>
      <c r="O44" s="17">
        <f t="shared" si="26"/>
        <v>0.62075280898876406</v>
      </c>
      <c r="P44" s="17">
        <f t="shared" si="26"/>
        <v>0.62423016151685395</v>
      </c>
      <c r="Q44" s="17">
        <f t="shared" si="26"/>
        <v>0.62339061467283541</v>
      </c>
      <c r="R44" s="17">
        <f t="shared" si="26"/>
        <v>0.63316011235955061</v>
      </c>
      <c r="S44" s="17">
        <f t="shared" si="26"/>
        <v>0.63986176818450613</v>
      </c>
      <c r="T44" s="17">
        <f t="shared" si="26"/>
        <v>0.61429424157303369</v>
      </c>
      <c r="U44" s="17">
        <f>(U54/$C$54)</f>
        <v>0.77462693117977532</v>
      </c>
      <c r="V44" s="17">
        <f>(V54/$C$54)</f>
        <v>0.75305188367481823</v>
      </c>
      <c r="W44" s="17">
        <f>(W54/$C$54)</f>
        <v>0.71039559925093632</v>
      </c>
      <c r="X44" s="17">
        <f>(X54/$C$54)</f>
        <v>0.68728636901241869</v>
      </c>
      <c r="Y44" s="17">
        <f>(Y54/$C$54)</f>
        <v>0.66881601123595502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27">+G37</f>
        <v>Day 2</v>
      </c>
      <c r="H47" s="4" t="str">
        <f t="shared" si="27"/>
        <v>Day 3</v>
      </c>
      <c r="I47" s="4" t="str">
        <f t="shared" si="27"/>
        <v>Day 4</v>
      </c>
      <c r="J47" s="4" t="str">
        <f t="shared" si="27"/>
        <v>Day 5</v>
      </c>
      <c r="K47" s="4" t="str">
        <f t="shared" si="27"/>
        <v>Day 6</v>
      </c>
      <c r="L47" s="4" t="str">
        <f t="shared" si="27"/>
        <v>Day 7</v>
      </c>
      <c r="M47" s="4" t="str">
        <f t="shared" si="27"/>
        <v>Day 8</v>
      </c>
      <c r="N47" s="4" t="str">
        <f t="shared" si="27"/>
        <v>Day 9</v>
      </c>
      <c r="O47" s="4" t="str">
        <f t="shared" si="27"/>
        <v>Day 10</v>
      </c>
      <c r="P47" s="4" t="str">
        <f t="shared" si="27"/>
        <v>Day 11</v>
      </c>
      <c r="Q47" s="4" t="str">
        <f t="shared" si="27"/>
        <v>Day 12</v>
      </c>
      <c r="R47" s="4" t="str">
        <f t="shared" si="27"/>
        <v>Day 13</v>
      </c>
      <c r="S47" s="4" t="str">
        <f t="shared" si="27"/>
        <v>Day 14</v>
      </c>
      <c r="T47" s="4" t="str">
        <f t="shared" si="27"/>
        <v>Day 15</v>
      </c>
      <c r="U47" s="4" t="str">
        <f t="shared" si="27"/>
        <v>Day 16</v>
      </c>
      <c r="V47" s="4" t="str">
        <f t="shared" si="27"/>
        <v>Day 17</v>
      </c>
      <c r="W47" s="4" t="str">
        <f t="shared" si="27"/>
        <v>Day 18</v>
      </c>
      <c r="X47" s="4" t="str">
        <f t="shared" si="27"/>
        <v>Day 19</v>
      </c>
      <c r="Y47" s="4" t="str">
        <f t="shared" si="27"/>
        <v>Day 20</v>
      </c>
      <c r="AX47"/>
    </row>
    <row r="48" spans="2:50">
      <c r="B48" s="4" t="s">
        <v>0</v>
      </c>
      <c r="C48" s="37">
        <v>375000</v>
      </c>
      <c r="D48" s="4"/>
      <c r="E48" s="4"/>
      <c r="F48" s="55">
        <f t="shared" ref="F48:T53" si="28">(F27)/K$1*$Y$1</f>
        <v>200560</v>
      </c>
      <c r="G48" s="55">
        <f t="shared" si="28"/>
        <v>206051.42857142858</v>
      </c>
      <c r="H48" s="55">
        <f t="shared" si="28"/>
        <v>230150</v>
      </c>
      <c r="I48" s="55">
        <f t="shared" si="28"/>
        <v>218433.33333333331</v>
      </c>
      <c r="J48" s="55">
        <f t="shared" si="28"/>
        <v>214452</v>
      </c>
      <c r="K48" s="55">
        <f t="shared" si="28"/>
        <v>224938.18181818179</v>
      </c>
      <c r="L48" s="55">
        <f t="shared" si="28"/>
        <v>239638.33333333331</v>
      </c>
      <c r="M48" s="55">
        <f t="shared" si="28"/>
        <v>228690.76923076922</v>
      </c>
      <c r="N48" s="55">
        <f t="shared" si="28"/>
        <v>228712.85714285713</v>
      </c>
      <c r="O48" s="55">
        <f t="shared" si="28"/>
        <v>240538.66666666666</v>
      </c>
      <c r="P48" s="55">
        <f t="shared" si="28"/>
        <v>240083.75</v>
      </c>
      <c r="Q48" s="55">
        <f t="shared" si="28"/>
        <v>242642.35294117648</v>
      </c>
      <c r="R48" s="55">
        <f t="shared" si="28"/>
        <v>248725.55555555556</v>
      </c>
      <c r="S48" s="55">
        <f t="shared" si="28"/>
        <v>261851.57894736843</v>
      </c>
      <c r="T48" s="55">
        <f t="shared" si="28"/>
        <v>254914</v>
      </c>
      <c r="U48" s="55">
        <f t="shared" ref="U48:Y53" si="29">(U27)/U$1*$Y$1</f>
        <v>318642.5</v>
      </c>
      <c r="V48" s="55">
        <f t="shared" si="29"/>
        <v>309195.29411764705</v>
      </c>
      <c r="W48" s="55">
        <f t="shared" si="29"/>
        <v>308722.22222222225</v>
      </c>
      <c r="X48" s="55">
        <f t="shared" si="29"/>
        <v>292473.68421052629</v>
      </c>
      <c r="Y48" s="55">
        <f t="shared" si="29"/>
        <v>295088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8"/>
        <v>76566.666666666672</v>
      </c>
      <c r="G49" s="55">
        <f t="shared" si="28"/>
        <v>89885.71428571429</v>
      </c>
      <c r="H49" s="55">
        <f t="shared" si="28"/>
        <v>78650</v>
      </c>
      <c r="I49" s="55">
        <f t="shared" si="28"/>
        <v>88777.777777777781</v>
      </c>
      <c r="J49" s="55">
        <f t="shared" si="28"/>
        <v>79900</v>
      </c>
      <c r="K49" s="55">
        <f t="shared" si="28"/>
        <v>78081.818181818177</v>
      </c>
      <c r="L49" s="55">
        <f t="shared" si="28"/>
        <v>76566.666666666672</v>
      </c>
      <c r="M49" s="55">
        <f t="shared" si="28"/>
        <v>75284.615384615376</v>
      </c>
      <c r="N49" s="55">
        <f t="shared" si="28"/>
        <v>84964.28571428571</v>
      </c>
      <c r="O49" s="55">
        <f t="shared" si="28"/>
        <v>79300</v>
      </c>
      <c r="P49" s="55">
        <f t="shared" si="28"/>
        <v>74343.75</v>
      </c>
      <c r="Q49" s="55">
        <f t="shared" si="28"/>
        <v>86476.470588235301</v>
      </c>
      <c r="R49" s="55">
        <f t="shared" si="28"/>
        <v>84500</v>
      </c>
      <c r="S49" s="55">
        <f t="shared" si="28"/>
        <v>80052.631578947359</v>
      </c>
      <c r="T49" s="55">
        <f t="shared" si="28"/>
        <v>76050</v>
      </c>
      <c r="U49" s="55">
        <f t="shared" si="29"/>
        <v>95062.5</v>
      </c>
      <c r="V49" s="55">
        <f t="shared" si="29"/>
        <v>92464.705882352937</v>
      </c>
      <c r="W49" s="55">
        <f t="shared" si="29"/>
        <v>87327.777777777781</v>
      </c>
      <c r="X49" s="55">
        <f t="shared" si="29"/>
        <v>91668.421052631587</v>
      </c>
      <c r="Y49" s="55">
        <f t="shared" si="29"/>
        <v>90080</v>
      </c>
      <c r="AX49"/>
    </row>
    <row r="50" spans="2:50">
      <c r="B50" s="4" t="s">
        <v>1</v>
      </c>
      <c r="C50" s="37">
        <v>225000</v>
      </c>
      <c r="D50" s="4"/>
      <c r="E50" s="4"/>
      <c r="F50" s="55">
        <f t="shared" si="28"/>
        <v>442183.33333333337</v>
      </c>
      <c r="G50" s="55">
        <f t="shared" si="28"/>
        <v>431357.14285714284</v>
      </c>
      <c r="H50" s="55">
        <f t="shared" si="28"/>
        <v>397425</v>
      </c>
      <c r="I50" s="55">
        <f t="shared" si="28"/>
        <v>384444.44444444444</v>
      </c>
      <c r="J50" s="55">
        <f t="shared" si="28"/>
        <v>359890</v>
      </c>
      <c r="K50" s="55">
        <f t="shared" si="28"/>
        <v>346318.18181818182</v>
      </c>
      <c r="L50" s="55">
        <f t="shared" si="28"/>
        <v>336675</v>
      </c>
      <c r="M50" s="55">
        <f t="shared" si="28"/>
        <v>328053.84615384619</v>
      </c>
      <c r="N50" s="55">
        <f t="shared" si="28"/>
        <v>316750</v>
      </c>
      <c r="O50" s="55">
        <f t="shared" si="28"/>
        <v>341668</v>
      </c>
      <c r="P50" s="55">
        <f t="shared" si="28"/>
        <v>332488.75</v>
      </c>
      <c r="Q50" s="55">
        <f t="shared" si="28"/>
        <v>327442.35294117645</v>
      </c>
      <c r="R50" s="55">
        <f t="shared" si="28"/>
        <v>337006.66666666663</v>
      </c>
      <c r="S50" s="55">
        <f t="shared" si="28"/>
        <v>333169.47368421056</v>
      </c>
      <c r="T50" s="55">
        <f t="shared" si="28"/>
        <v>319506</v>
      </c>
      <c r="U50" s="55">
        <f t="shared" si="29"/>
        <v>406870</v>
      </c>
      <c r="V50" s="55">
        <f t="shared" si="29"/>
        <v>401412.94117647054</v>
      </c>
      <c r="W50" s="55">
        <f t="shared" si="29"/>
        <v>361240</v>
      </c>
      <c r="X50" s="55">
        <f t="shared" si="29"/>
        <v>339180</v>
      </c>
      <c r="Y50" s="55">
        <f t="shared" si="29"/>
        <v>316131</v>
      </c>
      <c r="AX50"/>
    </row>
    <row r="51" spans="2:50">
      <c r="B51" s="4" t="s">
        <v>2</v>
      </c>
      <c r="C51" s="37">
        <v>209000</v>
      </c>
      <c r="D51" s="4"/>
      <c r="E51" s="4"/>
      <c r="F51" s="55">
        <f t="shared" si="28"/>
        <v>50656.666666666672</v>
      </c>
      <c r="G51" s="55">
        <f t="shared" si="28"/>
        <v>51851.428571428565</v>
      </c>
      <c r="H51" s="55">
        <f t="shared" si="28"/>
        <v>38257.5</v>
      </c>
      <c r="I51" s="55">
        <f t="shared" si="28"/>
        <v>34006.666666666664</v>
      </c>
      <c r="J51" s="55">
        <f t="shared" si="28"/>
        <v>42956</v>
      </c>
      <c r="K51" s="55">
        <f t="shared" si="28"/>
        <v>44223.63636363636</v>
      </c>
      <c r="L51" s="55">
        <f t="shared" si="28"/>
        <v>45281.666666666672</v>
      </c>
      <c r="M51" s="55">
        <f t="shared" si="28"/>
        <v>41798.461538461546</v>
      </c>
      <c r="N51" s="55">
        <f t="shared" si="28"/>
        <v>63757.142857142855</v>
      </c>
      <c r="O51" s="55">
        <f t="shared" si="28"/>
        <v>51658.666666666672</v>
      </c>
      <c r="P51" s="55">
        <f t="shared" si="28"/>
        <v>65922.5</v>
      </c>
      <c r="Q51" s="55">
        <f t="shared" si="28"/>
        <v>48425.882352941182</v>
      </c>
      <c r="R51" s="55">
        <f t="shared" si="28"/>
        <v>45735.555555555555</v>
      </c>
      <c r="S51" s="55">
        <f t="shared" si="28"/>
        <v>48778.947368421053</v>
      </c>
      <c r="T51" s="55">
        <f t="shared" si="28"/>
        <v>46340</v>
      </c>
      <c r="U51" s="55">
        <f t="shared" si="29"/>
        <v>60062.5</v>
      </c>
      <c r="V51" s="55">
        <f t="shared" si="29"/>
        <v>54298.823529411762</v>
      </c>
      <c r="W51" s="55">
        <f t="shared" si="29"/>
        <v>51282.222222222226</v>
      </c>
      <c r="X51" s="55">
        <f t="shared" si="29"/>
        <v>47773.68421052632</v>
      </c>
      <c r="Y51" s="55">
        <f t="shared" si="29"/>
        <v>45385</v>
      </c>
      <c r="AA51" s="48"/>
    </row>
    <row r="52" spans="2:50">
      <c r="B52" s="4" t="s">
        <v>63</v>
      </c>
      <c r="C52" s="37">
        <v>105000</v>
      </c>
      <c r="D52" s="4"/>
      <c r="E52" s="4"/>
      <c r="F52" s="55">
        <f t="shared" si="28"/>
        <v>0</v>
      </c>
      <c r="G52" s="55">
        <f t="shared" si="28"/>
        <v>0</v>
      </c>
      <c r="H52" s="55">
        <f t="shared" si="28"/>
        <v>0</v>
      </c>
      <c r="I52" s="55">
        <f t="shared" si="28"/>
        <v>0</v>
      </c>
      <c r="J52" s="55">
        <f t="shared" si="28"/>
        <v>0</v>
      </c>
      <c r="K52" s="55">
        <f t="shared" si="28"/>
        <v>5445.454545454545</v>
      </c>
      <c r="L52" s="55">
        <f t="shared" si="28"/>
        <v>9983.3333333333339</v>
      </c>
      <c r="M52" s="55">
        <f t="shared" si="28"/>
        <v>17669.23076923077</v>
      </c>
      <c r="N52" s="55">
        <f t="shared" si="28"/>
        <v>16407.142857142859</v>
      </c>
      <c r="O52" s="55">
        <f t="shared" si="28"/>
        <v>15313.333333333332</v>
      </c>
      <c r="P52" s="55">
        <f t="shared" si="28"/>
        <v>19851.25</v>
      </c>
      <c r="Q52" s="55">
        <f t="shared" si="28"/>
        <v>18683.529411764706</v>
      </c>
      <c r="R52" s="55">
        <f t="shared" si="28"/>
        <v>17645.555555555555</v>
      </c>
      <c r="S52" s="55">
        <f t="shared" si="28"/>
        <v>16716.84210526316</v>
      </c>
      <c r="T52" s="55">
        <f t="shared" si="28"/>
        <v>15881</v>
      </c>
      <c r="U52" s="55">
        <f t="shared" si="29"/>
        <v>19851.25</v>
      </c>
      <c r="V52" s="55">
        <f t="shared" si="29"/>
        <v>18683.529411764706</v>
      </c>
      <c r="W52" s="55">
        <f t="shared" si="29"/>
        <v>17645.555555555555</v>
      </c>
      <c r="X52" s="55">
        <f t="shared" si="29"/>
        <v>16716.84210526316</v>
      </c>
      <c r="Y52" s="55">
        <f t="shared" si="29"/>
        <v>24371</v>
      </c>
      <c r="AA52" s="48"/>
    </row>
    <row r="53" spans="2:50">
      <c r="B53" s="4" t="s">
        <v>3</v>
      </c>
      <c r="C53" s="38">
        <v>385000</v>
      </c>
      <c r="D53" s="19"/>
      <c r="E53" s="19"/>
      <c r="F53" s="98">
        <f t="shared" si="28"/>
        <v>142153.33333333334</v>
      </c>
      <c r="G53" s="98">
        <f t="shared" si="28"/>
        <v>146708.57142857142</v>
      </c>
      <c r="H53" s="98">
        <f t="shared" si="28"/>
        <v>142450</v>
      </c>
      <c r="I53" s="98">
        <f t="shared" si="28"/>
        <v>141986.66666666666</v>
      </c>
      <c r="J53" s="98">
        <f t="shared" si="28"/>
        <v>155842</v>
      </c>
      <c r="K53" s="98">
        <f t="shared" si="28"/>
        <v>152000</v>
      </c>
      <c r="L53" s="98">
        <f t="shared" si="28"/>
        <v>152983.33333333334</v>
      </c>
      <c r="M53" s="98">
        <f t="shared" si="28"/>
        <v>140436.92307692309</v>
      </c>
      <c r="N53" s="98">
        <f t="shared" si="28"/>
        <v>146737.14285714287</v>
      </c>
      <c r="O53" s="98">
        <f t="shared" si="28"/>
        <v>155473.33333333334</v>
      </c>
      <c r="P53" s="98">
        <f t="shared" si="28"/>
        <v>156213.75</v>
      </c>
      <c r="Q53" s="98">
        <f t="shared" si="28"/>
        <v>164037.64705882352</v>
      </c>
      <c r="R53" s="98">
        <f t="shared" si="28"/>
        <v>168006.66666666669</v>
      </c>
      <c r="S53" s="98">
        <f t="shared" si="28"/>
        <v>170593.68421052629</v>
      </c>
      <c r="T53" s="98">
        <f t="shared" si="28"/>
        <v>162064</v>
      </c>
      <c r="U53" s="98">
        <f t="shared" si="29"/>
        <v>202580</v>
      </c>
      <c r="V53" s="98">
        <f t="shared" si="29"/>
        <v>196290.58823529413</v>
      </c>
      <c r="W53" s="98">
        <f t="shared" si="29"/>
        <v>185385.55555555556</v>
      </c>
      <c r="X53" s="98">
        <f t="shared" si="29"/>
        <v>190883.15789473683</v>
      </c>
      <c r="Y53" s="98">
        <f t="shared" si="29"/>
        <v>181339</v>
      </c>
    </row>
    <row r="54" spans="2:50">
      <c r="B54" s="14" t="s">
        <v>27</v>
      </c>
      <c r="C54" s="39">
        <f>SUM(C48:C53)</f>
        <v>1424000</v>
      </c>
      <c r="D54" s="10">
        <f>SUM(D48:D53)</f>
        <v>0</v>
      </c>
      <c r="E54" s="10"/>
      <c r="F54" s="10">
        <f t="shared" ref="F54:Y54" si="30">SUM(F48:F53)</f>
        <v>912120</v>
      </c>
      <c r="G54" s="10">
        <f t="shared" si="30"/>
        <v>925854.28571428568</v>
      </c>
      <c r="H54" s="10">
        <f t="shared" si="30"/>
        <v>886932.5</v>
      </c>
      <c r="I54" s="10">
        <f t="shared" si="30"/>
        <v>867648.88888888876</v>
      </c>
      <c r="J54" s="10">
        <f t="shared" si="30"/>
        <v>853040</v>
      </c>
      <c r="K54" s="10">
        <f t="shared" si="30"/>
        <v>851007.27272727282</v>
      </c>
      <c r="L54" s="10">
        <f t="shared" si="30"/>
        <v>861128.33333333337</v>
      </c>
      <c r="M54" s="10">
        <f t="shared" si="30"/>
        <v>831933.84615384613</v>
      </c>
      <c r="N54" s="10">
        <f t="shared" si="30"/>
        <v>857328.57142857136</v>
      </c>
      <c r="O54" s="10">
        <f t="shared" si="30"/>
        <v>883952</v>
      </c>
      <c r="P54" s="10">
        <f t="shared" si="30"/>
        <v>888903.75</v>
      </c>
      <c r="Q54" s="10">
        <f t="shared" si="30"/>
        <v>887708.23529411759</v>
      </c>
      <c r="R54" s="10">
        <f t="shared" si="30"/>
        <v>901620</v>
      </c>
      <c r="S54" s="10">
        <f t="shared" si="30"/>
        <v>911163.15789473674</v>
      </c>
      <c r="T54" s="10">
        <f t="shared" si="30"/>
        <v>874755</v>
      </c>
      <c r="U54" s="10">
        <f t="shared" si="30"/>
        <v>1103068.75</v>
      </c>
      <c r="V54" s="10">
        <f t="shared" si="30"/>
        <v>1072345.8823529412</v>
      </c>
      <c r="W54" s="10">
        <f t="shared" si="30"/>
        <v>1011603.3333333333</v>
      </c>
      <c r="X54" s="10">
        <f t="shared" si="30"/>
        <v>978695.78947368416</v>
      </c>
      <c r="Y54" s="10">
        <f t="shared" si="30"/>
        <v>952394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83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18750</v>
      </c>
      <c r="D6" s="10"/>
      <c r="E6" s="11">
        <v>3220</v>
      </c>
      <c r="F6" s="122">
        <v>0</v>
      </c>
      <c r="G6" s="122">
        <v>15315</v>
      </c>
      <c r="H6" s="122">
        <v>3280</v>
      </c>
      <c r="I6" s="122">
        <v>8902</v>
      </c>
      <c r="J6" s="122">
        <v>20942</v>
      </c>
      <c r="K6" s="122">
        <v>12880</v>
      </c>
      <c r="L6" s="122">
        <v>8951</v>
      </c>
      <c r="M6" s="122">
        <v>20599</v>
      </c>
      <c r="N6" s="122">
        <v>3250</v>
      </c>
      <c r="O6" s="122">
        <v>11814</v>
      </c>
      <c r="P6" s="122">
        <v>11080</v>
      </c>
      <c r="Q6" s="34">
        <v>9405</v>
      </c>
      <c r="R6" s="34">
        <v>13365</v>
      </c>
      <c r="S6" s="34">
        <v>26199</v>
      </c>
      <c r="T6" s="34">
        <v>25445</v>
      </c>
      <c r="U6" s="34">
        <v>3205</v>
      </c>
      <c r="V6" s="34">
        <v>3205</v>
      </c>
      <c r="W6" s="34">
        <v>12875</v>
      </c>
      <c r="X6" s="34">
        <v>41290</v>
      </c>
      <c r="Y6" s="34">
        <v>8217</v>
      </c>
      <c r="Z6" s="69">
        <f t="shared" ref="Z6:Z11" si="1">(SUM(F6:Y6)/(COUNT(F6:Y6)))</f>
        <v>13010.95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8985</v>
      </c>
      <c r="F7" s="122">
        <v>8985</v>
      </c>
      <c r="G7" s="122">
        <v>2995</v>
      </c>
      <c r="H7" s="122">
        <v>0</v>
      </c>
      <c r="I7" s="122">
        <v>0</v>
      </c>
      <c r="J7" s="122">
        <v>5990</v>
      </c>
      <c r="K7" s="122">
        <v>5495</v>
      </c>
      <c r="L7" s="122">
        <v>0</v>
      </c>
      <c r="M7" s="122">
        <v>5540</v>
      </c>
      <c r="N7" s="122">
        <v>2995</v>
      </c>
      <c r="O7" s="122">
        <v>5990</v>
      </c>
      <c r="P7" s="122">
        <v>0</v>
      </c>
      <c r="Q7" s="34">
        <v>0</v>
      </c>
      <c r="R7" s="34">
        <v>5990</v>
      </c>
      <c r="S7" s="34">
        <v>5285</v>
      </c>
      <c r="T7" s="34">
        <v>0</v>
      </c>
      <c r="U7" s="34">
        <v>0</v>
      </c>
      <c r="V7" s="34">
        <v>5990</v>
      </c>
      <c r="W7" s="34">
        <v>2995</v>
      </c>
      <c r="X7" s="34">
        <v>0</v>
      </c>
      <c r="Y7" s="34">
        <v>10990</v>
      </c>
      <c r="Z7" s="69">
        <f t="shared" si="1"/>
        <v>3462</v>
      </c>
      <c r="AA7" s="103"/>
      <c r="AX7"/>
    </row>
    <row r="8" spans="1:50">
      <c r="B8" s="4" t="s">
        <v>1</v>
      </c>
      <c r="C8" s="20">
        <f t="shared" si="0"/>
        <v>12750</v>
      </c>
      <c r="D8" s="10"/>
      <c r="E8" s="11">
        <v>50035</v>
      </c>
      <c r="F8" s="122">
        <v>13985</v>
      </c>
      <c r="G8" s="122">
        <v>14480</v>
      </c>
      <c r="H8" s="122">
        <v>16620</v>
      </c>
      <c r="I8" s="122">
        <v>21200</v>
      </c>
      <c r="J8" s="122">
        <v>19525</v>
      </c>
      <c r="K8" s="122">
        <v>22520</v>
      </c>
      <c r="L8" s="122">
        <v>21155</v>
      </c>
      <c r="M8" s="122">
        <v>28475</v>
      </c>
      <c r="N8" s="122">
        <v>14030</v>
      </c>
      <c r="O8" s="122">
        <v>14905</v>
      </c>
      <c r="P8" s="122">
        <v>11990</v>
      </c>
      <c r="Q8" s="34">
        <v>14880</v>
      </c>
      <c r="R8" s="34">
        <v>11035</v>
      </c>
      <c r="S8" s="34">
        <v>13985</v>
      </c>
      <c r="T8" s="34">
        <v>21505</v>
      </c>
      <c r="U8" s="34">
        <v>15205</v>
      </c>
      <c r="V8" s="34">
        <v>16525</v>
      </c>
      <c r="W8" s="34">
        <v>14165</v>
      </c>
      <c r="X8" s="34">
        <v>11790</v>
      </c>
      <c r="Y8" s="34">
        <v>17880</v>
      </c>
      <c r="Z8" s="115">
        <f t="shared" si="1"/>
        <v>16792.75</v>
      </c>
      <c r="AA8" s="103"/>
      <c r="AX8"/>
    </row>
    <row r="9" spans="1:50">
      <c r="B9" s="4" t="s">
        <v>2</v>
      </c>
      <c r="C9" s="20">
        <f t="shared" si="0"/>
        <v>11150</v>
      </c>
      <c r="D9" s="10"/>
      <c r="E9" s="11">
        <v>14516</v>
      </c>
      <c r="F9" s="122">
        <v>2417</v>
      </c>
      <c r="G9" s="122">
        <v>5220</v>
      </c>
      <c r="H9" s="122">
        <v>2845</v>
      </c>
      <c r="I9" s="122">
        <v>0</v>
      </c>
      <c r="J9" s="122">
        <v>2276</v>
      </c>
      <c r="K9" s="122">
        <v>0</v>
      </c>
      <c r="L9" s="122">
        <v>2845</v>
      </c>
      <c r="M9" s="122">
        <v>0</v>
      </c>
      <c r="N9" s="122">
        <v>0</v>
      </c>
      <c r="O9" s="122">
        <v>7690</v>
      </c>
      <c r="P9" s="122">
        <v>0</v>
      </c>
      <c r="Q9" s="34">
        <v>4176</v>
      </c>
      <c r="R9" s="34">
        <v>2845</v>
      </c>
      <c r="S9" s="34">
        <v>2417</v>
      </c>
      <c r="T9" s="34">
        <v>8227</v>
      </c>
      <c r="U9" s="81">
        <v>0</v>
      </c>
      <c r="V9" s="34">
        <v>0</v>
      </c>
      <c r="W9" s="34">
        <v>2133</v>
      </c>
      <c r="X9" s="34">
        <v>4436</v>
      </c>
      <c r="Y9" s="34">
        <v>5220</v>
      </c>
      <c r="Z9" s="69">
        <f t="shared" si="1"/>
        <v>2637.35</v>
      </c>
      <c r="AA9" s="103"/>
      <c r="AX9"/>
    </row>
    <row r="10" spans="1:50">
      <c r="B10" s="4" t="s">
        <v>63</v>
      </c>
      <c r="C10" s="20">
        <f t="shared" si="0"/>
        <v>6250</v>
      </c>
      <c r="D10" s="10"/>
      <c r="E10" s="11">
        <v>0</v>
      </c>
      <c r="F10" s="122">
        <v>8490</v>
      </c>
      <c r="G10" s="122">
        <v>0</v>
      </c>
      <c r="H10" s="122">
        <v>5996</v>
      </c>
      <c r="I10" s="122">
        <v>0</v>
      </c>
      <c r="J10" s="122">
        <v>0</v>
      </c>
      <c r="K10" s="122">
        <v>0</v>
      </c>
      <c r="L10" s="122">
        <v>2995</v>
      </c>
      <c r="M10" s="122">
        <v>0</v>
      </c>
      <c r="N10" s="122">
        <v>0</v>
      </c>
      <c r="O10" s="122">
        <v>0</v>
      </c>
      <c r="P10" s="122">
        <v>0</v>
      </c>
      <c r="Q10" s="34">
        <v>2995</v>
      </c>
      <c r="R10" s="34">
        <v>1000</v>
      </c>
      <c r="S10" s="34">
        <v>0</v>
      </c>
      <c r="T10" s="34">
        <v>0</v>
      </c>
      <c r="U10" s="34">
        <v>0</v>
      </c>
      <c r="V10" s="34">
        <v>0</v>
      </c>
      <c r="W10" s="34">
        <v>5495</v>
      </c>
      <c r="X10" s="34">
        <v>6071</v>
      </c>
      <c r="Y10" s="34">
        <v>0</v>
      </c>
      <c r="Z10" s="69">
        <f t="shared" si="1"/>
        <v>1652.1</v>
      </c>
      <c r="AA10" s="103"/>
      <c r="AX10"/>
    </row>
    <row r="11" spans="1:50">
      <c r="B11" s="4" t="s">
        <v>3</v>
      </c>
      <c r="C11" s="21">
        <f t="shared" si="0"/>
        <v>20900</v>
      </c>
      <c r="D11" s="13"/>
      <c r="E11" s="40">
        <v>0</v>
      </c>
      <c r="F11" s="80">
        <v>0</v>
      </c>
      <c r="G11" s="124">
        <v>20086</v>
      </c>
      <c r="H11" s="124">
        <v>11840</v>
      </c>
      <c r="I11" s="124">
        <v>17502</v>
      </c>
      <c r="J11" s="124">
        <v>43004</v>
      </c>
      <c r="K11" s="124">
        <v>7896</v>
      </c>
      <c r="L11" s="124">
        <v>20481</v>
      </c>
      <c r="M11" s="124">
        <v>23529</v>
      </c>
      <c r="N11" s="124">
        <v>18681</v>
      </c>
      <c r="O11" s="124">
        <v>16377</v>
      </c>
      <c r="P11" s="124">
        <v>11170</v>
      </c>
      <c r="Q11" s="35">
        <v>17375</v>
      </c>
      <c r="R11" s="80">
        <v>0</v>
      </c>
      <c r="S11" s="35">
        <v>13101</v>
      </c>
      <c r="T11" s="35">
        <v>13779</v>
      </c>
      <c r="U11" s="35">
        <v>12572</v>
      </c>
      <c r="V11" s="35">
        <v>21326</v>
      </c>
      <c r="W11" s="35">
        <v>24414</v>
      </c>
      <c r="X11" s="35">
        <v>18682</v>
      </c>
      <c r="Y11" s="35">
        <v>13662</v>
      </c>
      <c r="Z11" s="69">
        <f t="shared" si="1"/>
        <v>16273.85</v>
      </c>
      <c r="AA11" s="103"/>
      <c r="AX11"/>
    </row>
    <row r="12" spans="1:50" ht="15.75" thickBot="1">
      <c r="B12" s="14" t="s">
        <v>27</v>
      </c>
      <c r="C12" s="20">
        <f>SUM(C6:C11)</f>
        <v>76050</v>
      </c>
      <c r="D12" s="10"/>
      <c r="E12" s="11">
        <f t="shared" ref="E12:Y12" si="2">SUM(E6:E11)</f>
        <v>76756</v>
      </c>
      <c r="F12" s="10">
        <f t="shared" si="2"/>
        <v>33877</v>
      </c>
      <c r="G12" s="10">
        <f t="shared" si="2"/>
        <v>58096</v>
      </c>
      <c r="H12" s="10">
        <f t="shared" si="2"/>
        <v>40581</v>
      </c>
      <c r="I12" s="10">
        <f t="shared" si="2"/>
        <v>47604</v>
      </c>
      <c r="J12" s="10">
        <f t="shared" si="2"/>
        <v>91737</v>
      </c>
      <c r="K12" s="10">
        <f t="shared" si="2"/>
        <v>48791</v>
      </c>
      <c r="L12" s="10">
        <f t="shared" si="2"/>
        <v>56427</v>
      </c>
      <c r="M12" s="10">
        <f t="shared" si="2"/>
        <v>78143</v>
      </c>
      <c r="N12" s="10">
        <f t="shared" si="2"/>
        <v>38956</v>
      </c>
      <c r="O12" s="10">
        <f t="shared" si="2"/>
        <v>56776</v>
      </c>
      <c r="P12" s="10">
        <f t="shared" si="2"/>
        <v>34240</v>
      </c>
      <c r="Q12" s="10">
        <f t="shared" si="2"/>
        <v>48831</v>
      </c>
      <c r="R12" s="10">
        <f t="shared" si="2"/>
        <v>34235</v>
      </c>
      <c r="S12" s="10">
        <f t="shared" si="2"/>
        <v>60987</v>
      </c>
      <c r="T12" s="10">
        <f t="shared" si="2"/>
        <v>68956</v>
      </c>
      <c r="U12" s="10">
        <f t="shared" si="2"/>
        <v>30982</v>
      </c>
      <c r="V12" s="10">
        <f t="shared" si="2"/>
        <v>47046</v>
      </c>
      <c r="W12" s="10">
        <f t="shared" si="2"/>
        <v>62077</v>
      </c>
      <c r="X12" s="10">
        <f t="shared" si="2"/>
        <v>82269</v>
      </c>
      <c r="Y12" s="10">
        <f t="shared" si="2"/>
        <v>55969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53829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0</v>
      </c>
      <c r="G17" s="25">
        <f t="shared" si="4"/>
        <v>0.81679999999999997</v>
      </c>
      <c r="H17" s="25">
        <f t="shared" si="4"/>
        <v>0.17493333333333339</v>
      </c>
      <c r="I17" s="25">
        <f t="shared" si="4"/>
        <v>0.47477333333333338</v>
      </c>
      <c r="J17" s="25">
        <f t="shared" si="4"/>
        <v>1.1169066666666667</v>
      </c>
      <c r="K17" s="25">
        <f t="shared" si="4"/>
        <v>0.6869333333333334</v>
      </c>
      <c r="L17" s="25">
        <f t="shared" si="4"/>
        <v>0.47738666666666663</v>
      </c>
      <c r="M17" s="25">
        <f t="shared" si="4"/>
        <v>1.0986133333333332</v>
      </c>
      <c r="N17" s="25">
        <f t="shared" si="4"/>
        <v>0.17333333333333334</v>
      </c>
      <c r="O17" s="25">
        <f t="shared" si="4"/>
        <v>0.63007999999999997</v>
      </c>
      <c r="P17" s="25">
        <f t="shared" si="4"/>
        <v>0.59093333333333331</v>
      </c>
      <c r="Q17" s="25">
        <f t="shared" si="4"/>
        <v>0.50160000000000005</v>
      </c>
      <c r="R17" s="25">
        <f t="shared" si="4"/>
        <v>0.71279999999999999</v>
      </c>
      <c r="S17" s="25">
        <f t="shared" si="4"/>
        <v>1.3972800000000001</v>
      </c>
      <c r="T17" s="25">
        <f t="shared" si="4"/>
        <v>1.3570666666666666</v>
      </c>
      <c r="U17" s="25">
        <f t="shared" si="4"/>
        <v>0.17093333333333338</v>
      </c>
      <c r="V17" s="25">
        <f t="shared" si="4"/>
        <v>0.17093333333333338</v>
      </c>
      <c r="W17" s="25">
        <f t="shared" si="4"/>
        <v>0.68666666666666665</v>
      </c>
      <c r="X17" s="25">
        <f t="shared" si="4"/>
        <v>2.2021333333333333</v>
      </c>
      <c r="Y17" s="25">
        <f t="shared" si="4"/>
        <v>0.43823999999999996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1.4376</v>
      </c>
      <c r="G18" s="25">
        <f t="shared" si="4"/>
        <v>0.47919999999999996</v>
      </c>
      <c r="H18" s="25">
        <f t="shared" si="4"/>
        <v>0</v>
      </c>
      <c r="I18" s="25">
        <f t="shared" si="4"/>
        <v>0</v>
      </c>
      <c r="J18" s="25">
        <f t="shared" si="4"/>
        <v>0.95840000000000003</v>
      </c>
      <c r="K18" s="25">
        <f t="shared" si="4"/>
        <v>0.87919999999999998</v>
      </c>
      <c r="L18" s="25">
        <f t="shared" si="4"/>
        <v>0</v>
      </c>
      <c r="M18" s="25">
        <f t="shared" si="4"/>
        <v>0.88639999999999997</v>
      </c>
      <c r="N18" s="25">
        <f t="shared" si="4"/>
        <v>0.47919999999999996</v>
      </c>
      <c r="O18" s="25">
        <f t="shared" si="4"/>
        <v>0.95840000000000003</v>
      </c>
      <c r="P18" s="25">
        <f t="shared" si="4"/>
        <v>0</v>
      </c>
      <c r="Q18" s="25">
        <f t="shared" si="4"/>
        <v>0</v>
      </c>
      <c r="R18" s="25">
        <f t="shared" si="4"/>
        <v>0.95840000000000003</v>
      </c>
      <c r="S18" s="25">
        <f t="shared" si="4"/>
        <v>0.84560000000000002</v>
      </c>
      <c r="T18" s="25">
        <f t="shared" si="4"/>
        <v>0</v>
      </c>
      <c r="U18" s="25">
        <f t="shared" si="4"/>
        <v>0</v>
      </c>
      <c r="V18" s="25">
        <f t="shared" si="4"/>
        <v>0.95840000000000003</v>
      </c>
      <c r="W18" s="25">
        <f t="shared" si="4"/>
        <v>0.47919999999999996</v>
      </c>
      <c r="X18" s="25">
        <f t="shared" si="4"/>
        <v>0</v>
      </c>
      <c r="Y18" s="25">
        <f t="shared" si="4"/>
        <v>1.7584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1.0968627450980393</v>
      </c>
      <c r="G19" s="25">
        <f t="shared" si="4"/>
        <v>1.135686274509804</v>
      </c>
      <c r="H19" s="25">
        <f t="shared" si="4"/>
        <v>1.3035294117647058</v>
      </c>
      <c r="I19" s="25">
        <f t="shared" si="4"/>
        <v>1.6627450980392156</v>
      </c>
      <c r="J19" s="25">
        <f t="shared" si="4"/>
        <v>1.5313725490196077</v>
      </c>
      <c r="K19" s="25">
        <f t="shared" si="4"/>
        <v>1.7662745098039214</v>
      </c>
      <c r="L19" s="25">
        <f t="shared" si="4"/>
        <v>1.6592156862745098</v>
      </c>
      <c r="M19" s="25">
        <f t="shared" si="4"/>
        <v>2.2333333333333334</v>
      </c>
      <c r="N19" s="25">
        <f t="shared" si="4"/>
        <v>1.1003921568627451</v>
      </c>
      <c r="O19" s="25">
        <f t="shared" si="4"/>
        <v>1.1690196078431372</v>
      </c>
      <c r="P19" s="25">
        <f t="shared" si="4"/>
        <v>0.94039215686274513</v>
      </c>
      <c r="Q19" s="25">
        <f t="shared" si="4"/>
        <v>1.1670588235294117</v>
      </c>
      <c r="R19" s="25">
        <f t="shared" si="4"/>
        <v>0.86549019607843136</v>
      </c>
      <c r="S19" s="25">
        <f t="shared" si="4"/>
        <v>1.0968627450980393</v>
      </c>
      <c r="T19" s="25">
        <f t="shared" si="4"/>
        <v>1.6866666666666665</v>
      </c>
      <c r="U19" s="25">
        <f t="shared" si="4"/>
        <v>1.1925490196078432</v>
      </c>
      <c r="V19" s="25">
        <f t="shared" si="4"/>
        <v>1.2960784313725491</v>
      </c>
      <c r="W19" s="25">
        <f t="shared" si="4"/>
        <v>1.1109803921568628</v>
      </c>
      <c r="X19" s="25">
        <f t="shared" si="4"/>
        <v>0.92470588235294116</v>
      </c>
      <c r="Y19" s="25">
        <f t="shared" si="4"/>
        <v>1.4023529411764706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0.21677130044843052</v>
      </c>
      <c r="G20" s="25">
        <f t="shared" si="4"/>
        <v>0.46816143497757845</v>
      </c>
      <c r="H20" s="25">
        <f t="shared" si="4"/>
        <v>0.25515695067264577</v>
      </c>
      <c r="I20" s="25">
        <f t="shared" si="4"/>
        <v>0</v>
      </c>
      <c r="J20" s="25">
        <f t="shared" si="4"/>
        <v>0.20412556053811659</v>
      </c>
      <c r="K20" s="25">
        <f t="shared" si="4"/>
        <v>0</v>
      </c>
      <c r="L20" s="25">
        <f t="shared" si="4"/>
        <v>0.25515695067264577</v>
      </c>
      <c r="M20" s="25">
        <f t="shared" si="4"/>
        <v>0</v>
      </c>
      <c r="N20" s="25">
        <f t="shared" si="4"/>
        <v>0</v>
      </c>
      <c r="O20" s="25">
        <f t="shared" si="4"/>
        <v>0.68968609865470853</v>
      </c>
      <c r="P20" s="25">
        <f t="shared" si="4"/>
        <v>0</v>
      </c>
      <c r="Q20" s="25">
        <f t="shared" si="4"/>
        <v>0.37452914798206283</v>
      </c>
      <c r="R20" s="25">
        <f t="shared" si="4"/>
        <v>0.25515695067264577</v>
      </c>
      <c r="S20" s="25">
        <f t="shared" si="4"/>
        <v>0.21677130044843052</v>
      </c>
      <c r="T20" s="25">
        <f t="shared" si="4"/>
        <v>0.73784753363228694</v>
      </c>
      <c r="U20" s="25">
        <f t="shared" si="4"/>
        <v>0</v>
      </c>
      <c r="V20" s="25">
        <f t="shared" si="4"/>
        <v>0</v>
      </c>
      <c r="W20" s="25">
        <f t="shared" si="4"/>
        <v>0.19130044843049332</v>
      </c>
      <c r="X20" s="25">
        <f t="shared" si="4"/>
        <v>0.39784753363228698</v>
      </c>
      <c r="Y20" s="25">
        <f t="shared" si="4"/>
        <v>0.46816143497757845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1.3584000000000001</v>
      </c>
      <c r="G21" s="25">
        <f t="shared" si="4"/>
        <v>0</v>
      </c>
      <c r="H21" s="25">
        <f t="shared" si="4"/>
        <v>0.95935999999999999</v>
      </c>
      <c r="I21" s="25">
        <f t="shared" si="4"/>
        <v>0</v>
      </c>
      <c r="J21" s="25">
        <f t="shared" si="4"/>
        <v>0</v>
      </c>
      <c r="K21" s="25">
        <f t="shared" si="4"/>
        <v>0</v>
      </c>
      <c r="L21" s="25">
        <f t="shared" si="4"/>
        <v>0.47919999999999996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</v>
      </c>
      <c r="Q21" s="25">
        <f t="shared" si="4"/>
        <v>0.47919999999999996</v>
      </c>
      <c r="R21" s="25">
        <f t="shared" si="4"/>
        <v>0.16000000000000003</v>
      </c>
      <c r="S21" s="25">
        <f t="shared" si="4"/>
        <v>0</v>
      </c>
      <c r="T21" s="25">
        <f t="shared" si="4"/>
        <v>0</v>
      </c>
      <c r="U21" s="25">
        <f t="shared" si="4"/>
        <v>0</v>
      </c>
      <c r="V21" s="25">
        <f t="shared" si="4"/>
        <v>0</v>
      </c>
      <c r="W21" s="25">
        <f t="shared" si="4"/>
        <v>0.87919999999999998</v>
      </c>
      <c r="X21" s="25">
        <f t="shared" si="4"/>
        <v>0.97136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</v>
      </c>
      <c r="G22" s="27">
        <f t="shared" si="4"/>
        <v>0.96105263157894738</v>
      </c>
      <c r="H22" s="27">
        <f t="shared" si="4"/>
        <v>0.56650717703349285</v>
      </c>
      <c r="I22" s="27">
        <f t="shared" si="4"/>
        <v>0.83741626794258373</v>
      </c>
      <c r="J22" s="27">
        <f t="shared" si="4"/>
        <v>2.0576076555023923</v>
      </c>
      <c r="K22" s="27">
        <f t="shared" si="4"/>
        <v>0.37779904306220091</v>
      </c>
      <c r="L22" s="27">
        <f t="shared" si="4"/>
        <v>0.9799521531100478</v>
      </c>
      <c r="M22" s="27">
        <f t="shared" si="4"/>
        <v>1.1257894736842105</v>
      </c>
      <c r="N22" s="27">
        <f t="shared" si="4"/>
        <v>0.8938277511961723</v>
      </c>
      <c r="O22" s="27">
        <f t="shared" si="4"/>
        <v>0.7835885167464115</v>
      </c>
      <c r="P22" s="27">
        <f t="shared" si="4"/>
        <v>0.53444976076555029</v>
      </c>
      <c r="Q22" s="27">
        <f t="shared" si="4"/>
        <v>0.83133971291866027</v>
      </c>
      <c r="R22" s="27">
        <f t="shared" si="4"/>
        <v>0</v>
      </c>
      <c r="S22" s="27">
        <f t="shared" si="4"/>
        <v>0.62684210526315787</v>
      </c>
      <c r="T22" s="27">
        <f t="shared" si="4"/>
        <v>0.65928229665071769</v>
      </c>
      <c r="U22" s="27">
        <f t="shared" si="4"/>
        <v>0.60153110047846892</v>
      </c>
      <c r="V22" s="27">
        <f t="shared" si="4"/>
        <v>1.0203827751196173</v>
      </c>
      <c r="W22" s="27">
        <f t="shared" si="4"/>
        <v>1.1681339712918661</v>
      </c>
      <c r="X22" s="27">
        <f t="shared" si="4"/>
        <v>0.89387559808612438</v>
      </c>
      <c r="Y22" s="27">
        <f t="shared" si="4"/>
        <v>0.65368421052631587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0.445456936226167</v>
      </c>
      <c r="G23" s="25">
        <f t="shared" si="4"/>
        <v>0.76391847468770546</v>
      </c>
      <c r="H23" s="25">
        <f t="shared" si="4"/>
        <v>0.53360946745562132</v>
      </c>
      <c r="I23" s="25">
        <f t="shared" si="4"/>
        <v>0.6259566074950691</v>
      </c>
      <c r="J23" s="25">
        <f>(J12-$C12)/$C12+1</f>
        <v>1.2062721893491124</v>
      </c>
      <c r="K23" s="25">
        <f>(K12-$C12)/$C12+1</f>
        <v>0.64156476002629848</v>
      </c>
      <c r="L23" s="25">
        <f>(L12-$C12)/$C12+1</f>
        <v>0.7419723865877712</v>
      </c>
      <c r="M23" s="25">
        <f t="shared" si="4"/>
        <v>1.0275213675213675</v>
      </c>
      <c r="N23" s="25">
        <f t="shared" si="4"/>
        <v>0.51224194608809992</v>
      </c>
      <c r="O23" s="25">
        <f t="shared" si="4"/>
        <v>0.74656147271531892</v>
      </c>
      <c r="P23" s="25">
        <f t="shared" si="4"/>
        <v>0.4502301117685733</v>
      </c>
      <c r="Q23" s="25">
        <f t="shared" si="4"/>
        <v>0.64209072978303749</v>
      </c>
      <c r="R23" s="25">
        <f t="shared" si="4"/>
        <v>0.45016436554898098</v>
      </c>
      <c r="S23" s="25">
        <f>(S12-$C12)/$C12+1</f>
        <v>0.8019329388560158</v>
      </c>
      <c r="T23" s="25">
        <f>(T12-$C12)/$C12+1</f>
        <v>0.90671926364234057</v>
      </c>
      <c r="U23" s="25">
        <f>(U12-$C12)/$C12+1</f>
        <v>0.40738987508218283</v>
      </c>
      <c r="V23" s="25">
        <f>(V12-$C12)/$C12+1</f>
        <v>0.61861932938856024</v>
      </c>
      <c r="W23" s="25">
        <f>(W12-$C12)/$C12+1</f>
        <v>0.8162656147271532</v>
      </c>
      <c r="X23" s="25">
        <f t="shared" si="4"/>
        <v>1.0817751479289941</v>
      </c>
      <c r="Y23" s="25">
        <f t="shared" si="4"/>
        <v>0.73595003287310978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3220</v>
      </c>
      <c r="G27" s="23">
        <v>18535</v>
      </c>
      <c r="H27" s="23">
        <v>21815</v>
      </c>
      <c r="I27" s="23">
        <v>30717</v>
      </c>
      <c r="J27" s="23">
        <v>51659</v>
      </c>
      <c r="K27" s="23">
        <v>64539</v>
      </c>
      <c r="L27" s="122">
        <v>73489</v>
      </c>
      <c r="M27" s="122">
        <v>94088</v>
      </c>
      <c r="N27" s="122">
        <v>97338</v>
      </c>
      <c r="O27" s="122">
        <v>109152</v>
      </c>
      <c r="P27" s="122">
        <v>120232</v>
      </c>
      <c r="Q27" s="23">
        <v>129637</v>
      </c>
      <c r="R27" s="23">
        <v>143002</v>
      </c>
      <c r="S27" s="23">
        <v>169201</v>
      </c>
      <c r="T27" s="23">
        <v>194646</v>
      </c>
      <c r="U27" s="23">
        <v>197851</v>
      </c>
      <c r="V27" s="23">
        <v>201056</v>
      </c>
      <c r="W27" s="23">
        <v>213931</v>
      </c>
      <c r="X27" s="23">
        <v>252016</v>
      </c>
      <c r="Y27" s="23">
        <v>263438</v>
      </c>
      <c r="Z27" s="109">
        <f>+Y27/C48</f>
        <v>0.70250133333333331</v>
      </c>
      <c r="AA27" s="97">
        <f t="shared" ref="AA27:AA33" si="8">+Z27-Y$25</f>
        <v>-0.29749866666666669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8985</v>
      </c>
      <c r="G28" s="34">
        <v>11980</v>
      </c>
      <c r="H28" s="34">
        <v>11980</v>
      </c>
      <c r="I28" s="34">
        <v>11980</v>
      </c>
      <c r="J28" s="34">
        <v>17970</v>
      </c>
      <c r="K28" s="34">
        <v>23465</v>
      </c>
      <c r="L28" s="122">
        <v>23465</v>
      </c>
      <c r="M28" s="122">
        <v>29005</v>
      </c>
      <c r="N28" s="122">
        <v>32000</v>
      </c>
      <c r="O28" s="122">
        <v>37990</v>
      </c>
      <c r="P28" s="122">
        <v>37990</v>
      </c>
      <c r="Q28" s="23">
        <v>37990</v>
      </c>
      <c r="R28" s="23">
        <v>43980</v>
      </c>
      <c r="S28" s="23">
        <v>49265</v>
      </c>
      <c r="T28" s="23">
        <v>49265</v>
      </c>
      <c r="U28" s="23">
        <v>49265</v>
      </c>
      <c r="V28" s="121">
        <v>55255</v>
      </c>
      <c r="W28" s="23">
        <v>57950</v>
      </c>
      <c r="X28" s="23">
        <v>57950</v>
      </c>
      <c r="Y28" s="23">
        <v>49265</v>
      </c>
      <c r="Z28" s="109">
        <f>+Y28/C49</f>
        <v>0.39412000000000003</v>
      </c>
      <c r="AA28" s="113">
        <f t="shared" si="8"/>
        <v>-0.60587999999999997</v>
      </c>
      <c r="AX28"/>
    </row>
    <row r="29" spans="2:50">
      <c r="B29" s="4" t="str">
        <f>+B19</f>
        <v>Boston</v>
      </c>
      <c r="C29" s="4"/>
      <c r="D29" s="4"/>
      <c r="E29" s="23"/>
      <c r="F29" s="34">
        <v>50035</v>
      </c>
      <c r="G29" s="34">
        <v>61520</v>
      </c>
      <c r="H29" s="34">
        <v>81135</v>
      </c>
      <c r="I29" s="34">
        <v>102335</v>
      </c>
      <c r="J29" s="34">
        <v>121860</v>
      </c>
      <c r="K29" s="34">
        <v>144380</v>
      </c>
      <c r="L29" s="122">
        <v>165535</v>
      </c>
      <c r="M29" s="122">
        <v>186015</v>
      </c>
      <c r="N29" s="122">
        <v>202050</v>
      </c>
      <c r="O29" s="122">
        <v>205045</v>
      </c>
      <c r="P29" s="122">
        <v>227695</v>
      </c>
      <c r="Q29" s="23">
        <v>242575</v>
      </c>
      <c r="R29" s="23">
        <v>242575</v>
      </c>
      <c r="S29" s="23">
        <v>264600</v>
      </c>
      <c r="T29" s="23">
        <v>278610</v>
      </c>
      <c r="U29" s="23">
        <v>293815</v>
      </c>
      <c r="V29" s="121">
        <v>307840</v>
      </c>
      <c r="W29" s="23">
        <v>296180</v>
      </c>
      <c r="X29" s="23">
        <v>290190</v>
      </c>
      <c r="Y29" s="23">
        <v>290190</v>
      </c>
      <c r="Z29" s="109">
        <f>+Y29/C50</f>
        <v>1.1379999999999999</v>
      </c>
      <c r="AA29" s="113">
        <f t="shared" si="8"/>
        <v>0.1379999999999999</v>
      </c>
      <c r="AX29"/>
    </row>
    <row r="30" spans="2:50" s="4" customFormat="1" ht="12.75">
      <c r="B30" s="4" t="str">
        <f>+B20</f>
        <v>Canada</v>
      </c>
      <c r="E30" s="23"/>
      <c r="F30" s="34">
        <v>14516</v>
      </c>
      <c r="G30" s="34">
        <v>19736</v>
      </c>
      <c r="H30" s="34">
        <v>19736</v>
      </c>
      <c r="I30" s="34">
        <v>19736</v>
      </c>
      <c r="J30" s="34">
        <v>22012</v>
      </c>
      <c r="K30" s="34">
        <v>24857</v>
      </c>
      <c r="L30" s="122">
        <v>27706</v>
      </c>
      <c r="M30" s="122">
        <v>28700</v>
      </c>
      <c r="N30" s="122">
        <v>28700</v>
      </c>
      <c r="O30" s="122">
        <v>33208</v>
      </c>
      <c r="P30" s="122">
        <v>33208</v>
      </c>
      <c r="Q30" s="34">
        <v>34965</v>
      </c>
      <c r="R30" s="34">
        <v>39141</v>
      </c>
      <c r="S30" s="34">
        <v>41987</v>
      </c>
      <c r="T30" s="34">
        <v>48197</v>
      </c>
      <c r="U30" s="34">
        <v>48197</v>
      </c>
      <c r="V30" s="121">
        <v>48197</v>
      </c>
      <c r="W30" s="34">
        <v>48195</v>
      </c>
      <c r="X30" s="34">
        <v>59202</v>
      </c>
      <c r="Y30" s="34">
        <v>59202</v>
      </c>
      <c r="Z30" s="109">
        <f>Y30/C51</f>
        <v>0.26547982062780268</v>
      </c>
      <c r="AA30" s="113">
        <f t="shared" si="8"/>
        <v>-0.73452017937219738</v>
      </c>
    </row>
    <row r="31" spans="2:50" s="4" customFormat="1" ht="12.75">
      <c r="B31" s="4" t="s">
        <v>63</v>
      </c>
      <c r="E31" s="23"/>
      <c r="F31" s="34">
        <v>0</v>
      </c>
      <c r="G31" s="34">
        <v>0</v>
      </c>
      <c r="H31" s="34">
        <v>5996</v>
      </c>
      <c r="I31" s="34">
        <v>5996</v>
      </c>
      <c r="J31" s="34">
        <v>5996</v>
      </c>
      <c r="K31" s="34">
        <v>5996</v>
      </c>
      <c r="L31" s="122">
        <v>8991</v>
      </c>
      <c r="M31" s="122">
        <v>8991</v>
      </c>
      <c r="N31" s="122">
        <v>8991</v>
      </c>
      <c r="O31" s="122">
        <v>8991</v>
      </c>
      <c r="P31" s="122">
        <v>8991</v>
      </c>
      <c r="Q31" s="34">
        <v>11986</v>
      </c>
      <c r="R31" s="34">
        <v>12986</v>
      </c>
      <c r="S31" s="34">
        <v>12986</v>
      </c>
      <c r="T31" s="34">
        <v>12986</v>
      </c>
      <c r="U31" s="34">
        <v>12986</v>
      </c>
      <c r="V31" s="121">
        <v>12986</v>
      </c>
      <c r="W31" s="34">
        <v>18481</v>
      </c>
      <c r="X31" s="34">
        <v>24552</v>
      </c>
      <c r="Y31" s="34">
        <v>24552</v>
      </c>
      <c r="Z31" s="109">
        <f>Y31/C52</f>
        <v>0.19641600000000001</v>
      </c>
      <c r="AA31" s="113">
        <f t="shared" si="8"/>
        <v>-0.80358399999999996</v>
      </c>
    </row>
    <row r="32" spans="2:50">
      <c r="B32" s="5" t="str">
        <f>+B22</f>
        <v>Norwich</v>
      </c>
      <c r="C32" s="19"/>
      <c r="D32" s="19"/>
      <c r="E32" s="35"/>
      <c r="F32" s="35">
        <v>0</v>
      </c>
      <c r="G32" s="35">
        <v>14464</v>
      </c>
      <c r="H32" s="35">
        <v>26305</v>
      </c>
      <c r="I32" s="35">
        <v>43807</v>
      </c>
      <c r="J32" s="35">
        <v>86813</v>
      </c>
      <c r="K32" s="35">
        <v>94710</v>
      </c>
      <c r="L32" s="124">
        <v>115191</v>
      </c>
      <c r="M32" s="124">
        <v>138721</v>
      </c>
      <c r="N32" s="124">
        <v>154420</v>
      </c>
      <c r="O32" s="124">
        <v>170797</v>
      </c>
      <c r="P32" s="124">
        <v>181967</v>
      </c>
      <c r="Q32" s="35">
        <v>199343</v>
      </c>
      <c r="R32" s="35">
        <v>199343</v>
      </c>
      <c r="S32" s="35">
        <v>210702</v>
      </c>
      <c r="T32" s="35">
        <v>221529</v>
      </c>
      <c r="U32" s="35">
        <v>222931</v>
      </c>
      <c r="V32" s="35">
        <v>247210</v>
      </c>
      <c r="W32" s="35">
        <v>271656</v>
      </c>
      <c r="X32" s="35">
        <v>290339</v>
      </c>
      <c r="Y32" s="35">
        <v>297258</v>
      </c>
      <c r="Z32" s="110">
        <f>+Y32/C53</f>
        <v>0.71114354066985641</v>
      </c>
      <c r="AA32" s="113">
        <f t="shared" si="8"/>
        <v>-0.28885645933014359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76756</v>
      </c>
      <c r="G33" s="10">
        <f>SUM(G27:G32)</f>
        <v>126235</v>
      </c>
      <c r="H33" s="10">
        <f>SUM(H27:H32)</f>
        <v>166967</v>
      </c>
      <c r="I33" s="10">
        <f>SUM(I27:I32)</f>
        <v>214571</v>
      </c>
      <c r="J33" s="4">
        <f t="shared" ref="J33:Y33" si="9">SUM(J27:J32)</f>
        <v>306310</v>
      </c>
      <c r="K33" s="10">
        <f t="shared" si="9"/>
        <v>357947</v>
      </c>
      <c r="L33" s="10">
        <f t="shared" si="9"/>
        <v>414377</v>
      </c>
      <c r="M33" s="10">
        <f t="shared" si="9"/>
        <v>485520</v>
      </c>
      <c r="N33" s="10">
        <f t="shared" si="9"/>
        <v>523499</v>
      </c>
      <c r="O33" s="4">
        <f>SUM(O27:O32)</f>
        <v>565183</v>
      </c>
      <c r="P33" s="10">
        <f t="shared" si="9"/>
        <v>610083</v>
      </c>
      <c r="Q33" s="10">
        <f t="shared" si="9"/>
        <v>656496</v>
      </c>
      <c r="R33" s="10">
        <f t="shared" si="9"/>
        <v>681027</v>
      </c>
      <c r="S33" s="10">
        <f t="shared" si="9"/>
        <v>748741</v>
      </c>
      <c r="T33" s="4">
        <f t="shared" si="9"/>
        <v>805233</v>
      </c>
      <c r="U33" s="10">
        <f t="shared" si="9"/>
        <v>825045</v>
      </c>
      <c r="V33" s="10">
        <f t="shared" si="9"/>
        <v>872544</v>
      </c>
      <c r="W33" s="10">
        <f t="shared" si="9"/>
        <v>906393</v>
      </c>
      <c r="X33" s="10">
        <f t="shared" si="9"/>
        <v>974249</v>
      </c>
      <c r="Y33" s="10">
        <f t="shared" si="9"/>
        <v>983905</v>
      </c>
      <c r="Z33" s="111">
        <f>+Y33/C54</f>
        <v>0.64688034188034194</v>
      </c>
      <c r="AA33" s="118">
        <f t="shared" si="8"/>
        <v>-0.35311965811965806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5.0464168310322154E-2</v>
      </c>
      <c r="G34" s="30">
        <f t="shared" si="10"/>
        <v>8.2994740302432604E-2</v>
      </c>
      <c r="H34" s="30">
        <f t="shared" si="10"/>
        <v>0.10977449046679816</v>
      </c>
      <c r="I34" s="30">
        <f t="shared" si="10"/>
        <v>0.14107232084155161</v>
      </c>
      <c r="J34" s="30">
        <f t="shared" si="10"/>
        <v>0.20138724523339907</v>
      </c>
      <c r="K34" s="30">
        <f t="shared" si="10"/>
        <v>0.23533662064431296</v>
      </c>
      <c r="L34" s="30">
        <f t="shared" si="10"/>
        <v>0.27243721236028928</v>
      </c>
      <c r="M34" s="30">
        <f t="shared" si="10"/>
        <v>0.31921104536489153</v>
      </c>
      <c r="N34" s="30">
        <f t="shared" si="10"/>
        <v>0.34418080210387902</v>
      </c>
      <c r="O34" s="30">
        <f>+O33/$C$54</f>
        <v>0.37158645627876397</v>
      </c>
      <c r="P34" s="30">
        <f t="shared" ref="P34:Y34" si="11">+P33/$C$54</f>
        <v>0.40110650887573962</v>
      </c>
      <c r="Q34" s="30">
        <f t="shared" si="11"/>
        <v>0.4316213017751479</v>
      </c>
      <c r="R34" s="30">
        <f t="shared" si="11"/>
        <v>0.44774950690335308</v>
      </c>
      <c r="S34" s="30">
        <f t="shared" si="11"/>
        <v>0.49226890203813278</v>
      </c>
      <c r="T34" s="30">
        <f t="shared" si="11"/>
        <v>0.52941025641025641</v>
      </c>
      <c r="U34" s="30">
        <f t="shared" si="11"/>
        <v>0.54243589743589748</v>
      </c>
      <c r="V34" s="30">
        <f t="shared" si="11"/>
        <v>0.57366469428007894</v>
      </c>
      <c r="W34" s="30">
        <f t="shared" si="11"/>
        <v>0.59591913214990133</v>
      </c>
      <c r="X34" s="30">
        <f t="shared" si="11"/>
        <v>0.64053188691650231</v>
      </c>
      <c r="Y34" s="30">
        <f t="shared" si="11"/>
        <v>0.64688034188034194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AX37"/>
    </row>
    <row r="38" spans="2:50">
      <c r="B38" s="4" t="s">
        <v>0</v>
      </c>
      <c r="C38" s="17"/>
      <c r="D38" s="17"/>
      <c r="E38" s="17"/>
      <c r="F38" s="17">
        <f>(F48/$C$48)</f>
        <v>0.17173333333333332</v>
      </c>
      <c r="G38" s="17">
        <f t="shared" ref="G38:Y38" si="13">(G48/$C$48)</f>
        <v>0.49426666666666669</v>
      </c>
      <c r="H38" s="17">
        <f t="shared" si="13"/>
        <v>0.38782222222222223</v>
      </c>
      <c r="I38" s="17">
        <f t="shared" si="13"/>
        <v>0.40955999999999998</v>
      </c>
      <c r="J38" s="17">
        <f t="shared" si="13"/>
        <v>0.55102933333333337</v>
      </c>
      <c r="K38" s="17">
        <f t="shared" si="13"/>
        <v>0.57367999999999997</v>
      </c>
      <c r="L38" s="17">
        <f t="shared" si="13"/>
        <v>0.55991619047619046</v>
      </c>
      <c r="M38" s="17">
        <f t="shared" si="13"/>
        <v>0.62725333333333333</v>
      </c>
      <c r="N38" s="17">
        <f t="shared" si="13"/>
        <v>0.57681777777777787</v>
      </c>
      <c r="O38" s="17">
        <f t="shared" si="13"/>
        <v>0.58214399999999999</v>
      </c>
      <c r="P38" s="17">
        <f t="shared" si="13"/>
        <v>0.5829430303030303</v>
      </c>
      <c r="Q38" s="17">
        <f t="shared" si="13"/>
        <v>0.57616444444444448</v>
      </c>
      <c r="R38" s="17">
        <f t="shared" si="13"/>
        <v>0.58667487179487177</v>
      </c>
      <c r="S38" s="17">
        <f t="shared" si="13"/>
        <v>0.64457523809523798</v>
      </c>
      <c r="T38" s="17">
        <f t="shared" si="13"/>
        <v>0.69207466666666662</v>
      </c>
      <c r="U38" s="17">
        <f t="shared" si="13"/>
        <v>0.65950333333333333</v>
      </c>
      <c r="V38" s="17">
        <f t="shared" si="13"/>
        <v>0.63076392156862737</v>
      </c>
      <c r="W38" s="17">
        <f t="shared" si="13"/>
        <v>0.63386962962962956</v>
      </c>
      <c r="X38" s="17">
        <f t="shared" si="13"/>
        <v>0.70741333333333334</v>
      </c>
      <c r="Y38" s="17">
        <f t="shared" si="13"/>
        <v>0.70250133333333331</v>
      </c>
      <c r="AX38"/>
    </row>
    <row r="39" spans="2:50">
      <c r="B39" s="4" t="s">
        <v>64</v>
      </c>
      <c r="C39" s="17"/>
      <c r="D39" s="17"/>
      <c r="E39" s="17"/>
      <c r="F39" s="17">
        <f>(F49/$C$49)</f>
        <v>1.4376</v>
      </c>
      <c r="G39" s="17">
        <f t="shared" ref="G39:Y39" si="14">(G49/$C$49)</f>
        <v>0.95840000000000003</v>
      </c>
      <c r="H39" s="17">
        <f t="shared" si="14"/>
        <v>0.63893333333333335</v>
      </c>
      <c r="I39" s="17">
        <f t="shared" si="14"/>
        <v>0.47920000000000001</v>
      </c>
      <c r="J39" s="17">
        <f t="shared" si="14"/>
        <v>0.57504</v>
      </c>
      <c r="K39" s="17">
        <f t="shared" si="14"/>
        <v>0.62573333333333336</v>
      </c>
      <c r="L39" s="17">
        <f t="shared" si="14"/>
        <v>0.53634285714285712</v>
      </c>
      <c r="M39" s="17">
        <f t="shared" si="14"/>
        <v>0.58009999999999995</v>
      </c>
      <c r="N39" s="17">
        <f t="shared" si="14"/>
        <v>0.56888888888888889</v>
      </c>
      <c r="O39" s="17">
        <f t="shared" si="14"/>
        <v>0.60784000000000005</v>
      </c>
      <c r="P39" s="17">
        <f t="shared" si="14"/>
        <v>0.55258181818181806</v>
      </c>
      <c r="Q39" s="17">
        <f t="shared" si="14"/>
        <v>0.50653333333333339</v>
      </c>
      <c r="R39" s="17">
        <f t="shared" si="14"/>
        <v>0.54129230769230763</v>
      </c>
      <c r="S39" s="17">
        <f t="shared" si="14"/>
        <v>0.56302857142857143</v>
      </c>
      <c r="T39" s="17">
        <f t="shared" si="14"/>
        <v>0.52549333333333337</v>
      </c>
      <c r="U39" s="17">
        <f t="shared" si="14"/>
        <v>0.49264999999999998</v>
      </c>
      <c r="V39" s="17">
        <f t="shared" si="14"/>
        <v>0.52004705882352942</v>
      </c>
      <c r="W39" s="17">
        <f t="shared" si="14"/>
        <v>0.51511111111111108</v>
      </c>
      <c r="X39" s="17">
        <f t="shared" si="14"/>
        <v>0.48799999999999999</v>
      </c>
      <c r="Y39" s="17">
        <f t="shared" si="14"/>
        <v>0.39412000000000003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3.9243137254901961</v>
      </c>
      <c r="G40" s="17">
        <f t="shared" si="15"/>
        <v>2.4125490196078432</v>
      </c>
      <c r="H40" s="17">
        <f t="shared" si="15"/>
        <v>2.1211764705882352</v>
      </c>
      <c r="I40" s="17">
        <f t="shared" si="15"/>
        <v>2.0065686274509802</v>
      </c>
      <c r="J40" s="17">
        <f t="shared" si="15"/>
        <v>1.9115294117647059</v>
      </c>
      <c r="K40" s="17">
        <f t="shared" si="15"/>
        <v>1.8873202614379083</v>
      </c>
      <c r="L40" s="17">
        <f t="shared" si="15"/>
        <v>1.8547338935574229</v>
      </c>
      <c r="M40" s="17">
        <f t="shared" si="15"/>
        <v>1.8236764705882353</v>
      </c>
      <c r="N40" s="17">
        <f t="shared" si="15"/>
        <v>1.7607843137254902</v>
      </c>
      <c r="O40" s="17">
        <f t="shared" si="15"/>
        <v>1.6081960784313725</v>
      </c>
      <c r="P40" s="17">
        <f t="shared" si="15"/>
        <v>1.62349376114082</v>
      </c>
      <c r="Q40" s="17">
        <f t="shared" si="15"/>
        <v>1.5854575163398692</v>
      </c>
      <c r="R40" s="17">
        <f t="shared" si="15"/>
        <v>1.4634992458521867</v>
      </c>
      <c r="S40" s="17">
        <f t="shared" si="15"/>
        <v>1.4823529411764707</v>
      </c>
      <c r="T40" s="17">
        <f t="shared" si="15"/>
        <v>1.4567843137254901</v>
      </c>
      <c r="U40" s="17">
        <f t="shared" si="15"/>
        <v>1.4402696078431372</v>
      </c>
      <c r="V40" s="17">
        <f t="shared" si="15"/>
        <v>1.4202537485582469</v>
      </c>
      <c r="W40" s="17">
        <f t="shared" si="15"/>
        <v>1.2905446623093682</v>
      </c>
      <c r="X40" s="17">
        <f t="shared" si="15"/>
        <v>1.1978947368421053</v>
      </c>
      <c r="Y40" s="17">
        <f t="shared" si="15"/>
        <v>1.1379999999999999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1.301883408071749</v>
      </c>
      <c r="G41" s="17">
        <f t="shared" si="16"/>
        <v>0.8850224215246637</v>
      </c>
      <c r="H41" s="17">
        <f t="shared" si="16"/>
        <v>0.59001494768310914</v>
      </c>
      <c r="I41" s="17">
        <f t="shared" si="16"/>
        <v>0.44251121076233185</v>
      </c>
      <c r="J41" s="17">
        <f t="shared" si="16"/>
        <v>0.39483408071748877</v>
      </c>
      <c r="K41" s="17">
        <f t="shared" si="16"/>
        <v>0.37155455904334822</v>
      </c>
      <c r="L41" s="17">
        <f t="shared" si="16"/>
        <v>0.35497757847533634</v>
      </c>
      <c r="M41" s="17">
        <f t="shared" si="16"/>
        <v>0.3217488789237668</v>
      </c>
      <c r="N41" s="17">
        <f t="shared" si="16"/>
        <v>0.28599900348779272</v>
      </c>
      <c r="O41" s="17">
        <f t="shared" si="16"/>
        <v>0.29782959641255607</v>
      </c>
      <c r="P41" s="17">
        <f t="shared" si="16"/>
        <v>0.27075417855686917</v>
      </c>
      <c r="Q41" s="17">
        <f t="shared" si="16"/>
        <v>0.26132286995515697</v>
      </c>
      <c r="R41" s="17">
        <f t="shared" si="16"/>
        <v>0.27003104518799587</v>
      </c>
      <c r="S41" s="17">
        <f t="shared" si="16"/>
        <v>0.26897501601537471</v>
      </c>
      <c r="T41" s="17">
        <f t="shared" si="16"/>
        <v>0.28817339312406576</v>
      </c>
      <c r="U41" s="17">
        <f t="shared" si="16"/>
        <v>0.27016255605381168</v>
      </c>
      <c r="V41" s="17">
        <f t="shared" si="16"/>
        <v>0.25427064099182273</v>
      </c>
      <c r="W41" s="17">
        <f t="shared" si="16"/>
        <v>0.24013452914798206</v>
      </c>
      <c r="X41" s="17">
        <f t="shared" si="16"/>
        <v>0.27945244276610809</v>
      </c>
      <c r="Y41" s="17">
        <f t="shared" si="16"/>
        <v>0.26547982062780268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</v>
      </c>
      <c r="H42" s="17">
        <f t="shared" si="16"/>
        <v>0.17925261584454411</v>
      </c>
      <c r="I42" s="17">
        <f t="shared" si="16"/>
        <v>0.13443946188340808</v>
      </c>
      <c r="J42" s="17">
        <f t="shared" si="16"/>
        <v>0.10755156950672645</v>
      </c>
      <c r="K42" s="17">
        <f t="shared" si="16"/>
        <v>8.9626307922272053E-2</v>
      </c>
      <c r="L42" s="17">
        <f t="shared" si="16"/>
        <v>0.11519538757206918</v>
      </c>
      <c r="M42" s="17">
        <f t="shared" si="16"/>
        <v>0.10079596412556054</v>
      </c>
      <c r="N42" s="17">
        <f t="shared" si="16"/>
        <v>8.9596412556053814E-2</v>
      </c>
      <c r="O42" s="17">
        <f t="shared" si="16"/>
        <v>8.0636771300448426E-2</v>
      </c>
      <c r="P42" s="17">
        <f t="shared" si="16"/>
        <v>7.33061557276804E-2</v>
      </c>
      <c r="Q42" s="17">
        <f t="shared" si="16"/>
        <v>8.9581464872944702E-2</v>
      </c>
      <c r="R42" s="17">
        <f t="shared" si="16"/>
        <v>8.958951362538807E-2</v>
      </c>
      <c r="S42" s="17">
        <f t="shared" si="16"/>
        <v>8.319026265214606E-2</v>
      </c>
      <c r="T42" s="17">
        <f t="shared" si="16"/>
        <v>7.7644245142002993E-2</v>
      </c>
      <c r="U42" s="17">
        <f t="shared" si="16"/>
        <v>7.2791479820627808E-2</v>
      </c>
      <c r="V42" s="17">
        <f t="shared" si="16"/>
        <v>6.8509628066473233E-2</v>
      </c>
      <c r="W42" s="17">
        <f t="shared" si="16"/>
        <v>9.2082710513203797E-2</v>
      </c>
      <c r="X42" s="17">
        <f t="shared" si="16"/>
        <v>0.1158933207458107</v>
      </c>
      <c r="Y42" s="17">
        <f t="shared" si="16"/>
        <v>0.11009865470852018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</v>
      </c>
      <c r="G43" s="18">
        <f t="shared" si="17"/>
        <v>0.3460287081339713</v>
      </c>
      <c r="H43" s="18">
        <f t="shared" si="17"/>
        <v>0.41953748006379588</v>
      </c>
      <c r="I43" s="18">
        <f t="shared" si="17"/>
        <v>0.52400717703349287</v>
      </c>
      <c r="J43" s="18">
        <f t="shared" si="17"/>
        <v>0.83074641148325357</v>
      </c>
      <c r="K43" s="18">
        <f t="shared" si="17"/>
        <v>0.75526315789473686</v>
      </c>
      <c r="L43" s="18">
        <f t="shared" si="17"/>
        <v>0.78736158578263837</v>
      </c>
      <c r="M43" s="18">
        <f t="shared" si="17"/>
        <v>0.82967105263157892</v>
      </c>
      <c r="N43" s="18">
        <f t="shared" si="17"/>
        <v>0.82094630515683154</v>
      </c>
      <c r="O43" s="18">
        <f t="shared" si="17"/>
        <v>0.8172105263157895</v>
      </c>
      <c r="P43" s="18">
        <f t="shared" si="17"/>
        <v>0.79150500217485853</v>
      </c>
      <c r="Q43" s="18">
        <f t="shared" si="17"/>
        <v>0.79482854864433816</v>
      </c>
      <c r="R43" s="18">
        <f t="shared" si="17"/>
        <v>0.73368789105631216</v>
      </c>
      <c r="S43" s="18">
        <f t="shared" si="17"/>
        <v>0.72010252904989747</v>
      </c>
      <c r="T43" s="18">
        <f t="shared" si="17"/>
        <v>0.70663157894736839</v>
      </c>
      <c r="U43" s="18">
        <f t="shared" si="17"/>
        <v>0.66665968899521533</v>
      </c>
      <c r="V43" s="18">
        <f t="shared" si="17"/>
        <v>0.69577821559245701</v>
      </c>
      <c r="W43" s="18">
        <f t="shared" si="17"/>
        <v>0.72210526315789469</v>
      </c>
      <c r="X43" s="18">
        <f t="shared" si="17"/>
        <v>0.73114832535885166</v>
      </c>
      <c r="Y43" s="18">
        <f t="shared" si="17"/>
        <v>0.71114354066985641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1.0092833662064431</v>
      </c>
      <c r="G44" s="17">
        <f t="shared" si="18"/>
        <v>0.82994740302432612</v>
      </c>
      <c r="H44" s="17">
        <f t="shared" si="18"/>
        <v>0.73182993644532113</v>
      </c>
      <c r="I44" s="17">
        <f t="shared" si="18"/>
        <v>0.70536160420775806</v>
      </c>
      <c r="J44" s="17">
        <f t="shared" si="18"/>
        <v>0.80554898093359628</v>
      </c>
      <c r="K44" s="17">
        <f t="shared" si="18"/>
        <v>0.7844554021477097</v>
      </c>
      <c r="L44" s="17">
        <f t="shared" si="18"/>
        <v>0.77839203531511225</v>
      </c>
      <c r="M44" s="17">
        <f t="shared" si="18"/>
        <v>0.79802761341222883</v>
      </c>
      <c r="N44" s="17">
        <f t="shared" si="18"/>
        <v>0.76484622689750892</v>
      </c>
      <c r="O44" s="17">
        <f t="shared" si="18"/>
        <v>0.74317291255752793</v>
      </c>
      <c r="P44" s="17">
        <f t="shared" si="18"/>
        <v>0.72928456159225385</v>
      </c>
      <c r="Q44" s="17">
        <f t="shared" si="18"/>
        <v>0.71936883629191317</v>
      </c>
      <c r="R44" s="17">
        <f t="shared" si="18"/>
        <v>0.6888453952359278</v>
      </c>
      <c r="S44" s="17">
        <f t="shared" si="18"/>
        <v>0.70324128862590396</v>
      </c>
      <c r="T44" s="17">
        <f t="shared" si="18"/>
        <v>0.70588034188034188</v>
      </c>
      <c r="U44" s="17">
        <f t="shared" si="18"/>
        <v>0.67804487179487183</v>
      </c>
      <c r="V44" s="17">
        <f t="shared" si="18"/>
        <v>0.67489964032950456</v>
      </c>
      <c r="W44" s="17">
        <f t="shared" si="18"/>
        <v>0.66213236905544604</v>
      </c>
      <c r="X44" s="17">
        <f t="shared" si="18"/>
        <v>0.67424409149105513</v>
      </c>
      <c r="Y44" s="17">
        <f t="shared" si="18"/>
        <v>0.64688034188034194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375000</v>
      </c>
      <c r="D48" s="4"/>
      <c r="E48" s="4"/>
      <c r="F48" s="55">
        <f t="shared" ref="F48:Y53" si="20">(F27)/F$1*$Y$1</f>
        <v>64400</v>
      </c>
      <c r="G48" s="55">
        <f t="shared" si="20"/>
        <v>185350</v>
      </c>
      <c r="H48" s="55">
        <f t="shared" si="20"/>
        <v>145433.33333333334</v>
      </c>
      <c r="I48" s="55">
        <f t="shared" si="20"/>
        <v>153585</v>
      </c>
      <c r="J48" s="55">
        <f t="shared" si="20"/>
        <v>206636</v>
      </c>
      <c r="K48" s="55">
        <f t="shared" si="20"/>
        <v>215130</v>
      </c>
      <c r="L48" s="55">
        <f t="shared" si="20"/>
        <v>209968.57142857142</v>
      </c>
      <c r="M48" s="55">
        <f t="shared" si="20"/>
        <v>235220</v>
      </c>
      <c r="N48" s="55">
        <f t="shared" si="20"/>
        <v>216306.66666666669</v>
      </c>
      <c r="O48" s="55">
        <f t="shared" si="20"/>
        <v>218304</v>
      </c>
      <c r="P48" s="55">
        <f t="shared" si="20"/>
        <v>218603.63636363635</v>
      </c>
      <c r="Q48" s="55">
        <f t="shared" si="20"/>
        <v>216061.66666666669</v>
      </c>
      <c r="R48" s="55">
        <f t="shared" si="20"/>
        <v>220003.07692307691</v>
      </c>
      <c r="S48" s="55">
        <f t="shared" si="20"/>
        <v>241715.71428571426</v>
      </c>
      <c r="T48" s="55">
        <f t="shared" si="20"/>
        <v>259528</v>
      </c>
      <c r="U48" s="55">
        <f t="shared" si="20"/>
        <v>247313.75</v>
      </c>
      <c r="V48" s="55">
        <f t="shared" si="20"/>
        <v>236536.47058823527</v>
      </c>
      <c r="W48" s="55">
        <f t="shared" si="20"/>
        <v>237701.11111111109</v>
      </c>
      <c r="X48" s="55">
        <f t="shared" si="20"/>
        <v>265280</v>
      </c>
      <c r="Y48" s="55">
        <f t="shared" si="20"/>
        <v>263438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0"/>
        <v>179700</v>
      </c>
      <c r="G49" s="55">
        <f t="shared" si="20"/>
        <v>119800</v>
      </c>
      <c r="H49" s="55">
        <f t="shared" si="20"/>
        <v>79866.666666666672</v>
      </c>
      <c r="I49" s="55">
        <f t="shared" si="20"/>
        <v>59900</v>
      </c>
      <c r="J49" s="55">
        <f t="shared" si="20"/>
        <v>71880</v>
      </c>
      <c r="K49" s="55">
        <f t="shared" si="20"/>
        <v>78216.666666666672</v>
      </c>
      <c r="L49" s="55">
        <f t="shared" si="20"/>
        <v>67042.857142857145</v>
      </c>
      <c r="M49" s="55">
        <f t="shared" si="20"/>
        <v>72512.5</v>
      </c>
      <c r="N49" s="55">
        <f t="shared" si="20"/>
        <v>71111.111111111109</v>
      </c>
      <c r="O49" s="55">
        <f t="shared" si="20"/>
        <v>75980</v>
      </c>
      <c r="P49" s="55">
        <f t="shared" si="20"/>
        <v>69072.727272727265</v>
      </c>
      <c r="Q49" s="55">
        <f t="shared" si="20"/>
        <v>63316.666666666672</v>
      </c>
      <c r="R49" s="55">
        <f t="shared" si="20"/>
        <v>67661.538461538454</v>
      </c>
      <c r="S49" s="55">
        <f t="shared" si="20"/>
        <v>70378.571428571435</v>
      </c>
      <c r="T49" s="55">
        <f t="shared" si="20"/>
        <v>65686.666666666672</v>
      </c>
      <c r="U49" s="55">
        <f t="shared" si="20"/>
        <v>61581.25</v>
      </c>
      <c r="V49" s="55">
        <f t="shared" si="20"/>
        <v>65005.882352941182</v>
      </c>
      <c r="W49" s="55">
        <f t="shared" si="20"/>
        <v>64388.888888888891</v>
      </c>
      <c r="X49" s="55">
        <f t="shared" si="20"/>
        <v>61000</v>
      </c>
      <c r="Y49" s="55">
        <f t="shared" si="20"/>
        <v>49265</v>
      </c>
      <c r="AX49"/>
    </row>
    <row r="50" spans="2:50">
      <c r="B50" s="4" t="s">
        <v>1</v>
      </c>
      <c r="C50" s="37">
        <v>255000</v>
      </c>
      <c r="D50" s="4"/>
      <c r="E50" s="4"/>
      <c r="F50" s="55">
        <f t="shared" si="20"/>
        <v>1000700</v>
      </c>
      <c r="G50" s="55">
        <f t="shared" si="20"/>
        <v>615200</v>
      </c>
      <c r="H50" s="55">
        <f t="shared" si="20"/>
        <v>540900</v>
      </c>
      <c r="I50" s="55">
        <f t="shared" si="20"/>
        <v>511675</v>
      </c>
      <c r="J50" s="55">
        <f t="shared" si="20"/>
        <v>487440</v>
      </c>
      <c r="K50" s="55">
        <f t="shared" si="20"/>
        <v>481266.66666666663</v>
      </c>
      <c r="L50" s="55">
        <f t="shared" si="20"/>
        <v>472957.14285714284</v>
      </c>
      <c r="M50" s="55">
        <f t="shared" si="20"/>
        <v>465037.5</v>
      </c>
      <c r="N50" s="55">
        <f t="shared" si="20"/>
        <v>449000</v>
      </c>
      <c r="O50" s="55">
        <f t="shared" si="20"/>
        <v>410090</v>
      </c>
      <c r="P50" s="55">
        <f t="shared" si="20"/>
        <v>413990.90909090912</v>
      </c>
      <c r="Q50" s="55">
        <f t="shared" si="20"/>
        <v>404291.66666666663</v>
      </c>
      <c r="R50" s="55">
        <f t="shared" si="20"/>
        <v>373192.30769230763</v>
      </c>
      <c r="S50" s="55">
        <f t="shared" si="20"/>
        <v>378000</v>
      </c>
      <c r="T50" s="55">
        <f t="shared" si="20"/>
        <v>371480</v>
      </c>
      <c r="U50" s="55">
        <f t="shared" si="20"/>
        <v>367268.75</v>
      </c>
      <c r="V50" s="55">
        <f t="shared" si="20"/>
        <v>362164.70588235295</v>
      </c>
      <c r="W50" s="55">
        <f t="shared" si="20"/>
        <v>329088.88888888888</v>
      </c>
      <c r="X50" s="55">
        <f t="shared" si="20"/>
        <v>305463.15789473685</v>
      </c>
      <c r="Y50" s="55">
        <f t="shared" si="20"/>
        <v>290190</v>
      </c>
      <c r="AX50"/>
    </row>
    <row r="51" spans="2:50">
      <c r="B51" s="4" t="s">
        <v>2</v>
      </c>
      <c r="C51" s="37">
        <v>223000</v>
      </c>
      <c r="D51" s="4"/>
      <c r="E51" s="4"/>
      <c r="F51" s="55">
        <f t="shared" si="20"/>
        <v>290320</v>
      </c>
      <c r="G51" s="55">
        <f t="shared" si="20"/>
        <v>197360</v>
      </c>
      <c r="H51" s="55">
        <f t="shared" si="20"/>
        <v>131573.33333333334</v>
      </c>
      <c r="I51" s="55">
        <f t="shared" si="20"/>
        <v>98680</v>
      </c>
      <c r="J51" s="55">
        <f t="shared" si="20"/>
        <v>88048</v>
      </c>
      <c r="K51" s="55">
        <f t="shared" si="20"/>
        <v>82856.666666666657</v>
      </c>
      <c r="L51" s="55">
        <f t="shared" si="20"/>
        <v>79160</v>
      </c>
      <c r="M51" s="55">
        <f t="shared" si="20"/>
        <v>71750</v>
      </c>
      <c r="N51" s="55">
        <f t="shared" si="20"/>
        <v>63777.777777777774</v>
      </c>
      <c r="O51" s="55">
        <f t="shared" si="20"/>
        <v>66416</v>
      </c>
      <c r="P51" s="55">
        <f t="shared" si="20"/>
        <v>60378.181818181823</v>
      </c>
      <c r="Q51" s="55">
        <f t="shared" si="20"/>
        <v>58275</v>
      </c>
      <c r="R51" s="55">
        <f t="shared" si="20"/>
        <v>60216.923076923078</v>
      </c>
      <c r="S51" s="55">
        <f t="shared" si="20"/>
        <v>59981.428571428565</v>
      </c>
      <c r="T51" s="55">
        <f t="shared" si="20"/>
        <v>64262.666666666664</v>
      </c>
      <c r="U51" s="55">
        <f t="shared" si="20"/>
        <v>60246.25</v>
      </c>
      <c r="V51" s="55">
        <f t="shared" si="20"/>
        <v>56702.352941176468</v>
      </c>
      <c r="W51" s="55">
        <f t="shared" si="20"/>
        <v>53550</v>
      </c>
      <c r="X51" s="55">
        <f t="shared" si="20"/>
        <v>62317.894736842107</v>
      </c>
      <c r="Y51" s="55">
        <f t="shared" si="20"/>
        <v>59202</v>
      </c>
      <c r="AA51" s="48"/>
    </row>
    <row r="52" spans="2:50">
      <c r="B52" s="4" t="s">
        <v>63</v>
      </c>
      <c r="C52" s="37">
        <v>125000</v>
      </c>
      <c r="D52" s="4"/>
      <c r="E52" s="4"/>
      <c r="F52" s="55">
        <f t="shared" si="20"/>
        <v>0</v>
      </c>
      <c r="G52" s="55">
        <f t="shared" si="20"/>
        <v>0</v>
      </c>
      <c r="H52" s="55">
        <f t="shared" si="20"/>
        <v>39973.333333333336</v>
      </c>
      <c r="I52" s="55">
        <f t="shared" si="20"/>
        <v>29980</v>
      </c>
      <c r="J52" s="55">
        <f t="shared" si="20"/>
        <v>23984</v>
      </c>
      <c r="K52" s="55">
        <f t="shared" si="20"/>
        <v>19986.666666666668</v>
      </c>
      <c r="L52" s="55">
        <f t="shared" si="20"/>
        <v>25688.571428571428</v>
      </c>
      <c r="M52" s="55">
        <f t="shared" si="20"/>
        <v>22477.5</v>
      </c>
      <c r="N52" s="55">
        <f t="shared" si="20"/>
        <v>19980</v>
      </c>
      <c r="O52" s="55">
        <f t="shared" si="20"/>
        <v>17982</v>
      </c>
      <c r="P52" s="55">
        <f t="shared" si="20"/>
        <v>16347.272727272728</v>
      </c>
      <c r="Q52" s="55">
        <f t="shared" si="20"/>
        <v>19976.666666666668</v>
      </c>
      <c r="R52" s="55">
        <f t="shared" si="20"/>
        <v>19978.461538461539</v>
      </c>
      <c r="S52" s="55">
        <f t="shared" si="20"/>
        <v>18551.428571428572</v>
      </c>
      <c r="T52" s="55">
        <f t="shared" si="20"/>
        <v>17314.666666666668</v>
      </c>
      <c r="U52" s="55">
        <f t="shared" si="20"/>
        <v>16232.5</v>
      </c>
      <c r="V52" s="55">
        <f t="shared" si="20"/>
        <v>15277.64705882353</v>
      </c>
      <c r="W52" s="55">
        <f t="shared" si="20"/>
        <v>20534.444444444445</v>
      </c>
      <c r="X52" s="55">
        <f t="shared" si="20"/>
        <v>25844.210526315786</v>
      </c>
      <c r="Y52" s="55">
        <f t="shared" si="20"/>
        <v>24552</v>
      </c>
      <c r="AA52" s="48"/>
    </row>
    <row r="53" spans="2:50">
      <c r="B53" s="4" t="s">
        <v>3</v>
      </c>
      <c r="C53" s="38">
        <v>418000</v>
      </c>
      <c r="D53" s="19"/>
      <c r="E53" s="19"/>
      <c r="F53" s="98">
        <f t="shared" si="20"/>
        <v>0</v>
      </c>
      <c r="G53" s="98">
        <f t="shared" si="20"/>
        <v>144640</v>
      </c>
      <c r="H53" s="98">
        <f t="shared" si="20"/>
        <v>175366.66666666669</v>
      </c>
      <c r="I53" s="98">
        <f t="shared" si="20"/>
        <v>219035</v>
      </c>
      <c r="J53" s="98">
        <f t="shared" si="20"/>
        <v>347252</v>
      </c>
      <c r="K53" s="98">
        <f t="shared" si="20"/>
        <v>315700</v>
      </c>
      <c r="L53" s="98">
        <f t="shared" si="20"/>
        <v>329117.14285714284</v>
      </c>
      <c r="M53" s="98">
        <f t="shared" si="20"/>
        <v>346802.5</v>
      </c>
      <c r="N53" s="98">
        <f t="shared" si="20"/>
        <v>343155.55555555556</v>
      </c>
      <c r="O53" s="98">
        <f t="shared" si="20"/>
        <v>341594</v>
      </c>
      <c r="P53" s="98">
        <f t="shared" si="20"/>
        <v>330849.09090909088</v>
      </c>
      <c r="Q53" s="98">
        <f t="shared" si="20"/>
        <v>332238.33333333337</v>
      </c>
      <c r="R53" s="98">
        <f t="shared" si="20"/>
        <v>306681.5384615385</v>
      </c>
      <c r="S53" s="98">
        <f t="shared" si="20"/>
        <v>301002.85714285716</v>
      </c>
      <c r="T53" s="98">
        <f t="shared" si="20"/>
        <v>295372</v>
      </c>
      <c r="U53" s="98">
        <f t="shared" si="20"/>
        <v>278663.75</v>
      </c>
      <c r="V53" s="98">
        <f t="shared" si="20"/>
        <v>290835.29411764705</v>
      </c>
      <c r="W53" s="98">
        <f t="shared" si="20"/>
        <v>301840</v>
      </c>
      <c r="X53" s="98">
        <f t="shared" si="20"/>
        <v>305620</v>
      </c>
      <c r="Y53" s="98">
        <f t="shared" si="20"/>
        <v>297258</v>
      </c>
    </row>
    <row r="54" spans="2:50">
      <c r="B54" s="14" t="s">
        <v>27</v>
      </c>
      <c r="C54" s="39">
        <f>SUM(C48:C53)</f>
        <v>1521000</v>
      </c>
      <c r="D54" s="10">
        <f>SUM(D48:D53)</f>
        <v>0</v>
      </c>
      <c r="E54" s="10"/>
      <c r="F54" s="10">
        <f t="shared" ref="F54:Y54" si="21">SUM(F48:F53)</f>
        <v>1535120</v>
      </c>
      <c r="G54" s="10">
        <f t="shared" si="21"/>
        <v>1262350</v>
      </c>
      <c r="H54" s="10">
        <f t="shared" si="21"/>
        <v>1113113.3333333335</v>
      </c>
      <c r="I54" s="10">
        <f t="shared" si="21"/>
        <v>1072855</v>
      </c>
      <c r="J54" s="10">
        <f t="shared" si="21"/>
        <v>1225240</v>
      </c>
      <c r="K54" s="10">
        <f t="shared" si="21"/>
        <v>1193156.6666666665</v>
      </c>
      <c r="L54" s="10">
        <f t="shared" si="21"/>
        <v>1183934.2857142857</v>
      </c>
      <c r="M54" s="10">
        <f t="shared" si="21"/>
        <v>1213800</v>
      </c>
      <c r="N54" s="10">
        <f t="shared" si="21"/>
        <v>1163331.111111111</v>
      </c>
      <c r="O54" s="10">
        <f t="shared" si="21"/>
        <v>1130366</v>
      </c>
      <c r="P54" s="10">
        <f t="shared" si="21"/>
        <v>1109241.8181818181</v>
      </c>
      <c r="Q54" s="10">
        <f t="shared" si="21"/>
        <v>1094160</v>
      </c>
      <c r="R54" s="10">
        <f t="shared" si="21"/>
        <v>1047733.8461538461</v>
      </c>
      <c r="S54" s="10">
        <f t="shared" si="21"/>
        <v>1069630</v>
      </c>
      <c r="T54" s="10">
        <f t="shared" si="21"/>
        <v>1073644</v>
      </c>
      <c r="U54" s="10">
        <f t="shared" si="21"/>
        <v>1031306.25</v>
      </c>
      <c r="V54" s="10">
        <f t="shared" si="21"/>
        <v>1026522.3529411764</v>
      </c>
      <c r="W54" s="10">
        <f t="shared" si="21"/>
        <v>1007103.3333333334</v>
      </c>
      <c r="X54" s="10">
        <f t="shared" si="21"/>
        <v>1025525.2631578948</v>
      </c>
      <c r="Y54" s="10">
        <f t="shared" si="21"/>
        <v>983905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9.7109375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84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69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19750</v>
      </c>
      <c r="D6" s="10"/>
      <c r="E6" s="11">
        <v>11760</v>
      </c>
      <c r="F6" s="122">
        <v>11760</v>
      </c>
      <c r="G6" s="122">
        <v>5888</v>
      </c>
      <c r="H6" s="122">
        <v>3215</v>
      </c>
      <c r="I6" s="122">
        <v>9645</v>
      </c>
      <c r="J6" s="122">
        <v>6430</v>
      </c>
      <c r="K6" s="122">
        <v>2735</v>
      </c>
      <c r="L6" s="122">
        <v>31743</v>
      </c>
      <c r="M6" s="122">
        <v>8587</v>
      </c>
      <c r="N6" s="122">
        <v>3217</v>
      </c>
      <c r="O6" s="122">
        <v>15342</v>
      </c>
      <c r="P6" s="81">
        <v>0</v>
      </c>
      <c r="Q6" s="34">
        <v>20527</v>
      </c>
      <c r="R6" s="34">
        <v>21811</v>
      </c>
      <c r="S6" s="34">
        <v>8685</v>
      </c>
      <c r="T6" s="34">
        <v>18616</v>
      </c>
      <c r="U6" s="34">
        <v>11704</v>
      </c>
      <c r="V6" s="34">
        <v>23409</v>
      </c>
      <c r="W6" s="34">
        <v>12037</v>
      </c>
      <c r="X6" s="34">
        <v>17362</v>
      </c>
      <c r="Y6" s="34">
        <v>30373</v>
      </c>
      <c r="Z6" s="69">
        <f t="shared" ref="Z6:Z11" si="1">(SUM(F6:Y6)/(COUNT(F6:Y6)))</f>
        <v>13154.3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0</v>
      </c>
      <c r="F7" s="122">
        <v>0</v>
      </c>
      <c r="G7" s="122">
        <v>2990</v>
      </c>
      <c r="H7" s="122">
        <v>7390</v>
      </c>
      <c r="I7" s="122">
        <v>9995</v>
      </c>
      <c r="J7" s="122">
        <v>4695</v>
      </c>
      <c r="K7" s="122">
        <v>16525</v>
      </c>
      <c r="L7" s="122">
        <v>0</v>
      </c>
      <c r="M7" s="122">
        <v>0</v>
      </c>
      <c r="N7" s="122">
        <v>14190</v>
      </c>
      <c r="O7" s="122">
        <v>9690</v>
      </c>
      <c r="P7" s="122">
        <v>0</v>
      </c>
      <c r="Q7" s="34">
        <v>9980</v>
      </c>
      <c r="R7" s="34">
        <v>2695</v>
      </c>
      <c r="S7" s="34">
        <v>2290</v>
      </c>
      <c r="T7" s="34">
        <v>8195</v>
      </c>
      <c r="U7" s="34">
        <v>2290</v>
      </c>
      <c r="V7" s="34">
        <v>2695</v>
      </c>
      <c r="W7" s="34">
        <v>0</v>
      </c>
      <c r="X7" s="34">
        <v>2695</v>
      </c>
      <c r="Y7" s="34">
        <v>2290</v>
      </c>
      <c r="Z7" s="69">
        <f t="shared" si="1"/>
        <v>4930.25</v>
      </c>
      <c r="AA7" s="103"/>
      <c r="AX7"/>
    </row>
    <row r="8" spans="1:50">
      <c r="B8" s="4" t="s">
        <v>1</v>
      </c>
      <c r="C8" s="20">
        <f t="shared" si="0"/>
        <v>13750</v>
      </c>
      <c r="D8" s="10"/>
      <c r="E8" s="11">
        <v>47005</v>
      </c>
      <c r="F8" s="81">
        <v>0</v>
      </c>
      <c r="G8" s="122">
        <v>11490</v>
      </c>
      <c r="H8" s="122">
        <v>6045</v>
      </c>
      <c r="I8" s="122">
        <v>11527</v>
      </c>
      <c r="J8" s="122">
        <v>22145</v>
      </c>
      <c r="K8" s="122">
        <v>11465</v>
      </c>
      <c r="L8" s="122">
        <v>16080</v>
      </c>
      <c r="M8" s="122">
        <v>13280</v>
      </c>
      <c r="N8" s="122">
        <v>23325</v>
      </c>
      <c r="O8" s="122">
        <v>6995</v>
      </c>
      <c r="P8" s="122">
        <v>5495</v>
      </c>
      <c r="Q8" s="34">
        <v>17490</v>
      </c>
      <c r="R8" s="34">
        <v>52510</v>
      </c>
      <c r="S8" s="34">
        <v>10990</v>
      </c>
      <c r="T8" s="34">
        <v>21530</v>
      </c>
      <c r="U8" s="34">
        <v>15580</v>
      </c>
      <c r="V8" s="34">
        <v>18735</v>
      </c>
      <c r="W8" s="34">
        <v>10990</v>
      </c>
      <c r="X8" s="34">
        <v>9690</v>
      </c>
      <c r="Y8" s="34">
        <v>10990</v>
      </c>
      <c r="Z8" s="115">
        <f t="shared" si="1"/>
        <v>14817.6</v>
      </c>
      <c r="AA8" s="103"/>
      <c r="AX8"/>
    </row>
    <row r="9" spans="1:50">
      <c r="B9" s="4" t="s">
        <v>2</v>
      </c>
      <c r="C9" s="20">
        <f t="shared" si="0"/>
        <v>11150</v>
      </c>
      <c r="D9" s="10"/>
      <c r="E9" s="11">
        <v>5495</v>
      </c>
      <c r="F9" s="122">
        <v>0</v>
      </c>
      <c r="G9" s="122">
        <v>4436</v>
      </c>
      <c r="H9" s="122">
        <v>7021</v>
      </c>
      <c r="I9" s="122">
        <v>0</v>
      </c>
      <c r="J9" s="122">
        <v>0</v>
      </c>
      <c r="K9" s="122">
        <v>0</v>
      </c>
      <c r="L9" s="122">
        <v>11675</v>
      </c>
      <c r="M9" s="122">
        <v>2845</v>
      </c>
      <c r="N9" s="122">
        <v>0</v>
      </c>
      <c r="O9" s="122">
        <v>0</v>
      </c>
      <c r="P9" s="122">
        <v>0</v>
      </c>
      <c r="Q9" s="34">
        <v>9036</v>
      </c>
      <c r="R9" s="34">
        <v>0</v>
      </c>
      <c r="S9" s="34">
        <v>2417</v>
      </c>
      <c r="T9" s="34">
        <v>5220</v>
      </c>
      <c r="U9" s="34">
        <v>5220</v>
      </c>
      <c r="V9" s="34">
        <v>0</v>
      </c>
      <c r="W9" s="34">
        <v>2417</v>
      </c>
      <c r="X9" s="34">
        <v>4436</v>
      </c>
      <c r="Y9" s="34">
        <v>7595</v>
      </c>
      <c r="Z9" s="69">
        <f t="shared" si="1"/>
        <v>3115.9</v>
      </c>
      <c r="AA9" s="103"/>
      <c r="AX9"/>
    </row>
    <row r="10" spans="1:50">
      <c r="B10" s="4" t="s">
        <v>63</v>
      </c>
      <c r="C10" s="20">
        <f t="shared" si="0"/>
        <v>6250</v>
      </c>
      <c r="D10" s="10"/>
      <c r="E10" s="11">
        <v>0</v>
      </c>
      <c r="F10" s="122">
        <v>0</v>
      </c>
      <c r="G10" s="122">
        <v>0</v>
      </c>
      <c r="H10" s="122">
        <v>0</v>
      </c>
      <c r="I10" s="122">
        <v>0</v>
      </c>
      <c r="J10" s="122">
        <v>4000</v>
      </c>
      <c r="K10" s="122">
        <v>0</v>
      </c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34">
        <v>6000</v>
      </c>
      <c r="R10" s="34">
        <v>0</v>
      </c>
      <c r="S10" s="34">
        <v>2995</v>
      </c>
      <c r="T10" s="34">
        <v>0</v>
      </c>
      <c r="U10" s="34">
        <v>6111</v>
      </c>
      <c r="V10" s="34">
        <v>0</v>
      </c>
      <c r="W10" s="34">
        <v>0</v>
      </c>
      <c r="X10" s="34">
        <v>0</v>
      </c>
      <c r="Y10" s="34">
        <v>0</v>
      </c>
      <c r="Z10" s="69">
        <f t="shared" si="1"/>
        <v>955.3</v>
      </c>
      <c r="AA10" s="103"/>
      <c r="AX10"/>
    </row>
    <row r="11" spans="1:50">
      <c r="B11" s="4" t="s">
        <v>3</v>
      </c>
      <c r="C11" s="21">
        <f t="shared" si="0"/>
        <v>20900</v>
      </c>
      <c r="D11" s="13"/>
      <c r="E11" s="40">
        <v>0</v>
      </c>
      <c r="F11" s="80">
        <v>0</v>
      </c>
      <c r="G11" s="124">
        <v>10487</v>
      </c>
      <c r="H11" s="124">
        <v>23904</v>
      </c>
      <c r="I11" s="124">
        <v>11798</v>
      </c>
      <c r="J11" s="124">
        <v>12764</v>
      </c>
      <c r="K11" s="124">
        <v>13138</v>
      </c>
      <c r="L11" s="124">
        <v>13843</v>
      </c>
      <c r="M11" s="124">
        <v>10797</v>
      </c>
      <c r="N11" s="124">
        <v>12713</v>
      </c>
      <c r="O11" s="124">
        <v>17072</v>
      </c>
      <c r="P11" s="124">
        <v>12288</v>
      </c>
      <c r="Q11" s="35">
        <v>12054</v>
      </c>
      <c r="R11" s="35">
        <v>8200</v>
      </c>
      <c r="S11" s="35">
        <v>0</v>
      </c>
      <c r="T11" s="35">
        <v>15407</v>
      </c>
      <c r="U11" s="35">
        <v>27458</v>
      </c>
      <c r="V11" s="35">
        <v>7006</v>
      </c>
      <c r="W11" s="35">
        <v>8444</v>
      </c>
      <c r="X11" s="35">
        <v>4237</v>
      </c>
      <c r="Y11" s="35">
        <v>32160</v>
      </c>
      <c r="Z11" s="69">
        <f t="shared" si="1"/>
        <v>12688.5</v>
      </c>
      <c r="AA11" s="103"/>
      <c r="AX11"/>
    </row>
    <row r="12" spans="1:50" ht="15.75" thickBot="1">
      <c r="B12" s="14" t="s">
        <v>27</v>
      </c>
      <c r="C12" s="20">
        <f>SUM(C6:C11)</f>
        <v>78050</v>
      </c>
      <c r="D12" s="10"/>
      <c r="E12" s="11">
        <f t="shared" ref="E12:Y12" si="2">SUM(E6:E11)</f>
        <v>64260</v>
      </c>
      <c r="F12" s="10">
        <f t="shared" si="2"/>
        <v>11760</v>
      </c>
      <c r="G12" s="10">
        <f t="shared" si="2"/>
        <v>35291</v>
      </c>
      <c r="H12" s="10">
        <f t="shared" si="2"/>
        <v>47575</v>
      </c>
      <c r="I12" s="10">
        <f t="shared" si="2"/>
        <v>42965</v>
      </c>
      <c r="J12" s="10">
        <f t="shared" si="2"/>
        <v>50034</v>
      </c>
      <c r="K12" s="10">
        <f t="shared" si="2"/>
        <v>43863</v>
      </c>
      <c r="L12" s="10">
        <f t="shared" si="2"/>
        <v>73341</v>
      </c>
      <c r="M12" s="10">
        <f t="shared" si="2"/>
        <v>35509</v>
      </c>
      <c r="N12" s="10">
        <f t="shared" si="2"/>
        <v>53445</v>
      </c>
      <c r="O12" s="10">
        <f t="shared" si="2"/>
        <v>49099</v>
      </c>
      <c r="P12" s="10">
        <f t="shared" si="2"/>
        <v>17783</v>
      </c>
      <c r="Q12" s="10">
        <f t="shared" si="2"/>
        <v>75087</v>
      </c>
      <c r="R12" s="10">
        <f t="shared" si="2"/>
        <v>85216</v>
      </c>
      <c r="S12" s="10">
        <f t="shared" si="2"/>
        <v>27377</v>
      </c>
      <c r="T12" s="10">
        <f t="shared" si="2"/>
        <v>68968</v>
      </c>
      <c r="U12" s="10">
        <f t="shared" si="2"/>
        <v>68363</v>
      </c>
      <c r="V12" s="10">
        <f t="shared" si="2"/>
        <v>51845</v>
      </c>
      <c r="W12" s="10">
        <f t="shared" si="2"/>
        <v>33888</v>
      </c>
      <c r="X12" s="10">
        <f t="shared" si="2"/>
        <v>38420</v>
      </c>
      <c r="Y12" s="10">
        <f t="shared" si="2"/>
        <v>83408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49661.85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0.59544303797468356</v>
      </c>
      <c r="G17" s="25">
        <f t="shared" si="4"/>
        <v>0.29812658227848099</v>
      </c>
      <c r="H17" s="25">
        <f t="shared" si="4"/>
        <v>0.1627848101265823</v>
      </c>
      <c r="I17" s="25">
        <f t="shared" si="4"/>
        <v>0.4883544303797468</v>
      </c>
      <c r="J17" s="25">
        <f t="shared" si="4"/>
        <v>0.3255696202531646</v>
      </c>
      <c r="K17" s="25">
        <f t="shared" si="4"/>
        <v>0.13848101265822788</v>
      </c>
      <c r="L17" s="25">
        <f t="shared" si="4"/>
        <v>1.607240506329114</v>
      </c>
      <c r="M17" s="25">
        <f t="shared" si="4"/>
        <v>0.43478481012658232</v>
      </c>
      <c r="N17" s="25">
        <f t="shared" si="4"/>
        <v>0.1628860759493671</v>
      </c>
      <c r="O17" s="25">
        <f t="shared" si="4"/>
        <v>0.77681012658227844</v>
      </c>
      <c r="P17" s="25">
        <f t="shared" si="4"/>
        <v>0</v>
      </c>
      <c r="Q17" s="25">
        <f t="shared" si="4"/>
        <v>1.0393417721518987</v>
      </c>
      <c r="R17" s="25">
        <f t="shared" si="4"/>
        <v>1.1043544303797468</v>
      </c>
      <c r="S17" s="25">
        <f t="shared" si="4"/>
        <v>0.43974683544303794</v>
      </c>
      <c r="T17" s="25">
        <f t="shared" si="4"/>
        <v>0.94258227848101261</v>
      </c>
      <c r="U17" s="25">
        <f t="shared" si="4"/>
        <v>0.59260759493670889</v>
      </c>
      <c r="V17" s="25">
        <f t="shared" si="4"/>
        <v>1.1852658227848101</v>
      </c>
      <c r="W17" s="25">
        <f t="shared" si="4"/>
        <v>0.60946835443037972</v>
      </c>
      <c r="X17" s="25">
        <f t="shared" si="4"/>
        <v>0.87908860759493668</v>
      </c>
      <c r="Y17" s="25">
        <f t="shared" si="4"/>
        <v>1.537873417721519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</v>
      </c>
      <c r="G18" s="25">
        <f t="shared" si="4"/>
        <v>0.47840000000000005</v>
      </c>
      <c r="H18" s="25">
        <f t="shared" si="4"/>
        <v>1.1823999999999999</v>
      </c>
      <c r="I18" s="25">
        <f t="shared" si="4"/>
        <v>1.5992</v>
      </c>
      <c r="J18" s="25">
        <f t="shared" si="4"/>
        <v>0.75119999999999998</v>
      </c>
      <c r="K18" s="25">
        <f t="shared" si="4"/>
        <v>2.6440000000000001</v>
      </c>
      <c r="L18" s="25">
        <f t="shared" si="4"/>
        <v>0</v>
      </c>
      <c r="M18" s="25">
        <f t="shared" si="4"/>
        <v>0</v>
      </c>
      <c r="N18" s="25">
        <f t="shared" si="4"/>
        <v>2.2704</v>
      </c>
      <c r="O18" s="25">
        <f t="shared" si="4"/>
        <v>1.5504</v>
      </c>
      <c r="P18" s="25">
        <f t="shared" si="4"/>
        <v>0</v>
      </c>
      <c r="Q18" s="25">
        <f t="shared" si="4"/>
        <v>1.5968</v>
      </c>
      <c r="R18" s="25">
        <f t="shared" si="4"/>
        <v>0.43120000000000003</v>
      </c>
      <c r="S18" s="25">
        <f t="shared" si="4"/>
        <v>0.36639999999999995</v>
      </c>
      <c r="T18" s="25">
        <f t="shared" si="4"/>
        <v>1.3111999999999999</v>
      </c>
      <c r="U18" s="25">
        <f t="shared" si="4"/>
        <v>0.36639999999999995</v>
      </c>
      <c r="V18" s="25">
        <f t="shared" si="4"/>
        <v>0.43120000000000003</v>
      </c>
      <c r="W18" s="25">
        <f t="shared" si="4"/>
        <v>0</v>
      </c>
      <c r="X18" s="25">
        <f t="shared" si="4"/>
        <v>0.43120000000000003</v>
      </c>
      <c r="Y18" s="25">
        <f t="shared" si="4"/>
        <v>0.36639999999999995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0</v>
      </c>
      <c r="G19" s="25">
        <f t="shared" si="4"/>
        <v>0.83563636363636362</v>
      </c>
      <c r="H19" s="25">
        <f t="shared" si="4"/>
        <v>0.4396363636363636</v>
      </c>
      <c r="I19" s="25">
        <f t="shared" si="4"/>
        <v>0.8383272727272727</v>
      </c>
      <c r="J19" s="25">
        <f t="shared" si="4"/>
        <v>1.6105454545454545</v>
      </c>
      <c r="K19" s="25">
        <f t="shared" si="4"/>
        <v>0.83381818181818179</v>
      </c>
      <c r="L19" s="25">
        <f t="shared" si="4"/>
        <v>1.1694545454545455</v>
      </c>
      <c r="M19" s="25">
        <f t="shared" si="4"/>
        <v>0.9658181818181818</v>
      </c>
      <c r="N19" s="25">
        <f t="shared" si="4"/>
        <v>1.6963636363636363</v>
      </c>
      <c r="O19" s="25">
        <f t="shared" si="4"/>
        <v>0.50872727272727269</v>
      </c>
      <c r="P19" s="25">
        <f t="shared" si="4"/>
        <v>0.39963636363636368</v>
      </c>
      <c r="Q19" s="25">
        <f t="shared" si="4"/>
        <v>1.272</v>
      </c>
      <c r="R19" s="25">
        <f t="shared" si="4"/>
        <v>3.818909090909091</v>
      </c>
      <c r="S19" s="25">
        <f t="shared" si="4"/>
        <v>0.79927272727272725</v>
      </c>
      <c r="T19" s="25">
        <f t="shared" si="4"/>
        <v>1.5658181818181818</v>
      </c>
      <c r="U19" s="25">
        <f t="shared" si="4"/>
        <v>1.1330909090909091</v>
      </c>
      <c r="V19" s="25">
        <f t="shared" si="4"/>
        <v>1.3625454545454545</v>
      </c>
      <c r="W19" s="25">
        <f t="shared" si="4"/>
        <v>0.79927272727272725</v>
      </c>
      <c r="X19" s="25">
        <f t="shared" si="4"/>
        <v>0.70472727272727265</v>
      </c>
      <c r="Y19" s="25">
        <f t="shared" si="4"/>
        <v>0.79927272727272725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</v>
      </c>
      <c r="G20" s="25">
        <f t="shared" si="4"/>
        <v>0.39784753363228698</v>
      </c>
      <c r="H20" s="25">
        <f t="shared" si="4"/>
        <v>0.62968609865470859</v>
      </c>
      <c r="I20" s="25">
        <f t="shared" si="4"/>
        <v>0</v>
      </c>
      <c r="J20" s="25">
        <f t="shared" si="4"/>
        <v>0</v>
      </c>
      <c r="K20" s="25">
        <f t="shared" si="4"/>
        <v>0</v>
      </c>
      <c r="L20" s="25">
        <f t="shared" si="4"/>
        <v>1.047085201793722</v>
      </c>
      <c r="M20" s="25">
        <f t="shared" si="4"/>
        <v>0.25515695067264577</v>
      </c>
      <c r="N20" s="25">
        <f t="shared" si="4"/>
        <v>0</v>
      </c>
      <c r="O20" s="25">
        <f t="shared" si="4"/>
        <v>0</v>
      </c>
      <c r="P20" s="25">
        <f t="shared" si="4"/>
        <v>0</v>
      </c>
      <c r="Q20" s="25">
        <f t="shared" si="4"/>
        <v>0.81040358744394614</v>
      </c>
      <c r="R20" s="25">
        <f t="shared" si="4"/>
        <v>0</v>
      </c>
      <c r="S20" s="25">
        <f t="shared" si="4"/>
        <v>0.21677130044843052</v>
      </c>
      <c r="T20" s="25">
        <f t="shared" si="4"/>
        <v>0.46816143497757845</v>
      </c>
      <c r="U20" s="25">
        <f t="shared" si="4"/>
        <v>0.46816143497757845</v>
      </c>
      <c r="V20" s="25">
        <f t="shared" si="4"/>
        <v>0</v>
      </c>
      <c r="W20" s="25">
        <f t="shared" si="4"/>
        <v>0.21677130044843052</v>
      </c>
      <c r="X20" s="25">
        <f t="shared" si="4"/>
        <v>0.39784753363228698</v>
      </c>
      <c r="Y20" s="25">
        <f t="shared" si="4"/>
        <v>0.68116591928251125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</v>
      </c>
      <c r="H21" s="25">
        <f t="shared" si="4"/>
        <v>0</v>
      </c>
      <c r="I21" s="25">
        <f t="shared" si="4"/>
        <v>0</v>
      </c>
      <c r="J21" s="25">
        <f t="shared" si="4"/>
        <v>0.64</v>
      </c>
      <c r="K21" s="25">
        <f t="shared" si="4"/>
        <v>0</v>
      </c>
      <c r="L21" s="25">
        <f t="shared" si="4"/>
        <v>0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</v>
      </c>
      <c r="Q21" s="25">
        <f t="shared" si="4"/>
        <v>0.96</v>
      </c>
      <c r="R21" s="25">
        <f t="shared" si="4"/>
        <v>0</v>
      </c>
      <c r="S21" s="25">
        <f t="shared" si="4"/>
        <v>0.47919999999999996</v>
      </c>
      <c r="T21" s="25">
        <f t="shared" si="4"/>
        <v>0</v>
      </c>
      <c r="U21" s="25">
        <f t="shared" si="4"/>
        <v>0.97775999999999996</v>
      </c>
      <c r="V21" s="25">
        <f t="shared" si="4"/>
        <v>0</v>
      </c>
      <c r="W21" s="25">
        <f t="shared" si="4"/>
        <v>0</v>
      </c>
      <c r="X21" s="25">
        <f t="shared" si="4"/>
        <v>0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</v>
      </c>
      <c r="G22" s="27">
        <f t="shared" si="4"/>
        <v>0.50177033492822964</v>
      </c>
      <c r="H22" s="27">
        <f t="shared" si="4"/>
        <v>1.1437320574162679</v>
      </c>
      <c r="I22" s="27">
        <f t="shared" si="4"/>
        <v>0.56449760765550239</v>
      </c>
      <c r="J22" s="27">
        <f t="shared" si="4"/>
        <v>0.61071770334928233</v>
      </c>
      <c r="K22" s="27">
        <f t="shared" si="4"/>
        <v>0.62861244019138751</v>
      </c>
      <c r="L22" s="27">
        <f t="shared" si="4"/>
        <v>0.66234449760765557</v>
      </c>
      <c r="M22" s="27">
        <f t="shared" si="4"/>
        <v>0.51660287081339717</v>
      </c>
      <c r="N22" s="27">
        <f t="shared" si="4"/>
        <v>0.60827751196172253</v>
      </c>
      <c r="O22" s="27">
        <f t="shared" si="4"/>
        <v>0.81684210526315792</v>
      </c>
      <c r="P22" s="27">
        <f t="shared" si="4"/>
        <v>0.58794258373205743</v>
      </c>
      <c r="Q22" s="27">
        <f t="shared" si="4"/>
        <v>0.57674641148325356</v>
      </c>
      <c r="R22" s="27">
        <f t="shared" si="4"/>
        <v>0.39234449760765555</v>
      </c>
      <c r="S22" s="27">
        <f t="shared" si="4"/>
        <v>0</v>
      </c>
      <c r="T22" s="27">
        <f t="shared" si="4"/>
        <v>0.73717703349282293</v>
      </c>
      <c r="U22" s="27">
        <f t="shared" si="4"/>
        <v>1.3137799043062202</v>
      </c>
      <c r="V22" s="27">
        <f t="shared" si="4"/>
        <v>0.33521531100478474</v>
      </c>
      <c r="W22" s="27">
        <f t="shared" si="4"/>
        <v>0.40401913875598083</v>
      </c>
      <c r="X22" s="27">
        <f t="shared" si="4"/>
        <v>0.20272727272727276</v>
      </c>
      <c r="Y22" s="27">
        <f t="shared" si="4"/>
        <v>1.5387559808612439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0.15067264573991035</v>
      </c>
      <c r="G23" s="25">
        <f t="shared" si="4"/>
        <v>0.45215887251761688</v>
      </c>
      <c r="H23" s="25">
        <f t="shared" si="4"/>
        <v>0.60954516335682252</v>
      </c>
      <c r="I23" s="25">
        <f t="shared" si="4"/>
        <v>0.55048046124279315</v>
      </c>
      <c r="J23" s="25">
        <f>(J12-$C12)/$C12+1</f>
        <v>0.6410506085842409</v>
      </c>
      <c r="K23" s="25">
        <f>(K12-$C12)/$C12+1</f>
        <v>0.5619859064702114</v>
      </c>
      <c r="L23" s="25">
        <f>(L12-$C12)/$C12+1</f>
        <v>0.93966688020499678</v>
      </c>
      <c r="M23" s="25">
        <f t="shared" si="4"/>
        <v>0.45495195387572074</v>
      </c>
      <c r="N23" s="25">
        <f t="shared" si="4"/>
        <v>0.68475336322869951</v>
      </c>
      <c r="O23" s="25">
        <f t="shared" si="4"/>
        <v>0.62907110826393331</v>
      </c>
      <c r="P23" s="25">
        <f t="shared" si="4"/>
        <v>0.22784112748238305</v>
      </c>
      <c r="Q23" s="25">
        <f t="shared" si="4"/>
        <v>0.9620371556694427</v>
      </c>
      <c r="R23" s="25">
        <f t="shared" si="4"/>
        <v>1.0918129404228059</v>
      </c>
      <c r="S23" s="25">
        <f>(S12-$C12)/$C12+1</f>
        <v>0.35076233183856498</v>
      </c>
      <c r="T23" s="25">
        <f>(T12-$C12)/$C12+1</f>
        <v>0.88363869314541965</v>
      </c>
      <c r="U23" s="25">
        <f>(U12-$C12)/$C12+1</f>
        <v>0.87588725176169124</v>
      </c>
      <c r="V23" s="25">
        <f>(V12-$C12)/$C12+1</f>
        <v>0.66425368353619474</v>
      </c>
      <c r="W23" s="25">
        <f>(W12-$C12)/$C12+1</f>
        <v>0.43418321588725173</v>
      </c>
      <c r="X23" s="25">
        <f t="shared" si="4"/>
        <v>0.49224855861627159</v>
      </c>
      <c r="Y23" s="25">
        <f t="shared" si="4"/>
        <v>1.0686483023702755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11760</v>
      </c>
      <c r="G27" s="23">
        <v>17640</v>
      </c>
      <c r="H27" s="23">
        <v>20855</v>
      </c>
      <c r="I27" s="23">
        <v>30500</v>
      </c>
      <c r="J27" s="23">
        <v>36930</v>
      </c>
      <c r="K27" s="23">
        <v>39665</v>
      </c>
      <c r="L27" s="122">
        <v>68673</v>
      </c>
      <c r="M27" s="122">
        <v>77260</v>
      </c>
      <c r="N27" s="122">
        <v>80477</v>
      </c>
      <c r="O27" s="122">
        <v>95819</v>
      </c>
      <c r="P27" s="122">
        <v>95819</v>
      </c>
      <c r="Q27" s="23">
        <v>116346</v>
      </c>
      <c r="R27" s="23">
        <v>138157</v>
      </c>
      <c r="S27" s="23">
        <v>146842</v>
      </c>
      <c r="T27" s="23">
        <v>165458</v>
      </c>
      <c r="U27" s="23">
        <v>177162</v>
      </c>
      <c r="V27" s="23">
        <v>200571</v>
      </c>
      <c r="W27" s="23">
        <v>212608</v>
      </c>
      <c r="X27" s="23">
        <v>221455</v>
      </c>
      <c r="Y27" s="23">
        <v>265327</v>
      </c>
      <c r="Z27" s="109">
        <f>+Y27/C48</f>
        <v>0.6717139240506329</v>
      </c>
      <c r="AA27" s="97">
        <f t="shared" ref="AA27:AA33" si="8">+Z27-Y$25</f>
        <v>-0.3282860759493671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2990</v>
      </c>
      <c r="H28" s="34">
        <v>10380</v>
      </c>
      <c r="I28" s="34">
        <v>37055</v>
      </c>
      <c r="J28" s="34">
        <v>41700</v>
      </c>
      <c r="K28" s="34">
        <v>61270</v>
      </c>
      <c r="L28" s="122">
        <v>61270</v>
      </c>
      <c r="M28" s="122">
        <v>61270</v>
      </c>
      <c r="N28" s="122">
        <v>75460</v>
      </c>
      <c r="O28" s="122">
        <v>85150</v>
      </c>
      <c r="P28" s="122">
        <v>85150</v>
      </c>
      <c r="Q28" s="23">
        <v>95130</v>
      </c>
      <c r="R28" s="23">
        <v>97825</v>
      </c>
      <c r="S28" s="23">
        <v>100115</v>
      </c>
      <c r="T28" s="23">
        <v>108310</v>
      </c>
      <c r="U28" s="23">
        <v>110600</v>
      </c>
      <c r="V28" s="121">
        <v>113295</v>
      </c>
      <c r="W28" s="23">
        <v>113295</v>
      </c>
      <c r="X28" s="23">
        <v>115990</v>
      </c>
      <c r="Y28" s="23">
        <v>128265</v>
      </c>
      <c r="Z28" s="109">
        <f>+Y28/C49</f>
        <v>1.0261199999999999</v>
      </c>
      <c r="AA28" s="113">
        <f t="shared" si="8"/>
        <v>2.6119999999999921E-2</v>
      </c>
      <c r="AX28"/>
    </row>
    <row r="29" spans="2:50">
      <c r="B29" s="4" t="str">
        <f>+B19</f>
        <v>Boston</v>
      </c>
      <c r="C29" s="4"/>
      <c r="D29" s="4"/>
      <c r="E29" s="23"/>
      <c r="F29" s="34">
        <v>47005</v>
      </c>
      <c r="G29" s="34">
        <v>55500</v>
      </c>
      <c r="H29" s="34">
        <v>61545</v>
      </c>
      <c r="I29" s="34">
        <v>73072</v>
      </c>
      <c r="J29" s="34">
        <v>95217</v>
      </c>
      <c r="K29" s="34">
        <v>102012</v>
      </c>
      <c r="L29" s="122">
        <v>112177</v>
      </c>
      <c r="M29" s="122">
        <v>128002</v>
      </c>
      <c r="N29" s="122">
        <v>148332</v>
      </c>
      <c r="O29" s="122">
        <v>148332</v>
      </c>
      <c r="P29" s="122">
        <v>153827</v>
      </c>
      <c r="Q29" s="23">
        <v>172817</v>
      </c>
      <c r="R29" s="23">
        <v>225327</v>
      </c>
      <c r="S29" s="23">
        <v>236317</v>
      </c>
      <c r="T29" s="23">
        <v>254852</v>
      </c>
      <c r="U29" s="23">
        <v>273427</v>
      </c>
      <c r="V29" s="121">
        <v>287917</v>
      </c>
      <c r="W29" s="23">
        <v>293412</v>
      </c>
      <c r="X29" s="23">
        <v>300207</v>
      </c>
      <c r="Y29" s="23">
        <v>315867</v>
      </c>
      <c r="Z29" s="109">
        <f>+Y29/C50</f>
        <v>1.1486072727272727</v>
      </c>
      <c r="AA29" s="113">
        <f t="shared" si="8"/>
        <v>0.1486072727272727</v>
      </c>
      <c r="AX29"/>
    </row>
    <row r="30" spans="2:50" s="4" customFormat="1" ht="12.75">
      <c r="B30" s="4" t="str">
        <f>+B20</f>
        <v>Canada</v>
      </c>
      <c r="E30" s="23"/>
      <c r="F30" s="34">
        <v>5495</v>
      </c>
      <c r="G30" s="34">
        <v>9656</v>
      </c>
      <c r="H30" s="34">
        <v>16678</v>
      </c>
      <c r="I30" s="34">
        <v>16678</v>
      </c>
      <c r="J30" s="34">
        <v>16678</v>
      </c>
      <c r="K30" s="34">
        <v>16678</v>
      </c>
      <c r="L30" s="122">
        <v>28353</v>
      </c>
      <c r="M30" s="122">
        <v>31198</v>
      </c>
      <c r="N30" s="122">
        <v>31198</v>
      </c>
      <c r="O30" s="122">
        <v>31198</v>
      </c>
      <c r="P30" s="122">
        <v>31198</v>
      </c>
      <c r="Q30" s="34">
        <v>40235</v>
      </c>
      <c r="R30" s="34">
        <v>40235</v>
      </c>
      <c r="S30" s="34">
        <v>40235</v>
      </c>
      <c r="T30" s="34">
        <v>40235</v>
      </c>
      <c r="U30" s="34">
        <v>45455</v>
      </c>
      <c r="V30" s="121">
        <v>50675</v>
      </c>
      <c r="W30" s="34">
        <v>50675</v>
      </c>
      <c r="X30" s="34">
        <v>53093</v>
      </c>
      <c r="Y30" s="34">
        <v>57530</v>
      </c>
      <c r="Z30" s="109">
        <f>Y30/C51</f>
        <v>0.25798206278026908</v>
      </c>
      <c r="AA30" s="113">
        <f t="shared" si="8"/>
        <v>-0.74201793721973086</v>
      </c>
    </row>
    <row r="31" spans="2:50" s="4" customFormat="1" ht="12.75">
      <c r="B31" s="4" t="s">
        <v>63</v>
      </c>
      <c r="E31" s="23"/>
      <c r="F31" s="34">
        <v>0</v>
      </c>
      <c r="G31" s="34">
        <v>0</v>
      </c>
      <c r="H31" s="34">
        <v>0</v>
      </c>
      <c r="I31" s="34">
        <v>0</v>
      </c>
      <c r="J31" s="34">
        <v>4000</v>
      </c>
      <c r="K31" s="34">
        <v>4000</v>
      </c>
      <c r="L31" s="122">
        <v>4000</v>
      </c>
      <c r="M31" s="122">
        <v>4000</v>
      </c>
      <c r="N31" s="122">
        <v>4000</v>
      </c>
      <c r="O31" s="122">
        <v>4000</v>
      </c>
      <c r="P31" s="122">
        <v>4000</v>
      </c>
      <c r="Q31" s="34">
        <v>10000</v>
      </c>
      <c r="R31" s="34">
        <v>10000</v>
      </c>
      <c r="S31" s="34">
        <v>12995</v>
      </c>
      <c r="T31" s="34">
        <v>12995</v>
      </c>
      <c r="U31" s="34">
        <v>19106</v>
      </c>
      <c r="V31" s="121">
        <v>19106</v>
      </c>
      <c r="W31" s="34">
        <v>19106</v>
      </c>
      <c r="X31" s="34">
        <v>19106</v>
      </c>
      <c r="Y31" s="34">
        <v>19106</v>
      </c>
      <c r="Z31" s="109">
        <f>Y31/C52</f>
        <v>0.15284800000000001</v>
      </c>
      <c r="AA31" s="113">
        <f t="shared" si="8"/>
        <v>-0.84715200000000002</v>
      </c>
    </row>
    <row r="32" spans="2:50">
      <c r="B32" s="5" t="str">
        <f>+B22</f>
        <v>Norwich</v>
      </c>
      <c r="C32" s="19"/>
      <c r="D32" s="19"/>
      <c r="E32" s="35"/>
      <c r="F32" s="35">
        <v>0</v>
      </c>
      <c r="G32" s="35">
        <v>4237</v>
      </c>
      <c r="H32" s="35">
        <v>25160</v>
      </c>
      <c r="I32" s="35">
        <v>39940</v>
      </c>
      <c r="J32" s="35">
        <v>52414</v>
      </c>
      <c r="K32" s="35">
        <v>65598</v>
      </c>
      <c r="L32" s="124">
        <v>79441</v>
      </c>
      <c r="M32" s="124">
        <v>90239</v>
      </c>
      <c r="N32" s="124">
        <v>98714</v>
      </c>
      <c r="O32" s="124">
        <v>112207</v>
      </c>
      <c r="P32" s="124">
        <v>124495</v>
      </c>
      <c r="Q32" s="35">
        <v>136549</v>
      </c>
      <c r="R32" s="35">
        <v>144749</v>
      </c>
      <c r="S32" s="35">
        <v>144749</v>
      </c>
      <c r="T32" s="35">
        <v>151681</v>
      </c>
      <c r="U32" s="35">
        <v>174902</v>
      </c>
      <c r="V32" s="35">
        <v>181905</v>
      </c>
      <c r="W32" s="35">
        <v>190349</v>
      </c>
      <c r="X32" s="35">
        <v>194587</v>
      </c>
      <c r="Y32" s="35">
        <v>215950</v>
      </c>
      <c r="Z32" s="110">
        <f>+Y32/C53</f>
        <v>0.51662679425837321</v>
      </c>
      <c r="AA32" s="113">
        <f t="shared" si="8"/>
        <v>-0.48337320574162679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64260</v>
      </c>
      <c r="G33" s="10">
        <f>SUM(G27:G32)</f>
        <v>90023</v>
      </c>
      <c r="H33" s="10">
        <f>SUM(H27:H32)</f>
        <v>134618</v>
      </c>
      <c r="I33" s="10">
        <f>SUM(I27:I32)</f>
        <v>197245</v>
      </c>
      <c r="J33" s="4">
        <f t="shared" ref="J33:Y33" si="9">SUM(J27:J32)</f>
        <v>246939</v>
      </c>
      <c r="K33" s="10">
        <f t="shared" si="9"/>
        <v>289223</v>
      </c>
      <c r="L33" s="10">
        <f t="shared" si="9"/>
        <v>353914</v>
      </c>
      <c r="M33" s="10">
        <f t="shared" si="9"/>
        <v>391969</v>
      </c>
      <c r="N33" s="10">
        <f t="shared" si="9"/>
        <v>438181</v>
      </c>
      <c r="O33" s="4">
        <f>SUM(O27:O32)</f>
        <v>476706</v>
      </c>
      <c r="P33" s="10">
        <f t="shared" si="9"/>
        <v>494489</v>
      </c>
      <c r="Q33" s="10">
        <f t="shared" si="9"/>
        <v>571077</v>
      </c>
      <c r="R33" s="10">
        <f t="shared" si="9"/>
        <v>656293</v>
      </c>
      <c r="S33" s="10">
        <f t="shared" si="9"/>
        <v>681253</v>
      </c>
      <c r="T33" s="4">
        <f t="shared" si="9"/>
        <v>733531</v>
      </c>
      <c r="U33" s="10">
        <f t="shared" si="9"/>
        <v>800652</v>
      </c>
      <c r="V33" s="10">
        <f t="shared" si="9"/>
        <v>853469</v>
      </c>
      <c r="W33" s="10">
        <f t="shared" si="9"/>
        <v>879445</v>
      </c>
      <c r="X33" s="10">
        <f t="shared" si="9"/>
        <v>904438</v>
      </c>
      <c r="Y33" s="10">
        <f t="shared" si="9"/>
        <v>1002045</v>
      </c>
      <c r="Z33" s="111">
        <f>+Y33/C54</f>
        <v>0.64192504804612427</v>
      </c>
      <c r="AA33" s="118">
        <f t="shared" si="8"/>
        <v>-0.35807495195387573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4.1165919282511211E-2</v>
      </c>
      <c r="G34" s="30">
        <f t="shared" si="10"/>
        <v>5.7670083279948749E-2</v>
      </c>
      <c r="H34" s="30">
        <f t="shared" si="10"/>
        <v>8.6238308776425368E-2</v>
      </c>
      <c r="I34" s="30">
        <f t="shared" si="10"/>
        <v>0.12635810377962844</v>
      </c>
      <c r="J34" s="30">
        <f t="shared" si="10"/>
        <v>0.15819282511210761</v>
      </c>
      <c r="K34" s="30">
        <f t="shared" si="10"/>
        <v>0.18528058936579117</v>
      </c>
      <c r="L34" s="30">
        <f t="shared" si="10"/>
        <v>0.2267226137091608</v>
      </c>
      <c r="M34" s="30">
        <f t="shared" si="10"/>
        <v>0.25110121716848172</v>
      </c>
      <c r="N34" s="30">
        <f t="shared" si="10"/>
        <v>0.28070531710442026</v>
      </c>
      <c r="O34" s="30">
        <f>+O33/$C$54</f>
        <v>0.30538500960922488</v>
      </c>
      <c r="P34" s="30">
        <f t="shared" ref="P34:Y34" si="11">+P33/$C$54</f>
        <v>0.31677706598334399</v>
      </c>
      <c r="Q34" s="30">
        <f t="shared" si="11"/>
        <v>0.36584048686739268</v>
      </c>
      <c r="R34" s="30">
        <f t="shared" si="11"/>
        <v>0.42043113388853298</v>
      </c>
      <c r="S34" s="30">
        <f t="shared" si="11"/>
        <v>0.43642088404868673</v>
      </c>
      <c r="T34" s="30">
        <f t="shared" si="11"/>
        <v>0.46991095451633569</v>
      </c>
      <c r="U34" s="30">
        <f t="shared" si="11"/>
        <v>0.51290967328635495</v>
      </c>
      <c r="V34" s="30">
        <f t="shared" si="11"/>
        <v>0.54674503523382445</v>
      </c>
      <c r="W34" s="30">
        <f t="shared" si="11"/>
        <v>0.56338565022421527</v>
      </c>
      <c r="X34" s="30">
        <f t="shared" si="11"/>
        <v>0.57939654067905189</v>
      </c>
      <c r="Y34" s="30">
        <f t="shared" si="11"/>
        <v>0.64192504804612427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67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0.59544303797468356</v>
      </c>
      <c r="G38" s="17">
        <f t="shared" ref="G38:Y38" si="13">(G48/$C$48)</f>
        <v>0.44658227848101267</v>
      </c>
      <c r="H38" s="17">
        <f t="shared" si="13"/>
        <v>0.35198312236286922</v>
      </c>
      <c r="I38" s="17">
        <f t="shared" si="13"/>
        <v>0.38607594936708861</v>
      </c>
      <c r="J38" s="17">
        <f t="shared" si="13"/>
        <v>0.3739746835443038</v>
      </c>
      <c r="K38" s="17">
        <f t="shared" si="13"/>
        <v>0.33472573839662445</v>
      </c>
      <c r="L38" s="17">
        <f t="shared" si="13"/>
        <v>0.49673056057866183</v>
      </c>
      <c r="M38" s="17">
        <f t="shared" si="13"/>
        <v>0.48898734177215192</v>
      </c>
      <c r="N38" s="17">
        <f t="shared" si="13"/>
        <v>0.45275386779184246</v>
      </c>
      <c r="O38" s="17">
        <f t="shared" si="13"/>
        <v>0.48515949367088607</v>
      </c>
      <c r="P38" s="17">
        <f t="shared" si="13"/>
        <v>0.44105408515535099</v>
      </c>
      <c r="Q38" s="17">
        <f t="shared" si="13"/>
        <v>0.49091139240506332</v>
      </c>
      <c r="R38" s="17">
        <f t="shared" si="13"/>
        <v>0.53809931840311587</v>
      </c>
      <c r="S38" s="17">
        <f t="shared" si="13"/>
        <v>0.53107414104882467</v>
      </c>
      <c r="T38" s="17">
        <f t="shared" si="13"/>
        <v>0.55850801687763707</v>
      </c>
      <c r="U38" s="17">
        <f t="shared" si="13"/>
        <v>0.56063924050632907</v>
      </c>
      <c r="V38" s="17">
        <f t="shared" si="13"/>
        <v>0.59738198064035752</v>
      </c>
      <c r="W38" s="17">
        <f t="shared" si="13"/>
        <v>0.59805344585091413</v>
      </c>
      <c r="X38" s="17">
        <f t="shared" si="13"/>
        <v>0.59015323117921381</v>
      </c>
      <c r="Y38" s="17">
        <f t="shared" si="13"/>
        <v>0.6717139240506329</v>
      </c>
      <c r="Z38" s="132"/>
      <c r="AA38" s="133">
        <v>285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0.2392</v>
      </c>
      <c r="H39" s="17">
        <f t="shared" si="14"/>
        <v>0.55359999999999998</v>
      </c>
      <c r="I39" s="17">
        <f t="shared" si="14"/>
        <v>1.4822</v>
      </c>
      <c r="J39" s="17">
        <f t="shared" si="14"/>
        <v>1.3344</v>
      </c>
      <c r="K39" s="17">
        <f t="shared" si="14"/>
        <v>1.6338666666666666</v>
      </c>
      <c r="L39" s="17">
        <f t="shared" si="14"/>
        <v>1.4004571428571431</v>
      </c>
      <c r="M39" s="17">
        <f t="shared" si="14"/>
        <v>1.2254</v>
      </c>
      <c r="N39" s="17">
        <f t="shared" si="14"/>
        <v>1.3415111111111113</v>
      </c>
      <c r="O39" s="17">
        <f t="shared" si="14"/>
        <v>1.3624000000000001</v>
      </c>
      <c r="P39" s="17">
        <f t="shared" si="14"/>
        <v>1.2385454545454546</v>
      </c>
      <c r="Q39" s="17">
        <f t="shared" si="14"/>
        <v>1.2684</v>
      </c>
      <c r="R39" s="17">
        <f t="shared" si="14"/>
        <v>1.204</v>
      </c>
      <c r="S39" s="17">
        <f t="shared" si="14"/>
        <v>1.1441714285714286</v>
      </c>
      <c r="T39" s="17">
        <f t="shared" si="14"/>
        <v>1.1553066666666667</v>
      </c>
      <c r="U39" s="17">
        <f t="shared" si="14"/>
        <v>1.1060000000000001</v>
      </c>
      <c r="V39" s="17">
        <f t="shared" si="14"/>
        <v>1.0663058823529412</v>
      </c>
      <c r="W39" s="17">
        <f t="shared" si="14"/>
        <v>1.0070666666666668</v>
      </c>
      <c r="X39" s="17">
        <f t="shared" si="14"/>
        <v>0.97675789473684216</v>
      </c>
      <c r="Y39" s="17">
        <f t="shared" si="14"/>
        <v>1.0261199999999999</v>
      </c>
      <c r="Z39" s="132"/>
      <c r="AA39" s="133">
        <v>153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3.4185454545454546</v>
      </c>
      <c r="G40" s="17">
        <f t="shared" si="15"/>
        <v>2.0181818181818181</v>
      </c>
      <c r="H40" s="17">
        <f t="shared" si="15"/>
        <v>1.492</v>
      </c>
      <c r="I40" s="17">
        <f t="shared" si="15"/>
        <v>1.3285818181818181</v>
      </c>
      <c r="J40" s="17">
        <f t="shared" si="15"/>
        <v>1.3849745454545455</v>
      </c>
      <c r="K40" s="17">
        <f t="shared" si="15"/>
        <v>1.236509090909091</v>
      </c>
      <c r="L40" s="17">
        <f t="shared" si="15"/>
        <v>1.1654753246753247</v>
      </c>
      <c r="M40" s="17">
        <f t="shared" si="15"/>
        <v>1.1636545454545455</v>
      </c>
      <c r="N40" s="17">
        <f t="shared" si="15"/>
        <v>1.1986424242424241</v>
      </c>
      <c r="O40" s="17">
        <f t="shared" si="15"/>
        <v>1.0787781818181819</v>
      </c>
      <c r="P40" s="17">
        <f t="shared" si="15"/>
        <v>1.0170380165289257</v>
      </c>
      <c r="Q40" s="17">
        <f t="shared" si="15"/>
        <v>1.0473757575757574</v>
      </c>
      <c r="R40" s="17">
        <f t="shared" si="15"/>
        <v>1.2605706293706294</v>
      </c>
      <c r="S40" s="17">
        <f t="shared" si="15"/>
        <v>1.2276207792207792</v>
      </c>
      <c r="T40" s="17">
        <f t="shared" si="15"/>
        <v>1.2356460606060606</v>
      </c>
      <c r="U40" s="17">
        <f t="shared" si="15"/>
        <v>1.24285</v>
      </c>
      <c r="V40" s="17">
        <f t="shared" si="15"/>
        <v>1.2317304812834227</v>
      </c>
      <c r="W40" s="17">
        <f t="shared" si="15"/>
        <v>1.1855030303030303</v>
      </c>
      <c r="X40" s="17">
        <f t="shared" si="15"/>
        <v>1.1491177033492823</v>
      </c>
      <c r="Y40" s="17">
        <f t="shared" si="15"/>
        <v>1.1486072727272727</v>
      </c>
      <c r="Z40" s="132"/>
      <c r="AA40" s="133">
        <v>314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0.49282511210762331</v>
      </c>
      <c r="G41" s="17">
        <f t="shared" si="16"/>
        <v>0.43300448430493271</v>
      </c>
      <c r="H41" s="17">
        <f t="shared" si="16"/>
        <v>0.49859491778774284</v>
      </c>
      <c r="I41" s="17">
        <f t="shared" si="16"/>
        <v>0.37394618834080717</v>
      </c>
      <c r="J41" s="17">
        <f t="shared" si="16"/>
        <v>0.29915695067264575</v>
      </c>
      <c r="K41" s="17">
        <f t="shared" si="16"/>
        <v>0.24929745889387142</v>
      </c>
      <c r="L41" s="17">
        <f t="shared" si="16"/>
        <v>0.36326713645099296</v>
      </c>
      <c r="M41" s="17">
        <f t="shared" si="16"/>
        <v>0.34975336322869954</v>
      </c>
      <c r="N41" s="17">
        <f t="shared" si="16"/>
        <v>0.31089187842551069</v>
      </c>
      <c r="O41" s="17">
        <f t="shared" si="16"/>
        <v>0.27980269058295965</v>
      </c>
      <c r="P41" s="17">
        <f t="shared" si="16"/>
        <v>0.25436608234814512</v>
      </c>
      <c r="Q41" s="17">
        <f t="shared" si="16"/>
        <v>0.30071001494768307</v>
      </c>
      <c r="R41" s="17">
        <f t="shared" si="16"/>
        <v>0.27757847533632285</v>
      </c>
      <c r="S41" s="17">
        <f t="shared" si="16"/>
        <v>0.25775144138372841</v>
      </c>
      <c r="T41" s="17">
        <f t="shared" si="16"/>
        <v>0.2405680119581465</v>
      </c>
      <c r="U41" s="17">
        <f t="shared" si="16"/>
        <v>0.25479260089686101</v>
      </c>
      <c r="V41" s="17">
        <f t="shared" si="16"/>
        <v>0.26734370878396202</v>
      </c>
      <c r="W41" s="17">
        <f t="shared" si="16"/>
        <v>0.25249128051818637</v>
      </c>
      <c r="X41" s="17">
        <f t="shared" si="16"/>
        <v>0.25061600188812838</v>
      </c>
      <c r="Y41" s="17">
        <f t="shared" si="16"/>
        <v>0.25798206278026908</v>
      </c>
      <c r="Z41" s="132"/>
      <c r="AA41" s="133">
        <v>65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</v>
      </c>
      <c r="H42" s="17">
        <f t="shared" si="16"/>
        <v>0</v>
      </c>
      <c r="I42" s="17">
        <f t="shared" si="16"/>
        <v>0</v>
      </c>
      <c r="J42" s="17">
        <f t="shared" si="16"/>
        <v>7.1748878923766815E-2</v>
      </c>
      <c r="K42" s="17">
        <f t="shared" si="16"/>
        <v>5.9790732436472344E-2</v>
      </c>
      <c r="L42" s="17">
        <f t="shared" si="16"/>
        <v>5.1249199231262012E-2</v>
      </c>
      <c r="M42" s="17">
        <f t="shared" si="16"/>
        <v>4.4843049327354258E-2</v>
      </c>
      <c r="N42" s="17">
        <f t="shared" si="16"/>
        <v>3.9860488290981565E-2</v>
      </c>
      <c r="O42" s="17">
        <f t="shared" si="16"/>
        <v>3.5874439461883408E-2</v>
      </c>
      <c r="P42" s="17">
        <f t="shared" si="16"/>
        <v>3.2613126783530365E-2</v>
      </c>
      <c r="Q42" s="17">
        <f t="shared" si="16"/>
        <v>7.4738415545590436E-2</v>
      </c>
      <c r="R42" s="17">
        <f t="shared" si="16"/>
        <v>6.8989306657468108E-2</v>
      </c>
      <c r="S42" s="17">
        <f t="shared" si="16"/>
        <v>8.3247918001281229E-2</v>
      </c>
      <c r="T42" s="17">
        <f t="shared" si="16"/>
        <v>7.7698056801195819E-2</v>
      </c>
      <c r="U42" s="17">
        <f t="shared" si="16"/>
        <v>0.10709641255605382</v>
      </c>
      <c r="V42" s="17">
        <f t="shared" si="16"/>
        <v>0.1007966235821683</v>
      </c>
      <c r="W42" s="17">
        <f t="shared" si="16"/>
        <v>9.5196811160936715E-2</v>
      </c>
      <c r="X42" s="17">
        <f t="shared" si="16"/>
        <v>9.0186452678782156E-2</v>
      </c>
      <c r="Y42" s="17">
        <f t="shared" si="16"/>
        <v>8.567713004484305E-2</v>
      </c>
      <c r="Z42" s="132"/>
      <c r="AA42" s="133">
        <v>28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</v>
      </c>
      <c r="G43" s="18">
        <f t="shared" si="17"/>
        <v>0.10136363636363636</v>
      </c>
      <c r="H43" s="18">
        <f t="shared" si="17"/>
        <v>0.40127591706539073</v>
      </c>
      <c r="I43" s="18">
        <f t="shared" si="17"/>
        <v>0.47775119617224882</v>
      </c>
      <c r="J43" s="18">
        <f t="shared" si="17"/>
        <v>0.50156937799043066</v>
      </c>
      <c r="K43" s="18">
        <f t="shared" si="17"/>
        <v>0.52311004784688997</v>
      </c>
      <c r="L43" s="18">
        <f t="shared" si="17"/>
        <v>0.54300068352699937</v>
      </c>
      <c r="M43" s="18">
        <f t="shared" si="17"/>
        <v>0.53970693779904311</v>
      </c>
      <c r="N43" s="18">
        <f t="shared" si="17"/>
        <v>0.52479532163742693</v>
      </c>
      <c r="O43" s="18">
        <f t="shared" si="17"/>
        <v>0.53687559808612439</v>
      </c>
      <c r="P43" s="18">
        <f t="shared" si="17"/>
        <v>0.54151805132666375</v>
      </c>
      <c r="Q43" s="18">
        <f t="shared" si="17"/>
        <v>0.54445374800637958</v>
      </c>
      <c r="R43" s="18">
        <f t="shared" si="17"/>
        <v>0.53275303643724692</v>
      </c>
      <c r="S43" s="18">
        <f t="shared" si="17"/>
        <v>0.49469924812030081</v>
      </c>
      <c r="T43" s="18">
        <f t="shared" si="17"/>
        <v>0.48383094098883572</v>
      </c>
      <c r="U43" s="18">
        <f t="shared" si="17"/>
        <v>0.52303229665071771</v>
      </c>
      <c r="V43" s="18">
        <f t="shared" si="17"/>
        <v>0.51197579510273017</v>
      </c>
      <c r="W43" s="18">
        <f t="shared" si="17"/>
        <v>0.5059782030834663</v>
      </c>
      <c r="X43" s="18">
        <f t="shared" si="17"/>
        <v>0.49002014605892719</v>
      </c>
      <c r="Y43" s="18">
        <f t="shared" si="17"/>
        <v>0.51662679425837321</v>
      </c>
      <c r="Z43" s="129"/>
      <c r="AA43" s="133">
        <v>245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0.82331838565022419</v>
      </c>
      <c r="G44" s="17">
        <f t="shared" si="18"/>
        <v>0.57670083279948747</v>
      </c>
      <c r="H44" s="17">
        <f t="shared" si="18"/>
        <v>0.5749220585095024</v>
      </c>
      <c r="I44" s="17">
        <f t="shared" si="18"/>
        <v>0.63179051889814219</v>
      </c>
      <c r="J44" s="17">
        <f t="shared" si="18"/>
        <v>0.63277130044843044</v>
      </c>
      <c r="K44" s="17">
        <f t="shared" si="18"/>
        <v>0.61760196455263727</v>
      </c>
      <c r="L44" s="17">
        <f t="shared" si="18"/>
        <v>0.64777889631188812</v>
      </c>
      <c r="M44" s="17">
        <f t="shared" si="18"/>
        <v>0.62775304292120437</v>
      </c>
      <c r="N44" s="17">
        <f t="shared" si="18"/>
        <v>0.62378959356537833</v>
      </c>
      <c r="O44" s="17">
        <f t="shared" si="18"/>
        <v>0.61077001921844976</v>
      </c>
      <c r="P44" s="17">
        <f t="shared" si="18"/>
        <v>0.5759583017878982</v>
      </c>
      <c r="Q44" s="17">
        <f t="shared" si="18"/>
        <v>0.6097341447789878</v>
      </c>
      <c r="R44" s="17">
        <f t="shared" si="18"/>
        <v>0.64681712905928146</v>
      </c>
      <c r="S44" s="17">
        <f t="shared" si="18"/>
        <v>0.62345840578383827</v>
      </c>
      <c r="T44" s="17">
        <f t="shared" si="18"/>
        <v>0.62654793935511421</v>
      </c>
      <c r="U44" s="17">
        <f t="shared" si="18"/>
        <v>0.64113709160794363</v>
      </c>
      <c r="V44" s="17">
        <f t="shared" si="18"/>
        <v>0.64322945321626401</v>
      </c>
      <c r="W44" s="17">
        <f t="shared" si="18"/>
        <v>0.62598405580468353</v>
      </c>
      <c r="X44" s="17">
        <f t="shared" si="18"/>
        <v>0.60989109545163356</v>
      </c>
      <c r="Y44" s="17">
        <f t="shared" si="18"/>
        <v>0.64192504804612427</v>
      </c>
      <c r="AA44" s="130">
        <f>SUM(AA38:AA43)</f>
        <v>1090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395000</v>
      </c>
      <c r="D48" s="4"/>
      <c r="E48" s="4"/>
      <c r="F48" s="55">
        <f t="shared" ref="F48:Y53" si="20">(F27)/F$1*$Y$1</f>
        <v>235200</v>
      </c>
      <c r="G48" s="55">
        <f t="shared" si="20"/>
        <v>176400</v>
      </c>
      <c r="H48" s="55">
        <f t="shared" si="20"/>
        <v>139033.33333333334</v>
      </c>
      <c r="I48" s="55">
        <f t="shared" si="20"/>
        <v>152500</v>
      </c>
      <c r="J48" s="55">
        <f t="shared" si="20"/>
        <v>147720</v>
      </c>
      <c r="K48" s="55">
        <f t="shared" si="20"/>
        <v>132216.66666666666</v>
      </c>
      <c r="L48" s="55">
        <f t="shared" si="20"/>
        <v>196208.57142857142</v>
      </c>
      <c r="M48" s="55">
        <f t="shared" si="20"/>
        <v>193150</v>
      </c>
      <c r="N48" s="55">
        <f t="shared" si="20"/>
        <v>178837.77777777778</v>
      </c>
      <c r="O48" s="55">
        <f t="shared" si="20"/>
        <v>191638</v>
      </c>
      <c r="P48" s="55">
        <f t="shared" si="20"/>
        <v>174216.36363636365</v>
      </c>
      <c r="Q48" s="55">
        <f t="shared" si="20"/>
        <v>193910</v>
      </c>
      <c r="R48" s="55">
        <f t="shared" si="20"/>
        <v>212549.23076923078</v>
      </c>
      <c r="S48" s="55">
        <f t="shared" si="20"/>
        <v>209774.28571428574</v>
      </c>
      <c r="T48" s="55">
        <f t="shared" si="20"/>
        <v>220610.66666666666</v>
      </c>
      <c r="U48" s="55">
        <f t="shared" si="20"/>
        <v>221452.5</v>
      </c>
      <c r="V48" s="55">
        <f t="shared" si="20"/>
        <v>235965.8823529412</v>
      </c>
      <c r="W48" s="55">
        <f t="shared" si="20"/>
        <v>236231.11111111109</v>
      </c>
      <c r="X48" s="55">
        <f t="shared" si="20"/>
        <v>233110.52631578947</v>
      </c>
      <c r="Y48" s="55">
        <f t="shared" si="20"/>
        <v>265327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0"/>
        <v>0</v>
      </c>
      <c r="G49" s="55">
        <f t="shared" si="20"/>
        <v>29900</v>
      </c>
      <c r="H49" s="55">
        <f t="shared" si="20"/>
        <v>69200</v>
      </c>
      <c r="I49" s="55">
        <f t="shared" si="20"/>
        <v>185275</v>
      </c>
      <c r="J49" s="55">
        <f t="shared" si="20"/>
        <v>166800</v>
      </c>
      <c r="K49" s="55">
        <f t="shared" si="20"/>
        <v>204233.33333333331</v>
      </c>
      <c r="L49" s="55">
        <f t="shared" si="20"/>
        <v>175057.14285714287</v>
      </c>
      <c r="M49" s="55">
        <f t="shared" si="20"/>
        <v>153175</v>
      </c>
      <c r="N49" s="55">
        <f t="shared" si="20"/>
        <v>167688.88888888891</v>
      </c>
      <c r="O49" s="55">
        <f t="shared" si="20"/>
        <v>170300</v>
      </c>
      <c r="P49" s="55">
        <f t="shared" si="20"/>
        <v>154818.18181818182</v>
      </c>
      <c r="Q49" s="55">
        <f t="shared" si="20"/>
        <v>158550</v>
      </c>
      <c r="R49" s="55">
        <f t="shared" si="20"/>
        <v>150500</v>
      </c>
      <c r="S49" s="55">
        <f t="shared" si="20"/>
        <v>143021.42857142858</v>
      </c>
      <c r="T49" s="55">
        <f t="shared" si="20"/>
        <v>144413.33333333334</v>
      </c>
      <c r="U49" s="55">
        <f t="shared" si="20"/>
        <v>138250</v>
      </c>
      <c r="V49" s="55">
        <f t="shared" si="20"/>
        <v>133288.23529411765</v>
      </c>
      <c r="W49" s="55">
        <f t="shared" si="20"/>
        <v>125883.33333333334</v>
      </c>
      <c r="X49" s="55">
        <f t="shared" si="20"/>
        <v>122094.73684210527</v>
      </c>
      <c r="Y49" s="55">
        <f t="shared" si="20"/>
        <v>128265</v>
      </c>
      <c r="AX49"/>
    </row>
    <row r="50" spans="2:50">
      <c r="B50" s="4" t="s">
        <v>1</v>
      </c>
      <c r="C50" s="37">
        <v>275000</v>
      </c>
      <c r="D50" s="4"/>
      <c r="E50" s="4"/>
      <c r="F50" s="55">
        <f t="shared" si="20"/>
        <v>940100</v>
      </c>
      <c r="G50" s="55">
        <f t="shared" si="20"/>
        <v>555000</v>
      </c>
      <c r="H50" s="55">
        <f t="shared" si="20"/>
        <v>410300</v>
      </c>
      <c r="I50" s="55">
        <f t="shared" si="20"/>
        <v>365360</v>
      </c>
      <c r="J50" s="55">
        <f t="shared" si="20"/>
        <v>380868</v>
      </c>
      <c r="K50" s="55">
        <f t="shared" si="20"/>
        <v>340040</v>
      </c>
      <c r="L50" s="55">
        <f t="shared" si="20"/>
        <v>320505.71428571426</v>
      </c>
      <c r="M50" s="55">
        <f t="shared" si="20"/>
        <v>320005</v>
      </c>
      <c r="N50" s="55">
        <f t="shared" si="20"/>
        <v>329626.66666666663</v>
      </c>
      <c r="O50" s="55">
        <f t="shared" si="20"/>
        <v>296664</v>
      </c>
      <c r="P50" s="55">
        <f t="shared" si="20"/>
        <v>279685.45454545459</v>
      </c>
      <c r="Q50" s="55">
        <f t="shared" si="20"/>
        <v>288028.33333333331</v>
      </c>
      <c r="R50" s="55">
        <f t="shared" si="20"/>
        <v>346656.92307692306</v>
      </c>
      <c r="S50" s="55">
        <f t="shared" si="20"/>
        <v>337595.71428571426</v>
      </c>
      <c r="T50" s="55">
        <f t="shared" si="20"/>
        <v>339802.66666666669</v>
      </c>
      <c r="U50" s="55">
        <f t="shared" si="20"/>
        <v>341783.75</v>
      </c>
      <c r="V50" s="55">
        <f t="shared" si="20"/>
        <v>338725.8823529412</v>
      </c>
      <c r="W50" s="55">
        <f t="shared" si="20"/>
        <v>326013.33333333331</v>
      </c>
      <c r="X50" s="55">
        <f t="shared" si="20"/>
        <v>316007.36842105264</v>
      </c>
      <c r="Y50" s="55">
        <f t="shared" si="20"/>
        <v>315867</v>
      </c>
      <c r="AX50"/>
    </row>
    <row r="51" spans="2:50">
      <c r="B51" s="4" t="s">
        <v>2</v>
      </c>
      <c r="C51" s="37">
        <v>223000</v>
      </c>
      <c r="D51" s="4"/>
      <c r="E51" s="4"/>
      <c r="F51" s="55">
        <f t="shared" si="20"/>
        <v>109900</v>
      </c>
      <c r="G51" s="55">
        <f t="shared" si="20"/>
        <v>96560</v>
      </c>
      <c r="H51" s="55">
        <f t="shared" si="20"/>
        <v>111186.66666666666</v>
      </c>
      <c r="I51" s="55">
        <f t="shared" si="20"/>
        <v>83390</v>
      </c>
      <c r="J51" s="55">
        <f t="shared" si="20"/>
        <v>66712</v>
      </c>
      <c r="K51" s="55">
        <f t="shared" si="20"/>
        <v>55593.333333333328</v>
      </c>
      <c r="L51" s="55">
        <f t="shared" si="20"/>
        <v>81008.571428571435</v>
      </c>
      <c r="M51" s="55">
        <f t="shared" si="20"/>
        <v>77995</v>
      </c>
      <c r="N51" s="55">
        <f t="shared" si="20"/>
        <v>69328.888888888891</v>
      </c>
      <c r="O51" s="55">
        <f t="shared" si="20"/>
        <v>62396</v>
      </c>
      <c r="P51" s="55">
        <f t="shared" si="20"/>
        <v>56723.63636363636</v>
      </c>
      <c r="Q51" s="55">
        <f t="shared" si="20"/>
        <v>67058.333333333328</v>
      </c>
      <c r="R51" s="55">
        <f t="shared" si="20"/>
        <v>61900</v>
      </c>
      <c r="S51" s="55">
        <f t="shared" si="20"/>
        <v>57478.571428571435</v>
      </c>
      <c r="T51" s="55">
        <f t="shared" si="20"/>
        <v>53646.666666666672</v>
      </c>
      <c r="U51" s="55">
        <f t="shared" si="20"/>
        <v>56818.75</v>
      </c>
      <c r="V51" s="55">
        <f t="shared" si="20"/>
        <v>59617.647058823532</v>
      </c>
      <c r="W51" s="55">
        <f t="shared" si="20"/>
        <v>56305.555555555555</v>
      </c>
      <c r="X51" s="55">
        <f t="shared" si="20"/>
        <v>55887.368421052633</v>
      </c>
      <c r="Y51" s="55">
        <f t="shared" si="20"/>
        <v>57530</v>
      </c>
      <c r="AA51" s="48"/>
    </row>
    <row r="52" spans="2:50">
      <c r="B52" s="4" t="s">
        <v>63</v>
      </c>
      <c r="C52" s="37">
        <v>125000</v>
      </c>
      <c r="D52" s="4"/>
      <c r="E52" s="4"/>
      <c r="F52" s="55">
        <f t="shared" si="20"/>
        <v>0</v>
      </c>
      <c r="G52" s="55">
        <f t="shared" si="20"/>
        <v>0</v>
      </c>
      <c r="H52" s="55">
        <f t="shared" si="20"/>
        <v>0</v>
      </c>
      <c r="I52" s="55">
        <f t="shared" si="20"/>
        <v>0</v>
      </c>
      <c r="J52" s="55">
        <f t="shared" si="20"/>
        <v>16000</v>
      </c>
      <c r="K52" s="55">
        <f t="shared" si="20"/>
        <v>13333.333333333332</v>
      </c>
      <c r="L52" s="55">
        <f t="shared" si="20"/>
        <v>11428.571428571429</v>
      </c>
      <c r="M52" s="55">
        <f t="shared" si="20"/>
        <v>10000</v>
      </c>
      <c r="N52" s="55">
        <f t="shared" si="20"/>
        <v>8888.8888888888887</v>
      </c>
      <c r="O52" s="55">
        <f t="shared" si="20"/>
        <v>8000</v>
      </c>
      <c r="P52" s="55">
        <f t="shared" si="20"/>
        <v>7272.7272727272721</v>
      </c>
      <c r="Q52" s="55">
        <f t="shared" si="20"/>
        <v>16666.666666666668</v>
      </c>
      <c r="R52" s="55">
        <f t="shared" si="20"/>
        <v>15384.615384615387</v>
      </c>
      <c r="S52" s="55">
        <f t="shared" si="20"/>
        <v>18564.285714285714</v>
      </c>
      <c r="T52" s="55">
        <f t="shared" si="20"/>
        <v>17326.666666666668</v>
      </c>
      <c r="U52" s="55">
        <f t="shared" si="20"/>
        <v>23882.5</v>
      </c>
      <c r="V52" s="55">
        <f t="shared" si="20"/>
        <v>22477.647058823532</v>
      </c>
      <c r="W52" s="55">
        <f t="shared" si="20"/>
        <v>21228.888888888887</v>
      </c>
      <c r="X52" s="55">
        <f t="shared" si="20"/>
        <v>20111.57894736842</v>
      </c>
      <c r="Y52" s="55">
        <f t="shared" si="20"/>
        <v>19106</v>
      </c>
      <c r="AA52" s="48"/>
    </row>
    <row r="53" spans="2:50">
      <c r="B53" s="4" t="s">
        <v>3</v>
      </c>
      <c r="C53" s="38">
        <v>418000</v>
      </c>
      <c r="D53" s="19"/>
      <c r="E53" s="19"/>
      <c r="F53" s="98">
        <f t="shared" si="20"/>
        <v>0</v>
      </c>
      <c r="G53" s="98">
        <f t="shared" si="20"/>
        <v>42370</v>
      </c>
      <c r="H53" s="98">
        <f t="shared" si="20"/>
        <v>167733.33333333331</v>
      </c>
      <c r="I53" s="98">
        <f t="shared" si="20"/>
        <v>199700</v>
      </c>
      <c r="J53" s="98">
        <f t="shared" si="20"/>
        <v>209656</v>
      </c>
      <c r="K53" s="98">
        <f t="shared" si="20"/>
        <v>218660</v>
      </c>
      <c r="L53" s="98">
        <f t="shared" si="20"/>
        <v>226974.28571428574</v>
      </c>
      <c r="M53" s="98">
        <f t="shared" si="20"/>
        <v>225597.5</v>
      </c>
      <c r="N53" s="98">
        <f t="shared" si="20"/>
        <v>219364.44444444444</v>
      </c>
      <c r="O53" s="98">
        <f t="shared" si="20"/>
        <v>224414</v>
      </c>
      <c r="P53" s="98">
        <f t="shared" si="20"/>
        <v>226354.54545454544</v>
      </c>
      <c r="Q53" s="98">
        <f t="shared" si="20"/>
        <v>227581.66666666669</v>
      </c>
      <c r="R53" s="98">
        <f t="shared" si="20"/>
        <v>222690.76923076922</v>
      </c>
      <c r="S53" s="98">
        <f t="shared" si="20"/>
        <v>206784.28571428574</v>
      </c>
      <c r="T53" s="98">
        <f t="shared" si="20"/>
        <v>202241.33333333334</v>
      </c>
      <c r="U53" s="98">
        <f t="shared" si="20"/>
        <v>218627.5</v>
      </c>
      <c r="V53" s="98">
        <f t="shared" si="20"/>
        <v>214005.8823529412</v>
      </c>
      <c r="W53" s="98">
        <f t="shared" si="20"/>
        <v>211498.88888888891</v>
      </c>
      <c r="X53" s="98">
        <f t="shared" si="20"/>
        <v>204828.42105263157</v>
      </c>
      <c r="Y53" s="98">
        <f t="shared" si="20"/>
        <v>215950</v>
      </c>
    </row>
    <row r="54" spans="2:50">
      <c r="B54" s="14" t="s">
        <v>27</v>
      </c>
      <c r="C54" s="39">
        <f>SUM(C48:C53)</f>
        <v>1561000</v>
      </c>
      <c r="D54" s="10">
        <f>SUM(D48:D53)</f>
        <v>0</v>
      </c>
      <c r="E54" s="10"/>
      <c r="F54" s="10">
        <f t="shared" ref="F54:Y54" si="21">SUM(F48:F53)</f>
        <v>1285200</v>
      </c>
      <c r="G54" s="10">
        <f t="shared" si="21"/>
        <v>900230</v>
      </c>
      <c r="H54" s="10">
        <f t="shared" si="21"/>
        <v>897453.33333333326</v>
      </c>
      <c r="I54" s="10">
        <f t="shared" si="21"/>
        <v>986225</v>
      </c>
      <c r="J54" s="10">
        <f t="shared" si="21"/>
        <v>987756</v>
      </c>
      <c r="K54" s="10">
        <f t="shared" si="21"/>
        <v>964076.66666666674</v>
      </c>
      <c r="L54" s="10">
        <f t="shared" si="21"/>
        <v>1011182.8571428573</v>
      </c>
      <c r="M54" s="10">
        <f t="shared" si="21"/>
        <v>979922.5</v>
      </c>
      <c r="N54" s="10">
        <f t="shared" si="21"/>
        <v>973735.5555555555</v>
      </c>
      <c r="O54" s="10">
        <f t="shared" si="21"/>
        <v>953412</v>
      </c>
      <c r="P54" s="10">
        <f t="shared" si="21"/>
        <v>899070.90909090906</v>
      </c>
      <c r="Q54" s="10">
        <f t="shared" si="21"/>
        <v>951795</v>
      </c>
      <c r="R54" s="10">
        <f t="shared" si="21"/>
        <v>1009681.5384615384</v>
      </c>
      <c r="S54" s="10">
        <f t="shared" si="21"/>
        <v>973218.57142857159</v>
      </c>
      <c r="T54" s="10">
        <f t="shared" si="21"/>
        <v>978041.33333333337</v>
      </c>
      <c r="U54" s="10">
        <f t="shared" si="21"/>
        <v>1000815</v>
      </c>
      <c r="V54" s="10">
        <f t="shared" si="21"/>
        <v>1004081.1764705882</v>
      </c>
      <c r="W54" s="10">
        <f t="shared" si="21"/>
        <v>977161.11111111101</v>
      </c>
      <c r="X54" s="10">
        <f t="shared" si="21"/>
        <v>952040</v>
      </c>
      <c r="Y54" s="10">
        <f t="shared" si="21"/>
        <v>1002045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85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55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16250</v>
      </c>
      <c r="D6" s="10"/>
      <c r="E6" s="11">
        <v>14367</v>
      </c>
      <c r="F6" s="122">
        <v>22346</v>
      </c>
      <c r="G6" s="122">
        <v>26066</v>
      </c>
      <c r="H6" s="122">
        <v>17889</v>
      </c>
      <c r="I6" s="122">
        <v>2995</v>
      </c>
      <c r="J6" s="122">
        <v>10440</v>
      </c>
      <c r="K6" s="122">
        <v>3190</v>
      </c>
      <c r="L6" s="81">
        <v>0</v>
      </c>
      <c r="M6" s="122">
        <v>6410</v>
      </c>
      <c r="N6" s="122">
        <v>12290</v>
      </c>
      <c r="O6" s="122">
        <v>17255</v>
      </c>
      <c r="P6" s="122">
        <v>5890</v>
      </c>
      <c r="Q6" s="34">
        <v>3210</v>
      </c>
      <c r="R6" s="34">
        <v>20350</v>
      </c>
      <c r="S6" s="34">
        <v>18207</v>
      </c>
      <c r="T6" s="34">
        <v>12095</v>
      </c>
      <c r="U6" s="34">
        <v>11700</v>
      </c>
      <c r="V6" s="34">
        <v>40445</v>
      </c>
      <c r="W6" s="34">
        <v>5890</v>
      </c>
      <c r="X6" s="34">
        <v>7940</v>
      </c>
      <c r="Y6" s="34">
        <v>14065</v>
      </c>
      <c r="Z6" s="69">
        <f t="shared" ref="Z6:Z11" si="1">(SUM(F6:Y6)/(COUNT(F6:Y6)))</f>
        <v>12933.65</v>
      </c>
      <c r="AA6" s="103"/>
      <c r="AX6"/>
    </row>
    <row r="7" spans="1:50">
      <c r="B7" s="4" t="s">
        <v>64</v>
      </c>
      <c r="C7" s="20">
        <f t="shared" si="0"/>
        <v>5000</v>
      </c>
      <c r="D7" s="10"/>
      <c r="E7" s="11">
        <v>0</v>
      </c>
      <c r="F7" s="122">
        <v>9985</v>
      </c>
      <c r="G7" s="122">
        <v>0</v>
      </c>
      <c r="H7" s="122">
        <v>14575</v>
      </c>
      <c r="I7" s="122">
        <v>2695</v>
      </c>
      <c r="J7" s="81">
        <v>0</v>
      </c>
      <c r="K7" s="81">
        <v>0</v>
      </c>
      <c r="L7" s="122">
        <v>0</v>
      </c>
      <c r="M7" s="122">
        <v>9690</v>
      </c>
      <c r="N7" s="122">
        <v>0</v>
      </c>
      <c r="O7" s="122">
        <v>16685</v>
      </c>
      <c r="P7" s="122">
        <v>7575</v>
      </c>
      <c r="Q7" s="34">
        <v>15970</v>
      </c>
      <c r="R7" s="34">
        <v>16760</v>
      </c>
      <c r="S7" s="34">
        <v>25415</v>
      </c>
      <c r="T7" s="34">
        <v>13990</v>
      </c>
      <c r="U7" s="34">
        <v>0</v>
      </c>
      <c r="V7" s="34">
        <v>11790</v>
      </c>
      <c r="W7" s="34">
        <v>0</v>
      </c>
      <c r="X7" s="34">
        <v>2695</v>
      </c>
      <c r="Y7" s="34">
        <v>5895</v>
      </c>
      <c r="Z7" s="115">
        <f t="shared" si="1"/>
        <v>7686</v>
      </c>
      <c r="AA7" s="103"/>
      <c r="AX7"/>
    </row>
    <row r="8" spans="1:50">
      <c r="B8" s="4" t="s">
        <v>1</v>
      </c>
      <c r="C8" s="20">
        <f t="shared" si="0"/>
        <v>11250</v>
      </c>
      <c r="D8" s="10"/>
      <c r="E8" s="11">
        <v>0</v>
      </c>
      <c r="F8" s="122">
        <v>10165</v>
      </c>
      <c r="G8" s="122">
        <v>17560</v>
      </c>
      <c r="H8" s="122">
        <v>7985</v>
      </c>
      <c r="I8" s="122">
        <v>12775</v>
      </c>
      <c r="J8" s="122">
        <v>13985</v>
      </c>
      <c r="K8" s="81">
        <v>0</v>
      </c>
      <c r="L8" s="122">
        <v>13535</v>
      </c>
      <c r="M8" s="122">
        <v>9240</v>
      </c>
      <c r="N8" s="122">
        <v>4670</v>
      </c>
      <c r="O8" s="122">
        <v>3790</v>
      </c>
      <c r="P8" s="122">
        <v>2995</v>
      </c>
      <c r="Q8" s="34">
        <v>13190</v>
      </c>
      <c r="R8" s="34">
        <v>4795</v>
      </c>
      <c r="S8" s="34">
        <v>16975</v>
      </c>
      <c r="T8" s="34">
        <v>26715</v>
      </c>
      <c r="U8" s="34">
        <v>32885</v>
      </c>
      <c r="V8" s="34">
        <v>16030</v>
      </c>
      <c r="W8" s="34">
        <v>2995</v>
      </c>
      <c r="X8" s="34">
        <v>19410</v>
      </c>
      <c r="Y8" s="34">
        <v>10165</v>
      </c>
      <c r="Z8" s="69">
        <f t="shared" si="1"/>
        <v>11993</v>
      </c>
      <c r="AA8" s="103"/>
      <c r="AX8"/>
    </row>
    <row r="9" spans="1:50">
      <c r="B9" s="4" t="s">
        <v>2</v>
      </c>
      <c r="C9" s="20">
        <f t="shared" si="0"/>
        <v>9500</v>
      </c>
      <c r="D9" s="10"/>
      <c r="E9" s="11">
        <v>0</v>
      </c>
      <c r="F9" s="122">
        <v>0</v>
      </c>
      <c r="G9" s="122">
        <v>12972</v>
      </c>
      <c r="H9" s="122">
        <v>2417</v>
      </c>
      <c r="I9" s="122">
        <v>0</v>
      </c>
      <c r="J9" s="81">
        <v>0</v>
      </c>
      <c r="K9" s="122">
        <v>0</v>
      </c>
      <c r="L9" s="122">
        <v>2417</v>
      </c>
      <c r="M9" s="122">
        <v>0</v>
      </c>
      <c r="N9" s="122">
        <v>5263</v>
      </c>
      <c r="O9" s="122">
        <v>6455</v>
      </c>
      <c r="P9" s="122">
        <v>0</v>
      </c>
      <c r="Q9" s="34">
        <v>2845</v>
      </c>
      <c r="R9" s="34">
        <v>10440</v>
      </c>
      <c r="S9" s="34">
        <v>0</v>
      </c>
      <c r="T9" s="34">
        <v>0</v>
      </c>
      <c r="U9" s="34">
        <v>4506</v>
      </c>
      <c r="V9" s="34">
        <v>5263</v>
      </c>
      <c r="W9" s="34">
        <v>0</v>
      </c>
      <c r="X9" s="34">
        <v>0</v>
      </c>
      <c r="Y9" s="34">
        <v>3791</v>
      </c>
      <c r="Z9" s="69">
        <f t="shared" si="1"/>
        <v>2818.45</v>
      </c>
      <c r="AA9" s="103"/>
      <c r="AX9"/>
    </row>
    <row r="10" spans="1:50">
      <c r="B10" s="4" t="s">
        <v>63</v>
      </c>
      <c r="C10" s="20">
        <f t="shared" si="0"/>
        <v>5000</v>
      </c>
      <c r="D10" s="10"/>
      <c r="E10" s="11">
        <v>0</v>
      </c>
      <c r="F10" s="122">
        <v>0</v>
      </c>
      <c r="G10" s="122">
        <v>2695</v>
      </c>
      <c r="H10" s="122">
        <v>0</v>
      </c>
      <c r="I10" s="122">
        <v>0</v>
      </c>
      <c r="J10" s="122">
        <v>0</v>
      </c>
      <c r="K10" s="122">
        <v>0</v>
      </c>
      <c r="L10" s="122">
        <v>6667</v>
      </c>
      <c r="M10" s="122">
        <v>0</v>
      </c>
      <c r="N10" s="122">
        <v>7995</v>
      </c>
      <c r="O10" s="122">
        <v>0</v>
      </c>
      <c r="P10" s="122">
        <v>0</v>
      </c>
      <c r="Q10" s="34">
        <v>0</v>
      </c>
      <c r="R10" s="34">
        <v>6696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69">
        <f t="shared" si="1"/>
        <v>1202.6500000000001</v>
      </c>
      <c r="AA10" s="103"/>
      <c r="AX10"/>
    </row>
    <row r="11" spans="1:50">
      <c r="B11" s="4" t="s">
        <v>3</v>
      </c>
      <c r="C11" s="21">
        <f t="shared" si="0"/>
        <v>18000</v>
      </c>
      <c r="D11" s="13"/>
      <c r="E11" s="40">
        <v>25647</v>
      </c>
      <c r="F11" s="124">
        <v>14850</v>
      </c>
      <c r="G11" s="124">
        <v>16967</v>
      </c>
      <c r="H11" s="124">
        <v>15463</v>
      </c>
      <c r="I11" s="124">
        <v>17677</v>
      </c>
      <c r="J11" s="124">
        <v>14538</v>
      </c>
      <c r="K11" s="124">
        <v>12682</v>
      </c>
      <c r="L11" s="124">
        <v>13134</v>
      </c>
      <c r="M11" s="124">
        <v>6012</v>
      </c>
      <c r="N11" s="124">
        <v>5203</v>
      </c>
      <c r="O11" s="124">
        <v>2150</v>
      </c>
      <c r="P11" s="124">
        <v>6261</v>
      </c>
      <c r="Q11" s="35">
        <v>10558</v>
      </c>
      <c r="R11" s="35">
        <v>8757</v>
      </c>
      <c r="S11" s="35">
        <v>2225</v>
      </c>
      <c r="T11" s="35">
        <v>8224</v>
      </c>
      <c r="U11" s="35">
        <v>10063</v>
      </c>
      <c r="V11" s="35">
        <v>14524</v>
      </c>
      <c r="W11" s="35">
        <v>12201</v>
      </c>
      <c r="X11" s="35">
        <v>2982</v>
      </c>
      <c r="Y11" s="35">
        <v>8890</v>
      </c>
      <c r="Z11" s="69">
        <f t="shared" si="1"/>
        <v>10168.049999999999</v>
      </c>
      <c r="AA11" s="103"/>
      <c r="AX11"/>
    </row>
    <row r="12" spans="1:50" ht="15.75" thickBot="1">
      <c r="B12" s="14" t="s">
        <v>27</v>
      </c>
      <c r="C12" s="20">
        <f>SUM(C6:C11)</f>
        <v>65000</v>
      </c>
      <c r="D12" s="10"/>
      <c r="E12" s="11">
        <f t="shared" ref="E12:Y12" si="2">SUM(E6:E11)</f>
        <v>40014</v>
      </c>
      <c r="F12" s="10">
        <f t="shared" si="2"/>
        <v>57346</v>
      </c>
      <c r="G12" s="10">
        <f t="shared" si="2"/>
        <v>76260</v>
      </c>
      <c r="H12" s="10">
        <f t="shared" si="2"/>
        <v>58329</v>
      </c>
      <c r="I12" s="10">
        <f t="shared" si="2"/>
        <v>36142</v>
      </c>
      <c r="J12" s="10">
        <f t="shared" si="2"/>
        <v>38963</v>
      </c>
      <c r="K12" s="10">
        <f t="shared" si="2"/>
        <v>15872</v>
      </c>
      <c r="L12" s="10">
        <f t="shared" si="2"/>
        <v>35753</v>
      </c>
      <c r="M12" s="10">
        <f t="shared" si="2"/>
        <v>31352</v>
      </c>
      <c r="N12" s="10">
        <f t="shared" si="2"/>
        <v>35421</v>
      </c>
      <c r="O12" s="10">
        <f t="shared" si="2"/>
        <v>46335</v>
      </c>
      <c r="P12" s="10">
        <f t="shared" si="2"/>
        <v>22721</v>
      </c>
      <c r="Q12" s="10">
        <f t="shared" si="2"/>
        <v>45773</v>
      </c>
      <c r="R12" s="10">
        <f t="shared" si="2"/>
        <v>67798</v>
      </c>
      <c r="S12" s="10">
        <f t="shared" si="2"/>
        <v>62822</v>
      </c>
      <c r="T12" s="10">
        <f t="shared" si="2"/>
        <v>61024</v>
      </c>
      <c r="U12" s="10">
        <f t="shared" si="2"/>
        <v>59154</v>
      </c>
      <c r="V12" s="10">
        <f t="shared" si="2"/>
        <v>88052</v>
      </c>
      <c r="W12" s="10">
        <f t="shared" si="2"/>
        <v>21086</v>
      </c>
      <c r="X12" s="10">
        <f t="shared" si="2"/>
        <v>33027</v>
      </c>
      <c r="Y12" s="10">
        <f t="shared" si="2"/>
        <v>42806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46801.8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1.3751384615384614</v>
      </c>
      <c r="G17" s="25">
        <f t="shared" si="4"/>
        <v>1.6040615384615384</v>
      </c>
      <c r="H17" s="25">
        <f t="shared" si="4"/>
        <v>1.1008615384615386</v>
      </c>
      <c r="I17" s="25">
        <f t="shared" si="4"/>
        <v>0.18430769230769228</v>
      </c>
      <c r="J17" s="25">
        <f t="shared" si="4"/>
        <v>0.64246153846153842</v>
      </c>
      <c r="K17" s="25">
        <f t="shared" si="4"/>
        <v>0.19630769230769229</v>
      </c>
      <c r="L17" s="25">
        <f t="shared" si="4"/>
        <v>0</v>
      </c>
      <c r="M17" s="25">
        <f t="shared" si="4"/>
        <v>0.39446153846153842</v>
      </c>
      <c r="N17" s="25">
        <f t="shared" si="4"/>
        <v>0.75630769230769235</v>
      </c>
      <c r="O17" s="25">
        <f t="shared" si="4"/>
        <v>1.0618461538461539</v>
      </c>
      <c r="P17" s="25">
        <f t="shared" si="4"/>
        <v>0.3624615384615385</v>
      </c>
      <c r="Q17" s="25">
        <f t="shared" si="4"/>
        <v>0.19753846153846155</v>
      </c>
      <c r="R17" s="25">
        <f t="shared" si="4"/>
        <v>1.2523076923076923</v>
      </c>
      <c r="S17" s="25">
        <f t="shared" si="4"/>
        <v>1.1204307692307691</v>
      </c>
      <c r="T17" s="25">
        <f t="shared" si="4"/>
        <v>0.74430769230769234</v>
      </c>
      <c r="U17" s="25">
        <f t="shared" si="4"/>
        <v>0.72</v>
      </c>
      <c r="V17" s="25">
        <f t="shared" si="4"/>
        <v>2.488923076923077</v>
      </c>
      <c r="W17" s="25">
        <f t="shared" si="4"/>
        <v>0.3624615384615385</v>
      </c>
      <c r="X17" s="25">
        <f t="shared" si="4"/>
        <v>0.48861538461538456</v>
      </c>
      <c r="Y17" s="25">
        <f t="shared" si="4"/>
        <v>0.86553846153846159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1.9969999999999999</v>
      </c>
      <c r="G18" s="25">
        <f t="shared" si="4"/>
        <v>0</v>
      </c>
      <c r="H18" s="25">
        <f t="shared" si="4"/>
        <v>2.915</v>
      </c>
      <c r="I18" s="25">
        <f t="shared" si="4"/>
        <v>0.53899999999999992</v>
      </c>
      <c r="J18" s="25">
        <f t="shared" si="4"/>
        <v>0</v>
      </c>
      <c r="K18" s="25">
        <f t="shared" si="4"/>
        <v>0</v>
      </c>
      <c r="L18" s="25">
        <f t="shared" si="4"/>
        <v>0</v>
      </c>
      <c r="M18" s="25">
        <f t="shared" si="4"/>
        <v>1.9379999999999999</v>
      </c>
      <c r="N18" s="25">
        <f t="shared" si="4"/>
        <v>0</v>
      </c>
      <c r="O18" s="25">
        <f t="shared" si="4"/>
        <v>3.3370000000000002</v>
      </c>
      <c r="P18" s="25">
        <f t="shared" si="4"/>
        <v>1.5150000000000001</v>
      </c>
      <c r="Q18" s="25">
        <f t="shared" si="4"/>
        <v>3.194</v>
      </c>
      <c r="R18" s="25">
        <f t="shared" si="4"/>
        <v>3.3519999999999999</v>
      </c>
      <c r="S18" s="25">
        <f t="shared" si="4"/>
        <v>5.0830000000000002</v>
      </c>
      <c r="T18" s="25">
        <f t="shared" si="4"/>
        <v>2.798</v>
      </c>
      <c r="U18" s="25">
        <f t="shared" si="4"/>
        <v>0</v>
      </c>
      <c r="V18" s="25">
        <f t="shared" si="4"/>
        <v>2.3580000000000001</v>
      </c>
      <c r="W18" s="25">
        <f t="shared" si="4"/>
        <v>0</v>
      </c>
      <c r="X18" s="25">
        <f t="shared" si="4"/>
        <v>0.53899999999999992</v>
      </c>
      <c r="Y18" s="25">
        <f t="shared" si="4"/>
        <v>1.179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0.90355555555555556</v>
      </c>
      <c r="G19" s="25">
        <f t="shared" si="4"/>
        <v>1.560888888888889</v>
      </c>
      <c r="H19" s="25">
        <f t="shared" si="4"/>
        <v>0.70977777777777784</v>
      </c>
      <c r="I19" s="25">
        <f t="shared" si="4"/>
        <v>1.1355555555555557</v>
      </c>
      <c r="J19" s="25">
        <f t="shared" si="4"/>
        <v>1.2431111111111111</v>
      </c>
      <c r="K19" s="25">
        <f t="shared" si="4"/>
        <v>0</v>
      </c>
      <c r="L19" s="25">
        <f t="shared" si="4"/>
        <v>1.203111111111111</v>
      </c>
      <c r="M19" s="25">
        <f t="shared" si="4"/>
        <v>0.82133333333333336</v>
      </c>
      <c r="N19" s="25">
        <f t="shared" si="4"/>
        <v>0.4151111111111111</v>
      </c>
      <c r="O19" s="25">
        <f t="shared" si="4"/>
        <v>0.3368888888888889</v>
      </c>
      <c r="P19" s="25">
        <f t="shared" si="4"/>
        <v>0.26622222222222225</v>
      </c>
      <c r="Q19" s="25">
        <f t="shared" si="4"/>
        <v>1.1724444444444444</v>
      </c>
      <c r="R19" s="25">
        <f t="shared" si="4"/>
        <v>0.42622222222222217</v>
      </c>
      <c r="S19" s="25">
        <f t="shared" si="4"/>
        <v>1.5088888888888889</v>
      </c>
      <c r="T19" s="25">
        <f t="shared" si="4"/>
        <v>2.3746666666666667</v>
      </c>
      <c r="U19" s="25">
        <f t="shared" si="4"/>
        <v>2.923111111111111</v>
      </c>
      <c r="V19" s="25">
        <f t="shared" si="4"/>
        <v>1.4248888888888889</v>
      </c>
      <c r="W19" s="25">
        <f t="shared" si="4"/>
        <v>0.26622222222222225</v>
      </c>
      <c r="X19" s="25">
        <f t="shared" si="4"/>
        <v>1.7253333333333334</v>
      </c>
      <c r="Y19" s="25">
        <f t="shared" si="4"/>
        <v>0.90355555555555556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</v>
      </c>
      <c r="G20" s="25">
        <f t="shared" si="4"/>
        <v>1.3654736842105264</v>
      </c>
      <c r="H20" s="25">
        <f t="shared" si="4"/>
        <v>0.25442105263157899</v>
      </c>
      <c r="I20" s="25">
        <f t="shared" si="4"/>
        <v>0</v>
      </c>
      <c r="J20" s="25">
        <f t="shared" si="4"/>
        <v>0</v>
      </c>
      <c r="K20" s="25">
        <f t="shared" si="4"/>
        <v>0</v>
      </c>
      <c r="L20" s="25">
        <f t="shared" si="4"/>
        <v>0.25442105263157899</v>
      </c>
      <c r="M20" s="25">
        <f t="shared" si="4"/>
        <v>0</v>
      </c>
      <c r="N20" s="25">
        <f t="shared" si="4"/>
        <v>0.55400000000000005</v>
      </c>
      <c r="O20" s="25">
        <f t="shared" si="4"/>
        <v>0.67947368421052634</v>
      </c>
      <c r="P20" s="25">
        <f t="shared" si="4"/>
        <v>0</v>
      </c>
      <c r="Q20" s="25">
        <f t="shared" si="4"/>
        <v>0.29947368421052634</v>
      </c>
      <c r="R20" s="25">
        <f t="shared" si="4"/>
        <v>1.0989473684210527</v>
      </c>
      <c r="S20" s="25">
        <f t="shared" si="4"/>
        <v>0</v>
      </c>
      <c r="T20" s="25">
        <f t="shared" si="4"/>
        <v>0</v>
      </c>
      <c r="U20" s="25">
        <f t="shared" si="4"/>
        <v>0.47431578947368425</v>
      </c>
      <c r="V20" s="25">
        <f t="shared" si="4"/>
        <v>0.55400000000000005</v>
      </c>
      <c r="W20" s="25">
        <f t="shared" si="4"/>
        <v>0</v>
      </c>
      <c r="X20" s="25">
        <f t="shared" si="4"/>
        <v>0</v>
      </c>
      <c r="Y20" s="25">
        <f t="shared" si="4"/>
        <v>0.39905263157894733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0.53899999999999992</v>
      </c>
      <c r="H21" s="25">
        <f t="shared" si="4"/>
        <v>0</v>
      </c>
      <c r="I21" s="25">
        <f t="shared" si="4"/>
        <v>0</v>
      </c>
      <c r="J21" s="25">
        <f t="shared" si="4"/>
        <v>0</v>
      </c>
      <c r="K21" s="25">
        <f t="shared" si="4"/>
        <v>0</v>
      </c>
      <c r="L21" s="25">
        <f t="shared" si="4"/>
        <v>1.3333999999999999</v>
      </c>
      <c r="M21" s="25">
        <f t="shared" si="4"/>
        <v>0</v>
      </c>
      <c r="N21" s="25">
        <f t="shared" si="4"/>
        <v>1.599</v>
      </c>
      <c r="O21" s="25">
        <f t="shared" si="4"/>
        <v>0</v>
      </c>
      <c r="P21" s="25">
        <f t="shared" si="4"/>
        <v>0</v>
      </c>
      <c r="Q21" s="25">
        <f t="shared" si="4"/>
        <v>0</v>
      </c>
      <c r="R21" s="25">
        <f t="shared" si="4"/>
        <v>1.3391999999999999</v>
      </c>
      <c r="S21" s="25">
        <f t="shared" si="4"/>
        <v>0</v>
      </c>
      <c r="T21" s="25">
        <f t="shared" si="4"/>
        <v>0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0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0.82499999999999996</v>
      </c>
      <c r="G22" s="27">
        <f t="shared" si="4"/>
        <v>0.94261111111111107</v>
      </c>
      <c r="H22" s="27">
        <f t="shared" si="4"/>
        <v>0.85905555555555557</v>
      </c>
      <c r="I22" s="27">
        <f t="shared" si="4"/>
        <v>0.98205555555555557</v>
      </c>
      <c r="J22" s="27">
        <f t="shared" si="4"/>
        <v>0.80766666666666664</v>
      </c>
      <c r="K22" s="27">
        <f t="shared" si="4"/>
        <v>0.7045555555555556</v>
      </c>
      <c r="L22" s="27">
        <f t="shared" si="4"/>
        <v>0.72966666666666669</v>
      </c>
      <c r="M22" s="27">
        <f t="shared" si="4"/>
        <v>0.33399999999999996</v>
      </c>
      <c r="N22" s="27">
        <f t="shared" si="4"/>
        <v>0.28905555555555551</v>
      </c>
      <c r="O22" s="27">
        <f t="shared" si="4"/>
        <v>0.11944444444444446</v>
      </c>
      <c r="P22" s="27">
        <f t="shared" si="4"/>
        <v>0.34783333333333333</v>
      </c>
      <c r="Q22" s="27">
        <f t="shared" si="4"/>
        <v>0.5865555555555555</v>
      </c>
      <c r="R22" s="27">
        <f t="shared" si="4"/>
        <v>0.48650000000000004</v>
      </c>
      <c r="S22" s="27">
        <f t="shared" si="4"/>
        <v>0.12361111111111112</v>
      </c>
      <c r="T22" s="27">
        <f t="shared" si="4"/>
        <v>0.4568888888888889</v>
      </c>
      <c r="U22" s="27">
        <f t="shared" si="4"/>
        <v>0.55905555555555553</v>
      </c>
      <c r="V22" s="27">
        <f t="shared" si="4"/>
        <v>0.80688888888888888</v>
      </c>
      <c r="W22" s="27">
        <f t="shared" si="4"/>
        <v>0.67783333333333329</v>
      </c>
      <c r="X22" s="27">
        <f t="shared" si="4"/>
        <v>0.16566666666666663</v>
      </c>
      <c r="Y22" s="27">
        <f t="shared" si="4"/>
        <v>0.49388888888888893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0.8822461538461539</v>
      </c>
      <c r="G23" s="25">
        <f t="shared" si="4"/>
        <v>1.1732307692307693</v>
      </c>
      <c r="H23" s="25">
        <f t="shared" si="4"/>
        <v>0.89736923076923081</v>
      </c>
      <c r="I23" s="25">
        <f t="shared" si="4"/>
        <v>0.55603076923076922</v>
      </c>
      <c r="J23" s="25">
        <f>(J12-$C12)/$C12+1</f>
        <v>0.59943076923076921</v>
      </c>
      <c r="K23" s="25">
        <f>(K12-$C12)/$C12+1</f>
        <v>0.24418461538461533</v>
      </c>
      <c r="L23" s="25">
        <f>(L12-$C12)/$C12+1</f>
        <v>0.55004615384615385</v>
      </c>
      <c r="M23" s="25">
        <f t="shared" si="4"/>
        <v>0.48233846153846149</v>
      </c>
      <c r="N23" s="25">
        <f t="shared" si="4"/>
        <v>0.54493846153846159</v>
      </c>
      <c r="O23" s="25">
        <f t="shared" si="4"/>
        <v>0.71284615384615391</v>
      </c>
      <c r="P23" s="25">
        <f t="shared" si="4"/>
        <v>0.3495538461538461</v>
      </c>
      <c r="Q23" s="25">
        <f t="shared" si="4"/>
        <v>0.70419999999999994</v>
      </c>
      <c r="R23" s="25">
        <f t="shared" si="4"/>
        <v>1.043046153846154</v>
      </c>
      <c r="S23" s="25">
        <f>(S12-$C12)/$C12+1</f>
        <v>0.96649230769230765</v>
      </c>
      <c r="T23" s="25">
        <f>(T12-$C12)/$C12+1</f>
        <v>0.93883076923076925</v>
      </c>
      <c r="U23" s="25">
        <f>(U12-$C12)/$C12+1</f>
        <v>0.91006153846153848</v>
      </c>
      <c r="V23" s="25">
        <f>(V12-$C12)/$C12+1</f>
        <v>1.3546461538461538</v>
      </c>
      <c r="W23" s="25">
        <f>(W12-$C12)/$C12+1</f>
        <v>0.32440000000000002</v>
      </c>
      <c r="X23" s="25">
        <f t="shared" si="4"/>
        <v>0.50810769230769237</v>
      </c>
      <c r="Y23" s="25">
        <f t="shared" si="4"/>
        <v>0.65855384615384616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14367</v>
      </c>
      <c r="G27" s="23">
        <v>40433</v>
      </c>
      <c r="H27" s="23">
        <v>58322</v>
      </c>
      <c r="I27" s="23">
        <v>61317</v>
      </c>
      <c r="J27" s="23">
        <v>71757</v>
      </c>
      <c r="K27" s="23">
        <v>74947</v>
      </c>
      <c r="L27" s="122">
        <v>74947</v>
      </c>
      <c r="M27" s="122">
        <v>81357</v>
      </c>
      <c r="N27" s="122">
        <v>93647</v>
      </c>
      <c r="O27" s="122">
        <v>110902</v>
      </c>
      <c r="P27" s="122">
        <v>116792</v>
      </c>
      <c r="Q27" s="23">
        <v>112242</v>
      </c>
      <c r="R27" s="23">
        <v>135802</v>
      </c>
      <c r="S27" s="23">
        <v>154009</v>
      </c>
      <c r="T27" s="23">
        <v>166104</v>
      </c>
      <c r="U27" s="23">
        <v>169314</v>
      </c>
      <c r="V27" s="23">
        <v>212274</v>
      </c>
      <c r="W27" s="23">
        <v>224054</v>
      </c>
      <c r="X27" s="23">
        <v>231994</v>
      </c>
      <c r="Y27" s="23">
        <v>252049</v>
      </c>
      <c r="Z27" s="109">
        <f>+Y27/C48</f>
        <v>0.77553538461538463</v>
      </c>
      <c r="AA27" s="134">
        <f t="shared" ref="AA27:AA33" si="8">+Z27-Y$25</f>
        <v>-0.22446461538461537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0</v>
      </c>
      <c r="H28" s="34">
        <v>14575</v>
      </c>
      <c r="I28" s="34">
        <v>17270</v>
      </c>
      <c r="J28" s="34">
        <v>17270</v>
      </c>
      <c r="K28" s="34">
        <v>17270</v>
      </c>
      <c r="L28" s="122">
        <v>17270</v>
      </c>
      <c r="M28" s="122">
        <v>26960</v>
      </c>
      <c r="N28" s="122">
        <v>26960</v>
      </c>
      <c r="O28" s="122">
        <v>43645</v>
      </c>
      <c r="P28" s="122">
        <v>51220</v>
      </c>
      <c r="Q28" s="23">
        <v>67190</v>
      </c>
      <c r="R28" s="23">
        <v>83950</v>
      </c>
      <c r="S28" s="23">
        <v>109365</v>
      </c>
      <c r="T28" s="23">
        <v>123355</v>
      </c>
      <c r="U28" s="23">
        <v>123355</v>
      </c>
      <c r="V28" s="121">
        <v>135145</v>
      </c>
      <c r="W28" s="23">
        <v>137840</v>
      </c>
      <c r="X28" s="23">
        <v>149235</v>
      </c>
      <c r="Y28" s="23">
        <v>152230</v>
      </c>
      <c r="Z28" s="109">
        <f>+Y28/C49</f>
        <v>1.5223</v>
      </c>
      <c r="AA28" s="113">
        <f t="shared" si="8"/>
        <v>0.52229999999999999</v>
      </c>
      <c r="AX28"/>
    </row>
    <row r="29" spans="2:50">
      <c r="B29" s="4" t="str">
        <f>+B19</f>
        <v>Boston</v>
      </c>
      <c r="C29" s="4"/>
      <c r="D29" s="4"/>
      <c r="E29" s="23"/>
      <c r="F29" s="34">
        <v>0</v>
      </c>
      <c r="G29" s="34">
        <v>31270</v>
      </c>
      <c r="H29" s="34">
        <v>36260</v>
      </c>
      <c r="I29" s="34">
        <v>49035</v>
      </c>
      <c r="J29" s="34">
        <v>61025</v>
      </c>
      <c r="K29" s="34">
        <v>61025</v>
      </c>
      <c r="L29" s="122">
        <v>74560</v>
      </c>
      <c r="M29" s="122">
        <v>83800</v>
      </c>
      <c r="N29" s="122">
        <v>85475</v>
      </c>
      <c r="O29" s="122">
        <v>87765</v>
      </c>
      <c r="P29" s="122">
        <v>89265</v>
      </c>
      <c r="Q29" s="23">
        <v>105450</v>
      </c>
      <c r="R29" s="23">
        <v>105450</v>
      </c>
      <c r="S29" s="23">
        <v>119430</v>
      </c>
      <c r="T29" s="23">
        <v>141955</v>
      </c>
      <c r="U29" s="23">
        <v>180830</v>
      </c>
      <c r="V29" s="121">
        <v>196860</v>
      </c>
      <c r="W29" s="23">
        <v>196860</v>
      </c>
      <c r="X29" s="23">
        <v>216270</v>
      </c>
      <c r="Y29" s="23">
        <v>226435</v>
      </c>
      <c r="Z29" s="109">
        <f>+Y29/C50</f>
        <v>1.0063777777777778</v>
      </c>
      <c r="AA29" s="79">
        <f t="shared" si="8"/>
        <v>6.3777777777778155E-3</v>
      </c>
      <c r="AX29"/>
    </row>
    <row r="30" spans="2:50" s="4" customFormat="1" ht="12.75">
      <c r="B30" s="4" t="str">
        <f>+B20</f>
        <v>Canada</v>
      </c>
      <c r="E30" s="23"/>
      <c r="F30" s="34">
        <v>0</v>
      </c>
      <c r="G30" s="34">
        <v>20567</v>
      </c>
      <c r="H30" s="34">
        <v>20567</v>
      </c>
      <c r="I30" s="34">
        <v>22985</v>
      </c>
      <c r="J30" s="34">
        <v>22985</v>
      </c>
      <c r="K30" s="34">
        <v>22985</v>
      </c>
      <c r="L30" s="122">
        <v>22985</v>
      </c>
      <c r="M30" s="122">
        <v>22985</v>
      </c>
      <c r="N30" s="122">
        <v>25403</v>
      </c>
      <c r="O30" s="122">
        <v>31093</v>
      </c>
      <c r="P30" s="122">
        <v>31093</v>
      </c>
      <c r="Q30" s="34">
        <v>31093</v>
      </c>
      <c r="R30" s="34">
        <v>33938</v>
      </c>
      <c r="S30" s="34">
        <v>39629</v>
      </c>
      <c r="T30" s="34">
        <v>46797</v>
      </c>
      <c r="U30" s="34">
        <v>46797</v>
      </c>
      <c r="V30" s="121">
        <v>51305</v>
      </c>
      <c r="W30" s="34">
        <v>53722</v>
      </c>
      <c r="X30" s="34">
        <v>56568</v>
      </c>
      <c r="Y30" s="34">
        <v>63204</v>
      </c>
      <c r="Z30" s="109">
        <f>Y30/C51</f>
        <v>0.33265263157894737</v>
      </c>
      <c r="AA30" s="79">
        <f t="shared" si="8"/>
        <v>-0.66734736842105269</v>
      </c>
    </row>
    <row r="31" spans="2:50" s="4" customFormat="1" ht="12.75">
      <c r="B31" s="4" t="s">
        <v>63</v>
      </c>
      <c r="E31" s="23"/>
      <c r="F31" s="34">
        <v>0</v>
      </c>
      <c r="G31" s="34">
        <v>2695</v>
      </c>
      <c r="H31" s="34">
        <v>2695</v>
      </c>
      <c r="I31" s="34">
        <v>2695</v>
      </c>
      <c r="J31" s="34">
        <v>2695</v>
      </c>
      <c r="K31" s="34">
        <v>2695</v>
      </c>
      <c r="L31" s="122">
        <v>9362</v>
      </c>
      <c r="M31" s="122">
        <v>9362</v>
      </c>
      <c r="N31" s="122">
        <v>17357</v>
      </c>
      <c r="O31" s="122">
        <v>17357</v>
      </c>
      <c r="P31" s="122">
        <v>17357</v>
      </c>
      <c r="Q31" s="34">
        <v>17357</v>
      </c>
      <c r="R31" s="34">
        <v>24053</v>
      </c>
      <c r="S31" s="34">
        <v>24053</v>
      </c>
      <c r="T31" s="34">
        <v>24053</v>
      </c>
      <c r="U31" s="34">
        <v>24053</v>
      </c>
      <c r="V31" s="121">
        <v>24053</v>
      </c>
      <c r="W31" s="34">
        <v>24053</v>
      </c>
      <c r="X31" s="34">
        <v>24053</v>
      </c>
      <c r="Y31" s="34">
        <v>25181</v>
      </c>
      <c r="Z31" s="109">
        <f>Y31/C52</f>
        <v>0.25180999999999998</v>
      </c>
      <c r="AA31" s="79">
        <f t="shared" si="8"/>
        <v>-0.74819000000000002</v>
      </c>
    </row>
    <row r="32" spans="2:50">
      <c r="B32" s="5" t="str">
        <f>+B22</f>
        <v>Norwich</v>
      </c>
      <c r="C32" s="19"/>
      <c r="D32" s="19"/>
      <c r="E32" s="35"/>
      <c r="F32" s="35">
        <v>25647</v>
      </c>
      <c r="G32" s="35">
        <v>42615</v>
      </c>
      <c r="H32" s="35">
        <v>54475</v>
      </c>
      <c r="I32" s="35">
        <v>64370</v>
      </c>
      <c r="J32" s="35">
        <v>75023</v>
      </c>
      <c r="K32" s="35">
        <v>87703</v>
      </c>
      <c r="L32" s="124">
        <v>100838</v>
      </c>
      <c r="M32" s="124">
        <v>106850</v>
      </c>
      <c r="N32" s="124">
        <v>112054</v>
      </c>
      <c r="O32" s="124">
        <v>114204</v>
      </c>
      <c r="P32" s="124">
        <v>117484</v>
      </c>
      <c r="Q32" s="35">
        <v>122016</v>
      </c>
      <c r="R32" s="35">
        <v>132562</v>
      </c>
      <c r="S32" s="35">
        <v>134788</v>
      </c>
      <c r="T32" s="35">
        <v>136985</v>
      </c>
      <c r="U32" s="35">
        <v>142811</v>
      </c>
      <c r="V32" s="35">
        <v>157335</v>
      </c>
      <c r="W32" s="35">
        <v>169536</v>
      </c>
      <c r="X32" s="35">
        <v>165810</v>
      </c>
      <c r="Y32" s="35">
        <v>167416</v>
      </c>
      <c r="Z32" s="110">
        <f>+Y32/C53</f>
        <v>0.46504444444444443</v>
      </c>
      <c r="AA32" s="79">
        <f t="shared" si="8"/>
        <v>-0.53495555555555563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40014</v>
      </c>
      <c r="G33" s="10">
        <f>SUM(G27:G32)</f>
        <v>137580</v>
      </c>
      <c r="H33" s="10">
        <f>SUM(H27:H32)</f>
        <v>186894</v>
      </c>
      <c r="I33" s="10">
        <f>SUM(I27:I32)</f>
        <v>217672</v>
      </c>
      <c r="J33" s="4">
        <f t="shared" ref="J33:Y33" si="9">SUM(J27:J32)</f>
        <v>250755</v>
      </c>
      <c r="K33" s="10">
        <f t="shared" si="9"/>
        <v>266625</v>
      </c>
      <c r="L33" s="10">
        <f t="shared" si="9"/>
        <v>299962</v>
      </c>
      <c r="M33" s="10">
        <f t="shared" si="9"/>
        <v>331314</v>
      </c>
      <c r="N33" s="10">
        <f t="shared" si="9"/>
        <v>360896</v>
      </c>
      <c r="O33" s="4">
        <f>SUM(O27:O32)</f>
        <v>404966</v>
      </c>
      <c r="P33" s="10">
        <f t="shared" si="9"/>
        <v>423211</v>
      </c>
      <c r="Q33" s="10">
        <f t="shared" si="9"/>
        <v>455348</v>
      </c>
      <c r="R33" s="10">
        <f t="shared" si="9"/>
        <v>515755</v>
      </c>
      <c r="S33" s="10">
        <f t="shared" si="9"/>
        <v>581274</v>
      </c>
      <c r="T33" s="4">
        <f t="shared" si="9"/>
        <v>639249</v>
      </c>
      <c r="U33" s="10">
        <f t="shared" si="9"/>
        <v>687160</v>
      </c>
      <c r="V33" s="10">
        <f t="shared" si="9"/>
        <v>776972</v>
      </c>
      <c r="W33" s="10">
        <f t="shared" si="9"/>
        <v>806065</v>
      </c>
      <c r="X33" s="10">
        <f t="shared" si="9"/>
        <v>843930</v>
      </c>
      <c r="Y33" s="10">
        <f t="shared" si="9"/>
        <v>886515</v>
      </c>
      <c r="Z33" s="111">
        <f>+Y33/C54</f>
        <v>0.68193461538461542</v>
      </c>
      <c r="AA33" s="84">
        <f t="shared" si="8"/>
        <v>-0.31806538461538458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3.0779999999999998E-2</v>
      </c>
      <c r="G34" s="30">
        <f t="shared" si="10"/>
        <v>0.10583076923076923</v>
      </c>
      <c r="H34" s="30">
        <f t="shared" si="10"/>
        <v>0.14376461538461538</v>
      </c>
      <c r="I34" s="30">
        <f t="shared" si="10"/>
        <v>0.16744000000000001</v>
      </c>
      <c r="J34" s="30">
        <f t="shared" si="10"/>
        <v>0.19288846153846154</v>
      </c>
      <c r="K34" s="30">
        <f t="shared" si="10"/>
        <v>0.20509615384615384</v>
      </c>
      <c r="L34" s="30">
        <f t="shared" si="10"/>
        <v>0.23074</v>
      </c>
      <c r="M34" s="30">
        <f t="shared" si="10"/>
        <v>0.25485692307692309</v>
      </c>
      <c r="N34" s="30">
        <f t="shared" si="10"/>
        <v>0.27761230769230771</v>
      </c>
      <c r="O34" s="30">
        <f>+O33/$C$54</f>
        <v>0.3115123076923077</v>
      </c>
      <c r="P34" s="30">
        <f t="shared" ref="P34:Y34" si="11">+P33/$C$54</f>
        <v>0.32554692307692307</v>
      </c>
      <c r="Q34" s="30">
        <f t="shared" si="11"/>
        <v>0.35026769230769234</v>
      </c>
      <c r="R34" s="30">
        <f t="shared" si="11"/>
        <v>0.39673461538461541</v>
      </c>
      <c r="S34" s="30">
        <f t="shared" si="11"/>
        <v>0.44713384615384616</v>
      </c>
      <c r="T34" s="30">
        <f t="shared" si="11"/>
        <v>0.49173</v>
      </c>
      <c r="U34" s="30">
        <f t="shared" si="11"/>
        <v>0.52858461538461543</v>
      </c>
      <c r="V34" s="30">
        <f t="shared" si="11"/>
        <v>0.59767076923076923</v>
      </c>
      <c r="W34" s="30">
        <f t="shared" si="11"/>
        <v>0.62004999999999999</v>
      </c>
      <c r="X34" s="30">
        <f t="shared" si="11"/>
        <v>0.6491769230769231</v>
      </c>
      <c r="Y34" s="30">
        <f t="shared" si="11"/>
        <v>0.68193461538461542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0.8841230769230769</v>
      </c>
      <c r="G38" s="17">
        <f t="shared" ref="G38:Y38" si="13">(G48/$C$48)</f>
        <v>1.2440923076923076</v>
      </c>
      <c r="H38" s="17">
        <f t="shared" si="13"/>
        <v>1.196348717948718</v>
      </c>
      <c r="I38" s="17">
        <f t="shared" si="13"/>
        <v>0.94333846153846157</v>
      </c>
      <c r="J38" s="17">
        <f t="shared" si="13"/>
        <v>0.88316307692307694</v>
      </c>
      <c r="K38" s="17">
        <f t="shared" si="13"/>
        <v>0.76868717948717946</v>
      </c>
      <c r="L38" s="17">
        <f t="shared" si="13"/>
        <v>0.65887472527472535</v>
      </c>
      <c r="M38" s="17">
        <f t="shared" si="13"/>
        <v>0.62582307692307693</v>
      </c>
      <c r="N38" s="17">
        <f t="shared" si="13"/>
        <v>0.64032136752136748</v>
      </c>
      <c r="O38" s="17">
        <f t="shared" si="13"/>
        <v>0.68247384615384621</v>
      </c>
      <c r="P38" s="17">
        <f t="shared" si="13"/>
        <v>0.65338181818181817</v>
      </c>
      <c r="Q38" s="17">
        <f t="shared" si="13"/>
        <v>0.5756</v>
      </c>
      <c r="R38" s="17">
        <f t="shared" si="13"/>
        <v>0.6428497041420117</v>
      </c>
      <c r="S38" s="17">
        <f t="shared" si="13"/>
        <v>0.67696263736263729</v>
      </c>
      <c r="T38" s="17">
        <f t="shared" si="13"/>
        <v>0.68145230769230769</v>
      </c>
      <c r="U38" s="17">
        <f t="shared" si="13"/>
        <v>0.65120769230769227</v>
      </c>
      <c r="V38" s="17">
        <f t="shared" si="13"/>
        <v>0.76841266968325783</v>
      </c>
      <c r="W38" s="17">
        <f t="shared" si="13"/>
        <v>0.76599658119658121</v>
      </c>
      <c r="X38" s="17">
        <f t="shared" si="13"/>
        <v>0.75139757085020242</v>
      </c>
      <c r="Y38" s="17">
        <f t="shared" si="13"/>
        <v>0.77553538461538463</v>
      </c>
      <c r="Z38" s="132"/>
      <c r="AA38" s="133">
        <v>375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0</v>
      </c>
      <c r="H39" s="17">
        <f t="shared" si="14"/>
        <v>0.97166666666666657</v>
      </c>
      <c r="I39" s="17">
        <f t="shared" si="14"/>
        <v>0.86350000000000005</v>
      </c>
      <c r="J39" s="17">
        <f t="shared" si="14"/>
        <v>0.69079999999999997</v>
      </c>
      <c r="K39" s="17">
        <f t="shared" si="14"/>
        <v>0.57566666666666666</v>
      </c>
      <c r="L39" s="17">
        <f t="shared" si="14"/>
        <v>0.49342857142857144</v>
      </c>
      <c r="M39" s="17">
        <f t="shared" si="14"/>
        <v>0.67400000000000004</v>
      </c>
      <c r="N39" s="17">
        <f t="shared" si="14"/>
        <v>0.59911111111111115</v>
      </c>
      <c r="O39" s="17">
        <f t="shared" si="14"/>
        <v>0.87290000000000001</v>
      </c>
      <c r="P39" s="17">
        <f t="shared" si="14"/>
        <v>0.93127272727272725</v>
      </c>
      <c r="Q39" s="17">
        <f t="shared" si="14"/>
        <v>1.1198333333333335</v>
      </c>
      <c r="R39" s="17">
        <f t="shared" si="14"/>
        <v>1.2915384615384615</v>
      </c>
      <c r="S39" s="17">
        <f t="shared" si="14"/>
        <v>1.562357142857143</v>
      </c>
      <c r="T39" s="17">
        <f t="shared" si="14"/>
        <v>1.6447333333333332</v>
      </c>
      <c r="U39" s="17">
        <f t="shared" si="14"/>
        <v>1.5419375</v>
      </c>
      <c r="V39" s="17">
        <f t="shared" si="14"/>
        <v>1.5899411764705882</v>
      </c>
      <c r="W39" s="17">
        <f t="shared" si="14"/>
        <v>1.5315555555555556</v>
      </c>
      <c r="X39" s="17">
        <f t="shared" si="14"/>
        <v>1.5708947368421053</v>
      </c>
      <c r="Y39" s="17">
        <f t="shared" si="14"/>
        <v>1.5223</v>
      </c>
      <c r="Z39" s="132"/>
      <c r="AA39" s="133">
        <v>125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0</v>
      </c>
      <c r="G40" s="17">
        <f t="shared" si="15"/>
        <v>1.3897777777777778</v>
      </c>
      <c r="H40" s="17">
        <f t="shared" si="15"/>
        <v>1.0743703703703702</v>
      </c>
      <c r="I40" s="17">
        <f t="shared" si="15"/>
        <v>1.0896666666666666</v>
      </c>
      <c r="J40" s="17">
        <f t="shared" si="15"/>
        <v>1.0848888888888888</v>
      </c>
      <c r="K40" s="17">
        <f t="shared" si="15"/>
        <v>0.90407407407407414</v>
      </c>
      <c r="L40" s="17">
        <f t="shared" si="15"/>
        <v>0.94679365079365074</v>
      </c>
      <c r="M40" s="17">
        <f t="shared" si="15"/>
        <v>0.93111111111111111</v>
      </c>
      <c r="N40" s="17">
        <f t="shared" si="15"/>
        <v>0.84419753086419747</v>
      </c>
      <c r="O40" s="17">
        <f t="shared" si="15"/>
        <v>0.78013333333333335</v>
      </c>
      <c r="P40" s="17">
        <f t="shared" si="15"/>
        <v>0.72133333333333338</v>
      </c>
      <c r="Q40" s="17">
        <f t="shared" si="15"/>
        <v>0.78111111111111109</v>
      </c>
      <c r="R40" s="17">
        <f t="shared" si="15"/>
        <v>0.72102564102564115</v>
      </c>
      <c r="S40" s="17">
        <f t="shared" si="15"/>
        <v>0.75828571428571445</v>
      </c>
      <c r="T40" s="17">
        <f t="shared" si="15"/>
        <v>0.84121481481481475</v>
      </c>
      <c r="U40" s="17">
        <f t="shared" si="15"/>
        <v>1.0046111111111111</v>
      </c>
      <c r="V40" s="17">
        <f t="shared" si="15"/>
        <v>1.0293333333333334</v>
      </c>
      <c r="W40" s="17">
        <f t="shared" si="15"/>
        <v>0.97214814814814809</v>
      </c>
      <c r="X40" s="17">
        <f t="shared" si="15"/>
        <v>1.0117894736842106</v>
      </c>
      <c r="Y40" s="17">
        <f t="shared" si="15"/>
        <v>1.0063777777777778</v>
      </c>
      <c r="Z40" s="132"/>
      <c r="AA40" s="133">
        <v>275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</v>
      </c>
      <c r="G41" s="17">
        <f t="shared" si="16"/>
        <v>1.0824736842105263</v>
      </c>
      <c r="H41" s="17">
        <f t="shared" si="16"/>
        <v>0.72164912280701754</v>
      </c>
      <c r="I41" s="17">
        <f t="shared" si="16"/>
        <v>0.60486842105263161</v>
      </c>
      <c r="J41" s="17">
        <f t="shared" si="16"/>
        <v>0.48389473684210527</v>
      </c>
      <c r="K41" s="17">
        <f t="shared" si="16"/>
        <v>0.40324561403508774</v>
      </c>
      <c r="L41" s="17">
        <f t="shared" si="16"/>
        <v>0.34563909774436086</v>
      </c>
      <c r="M41" s="17">
        <f t="shared" si="16"/>
        <v>0.30243421052631581</v>
      </c>
      <c r="N41" s="17">
        <f t="shared" si="16"/>
        <v>0.2971111111111111</v>
      </c>
      <c r="O41" s="17">
        <f t="shared" si="16"/>
        <v>0.32729473684210525</v>
      </c>
      <c r="P41" s="17">
        <f t="shared" si="16"/>
        <v>0.29754066985645933</v>
      </c>
      <c r="Q41" s="17">
        <f t="shared" si="16"/>
        <v>0.27274561403508774</v>
      </c>
      <c r="R41" s="17">
        <f t="shared" si="16"/>
        <v>0.27480161943319842</v>
      </c>
      <c r="S41" s="17">
        <f t="shared" si="16"/>
        <v>0.2979624060150376</v>
      </c>
      <c r="T41" s="17">
        <f t="shared" si="16"/>
        <v>0.32840000000000003</v>
      </c>
      <c r="U41" s="17">
        <f t="shared" si="16"/>
        <v>0.30787500000000001</v>
      </c>
      <c r="V41" s="17">
        <f t="shared" si="16"/>
        <v>0.31767801857585137</v>
      </c>
      <c r="W41" s="17">
        <f t="shared" si="16"/>
        <v>0.31416374269005848</v>
      </c>
      <c r="X41" s="17">
        <f t="shared" si="16"/>
        <v>0.31339612188365651</v>
      </c>
      <c r="Y41" s="17">
        <f t="shared" si="16"/>
        <v>0.33265263157894737</v>
      </c>
      <c r="Z41" s="132"/>
      <c r="AA41" s="133">
        <v>65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0.14184210526315791</v>
      </c>
      <c r="H42" s="17">
        <f t="shared" si="16"/>
        <v>9.456140350877193E-2</v>
      </c>
      <c r="I42" s="17">
        <f t="shared" si="16"/>
        <v>7.0921052631578954E-2</v>
      </c>
      <c r="J42" s="17">
        <f t="shared" si="16"/>
        <v>5.6736842105263155E-2</v>
      </c>
      <c r="K42" s="17">
        <f t="shared" si="16"/>
        <v>4.7280701754385965E-2</v>
      </c>
      <c r="L42" s="17">
        <f t="shared" si="16"/>
        <v>0.14078195488721804</v>
      </c>
      <c r="M42" s="17">
        <f t="shared" si="16"/>
        <v>0.12318421052631578</v>
      </c>
      <c r="N42" s="17">
        <f t="shared" si="16"/>
        <v>0.20300584795321636</v>
      </c>
      <c r="O42" s="17">
        <f t="shared" si="16"/>
        <v>0.18270526315789473</v>
      </c>
      <c r="P42" s="17">
        <f t="shared" si="16"/>
        <v>0.16609569377990432</v>
      </c>
      <c r="Q42" s="17">
        <f t="shared" si="16"/>
        <v>0.15225438596491228</v>
      </c>
      <c r="R42" s="17">
        <f t="shared" si="16"/>
        <v>0.19476113360323885</v>
      </c>
      <c r="S42" s="17">
        <f t="shared" si="16"/>
        <v>0.18084962406015037</v>
      </c>
      <c r="T42" s="17">
        <f t="shared" si="16"/>
        <v>0.16879298245614033</v>
      </c>
      <c r="U42" s="17">
        <f t="shared" si="16"/>
        <v>0.15824342105263159</v>
      </c>
      <c r="V42" s="17">
        <f t="shared" si="16"/>
        <v>0.14893498452012385</v>
      </c>
      <c r="W42" s="17">
        <f t="shared" si="16"/>
        <v>0.14066081871345029</v>
      </c>
      <c r="X42" s="17">
        <f t="shared" si="16"/>
        <v>0.13325761772853187</v>
      </c>
      <c r="Y42" s="17">
        <f t="shared" si="16"/>
        <v>0.13253157894736842</v>
      </c>
      <c r="Z42" s="132"/>
      <c r="AA42" s="133">
        <v>30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1.4248333333333334</v>
      </c>
      <c r="G43" s="18">
        <f t="shared" si="17"/>
        <v>1.1837500000000001</v>
      </c>
      <c r="H43" s="18">
        <f t="shared" si="17"/>
        <v>1.0087962962962962</v>
      </c>
      <c r="I43" s="18">
        <f t="shared" si="17"/>
        <v>0.89402777777777775</v>
      </c>
      <c r="J43" s="18">
        <f t="shared" si="17"/>
        <v>0.83358888888888893</v>
      </c>
      <c r="K43" s="18">
        <f t="shared" si="17"/>
        <v>0.81206481481481474</v>
      </c>
      <c r="L43" s="18">
        <f t="shared" si="17"/>
        <v>0.80030158730158729</v>
      </c>
      <c r="M43" s="18">
        <f t="shared" si="17"/>
        <v>0.74201388888888886</v>
      </c>
      <c r="N43" s="18">
        <f t="shared" si="17"/>
        <v>0.69169135802469139</v>
      </c>
      <c r="O43" s="18">
        <f t="shared" si="17"/>
        <v>0.63446666666666662</v>
      </c>
      <c r="P43" s="18">
        <f t="shared" si="17"/>
        <v>0.5933535353535353</v>
      </c>
      <c r="Q43" s="18">
        <f t="shared" si="17"/>
        <v>0.56488888888888888</v>
      </c>
      <c r="R43" s="18">
        <f t="shared" si="17"/>
        <v>0.56650427350427357</v>
      </c>
      <c r="S43" s="18">
        <f t="shared" si="17"/>
        <v>0.53487301587301594</v>
      </c>
      <c r="T43" s="18">
        <f t="shared" si="17"/>
        <v>0.50735185185185194</v>
      </c>
      <c r="U43" s="18">
        <f t="shared" si="17"/>
        <v>0.49587152777777777</v>
      </c>
      <c r="V43" s="18">
        <f t="shared" si="17"/>
        <v>0.51416666666666666</v>
      </c>
      <c r="W43" s="18">
        <f t="shared" si="17"/>
        <v>0.5232592592592592</v>
      </c>
      <c r="X43" s="18">
        <f t="shared" si="17"/>
        <v>0.48482456140350882</v>
      </c>
      <c r="Y43" s="18">
        <f t="shared" si="17"/>
        <v>0.46504444444444443</v>
      </c>
      <c r="Z43" s="129"/>
      <c r="AA43" s="133">
        <v>328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0.61560000000000004</v>
      </c>
      <c r="G44" s="17">
        <f t="shared" si="18"/>
        <v>1.0583076923076924</v>
      </c>
      <c r="H44" s="17">
        <f t="shared" si="18"/>
        <v>0.9584307692307692</v>
      </c>
      <c r="I44" s="17">
        <f t="shared" si="18"/>
        <v>0.83720000000000006</v>
      </c>
      <c r="J44" s="17">
        <f t="shared" si="18"/>
        <v>0.77155384615384615</v>
      </c>
      <c r="K44" s="17">
        <f t="shared" si="18"/>
        <v>0.68365384615384617</v>
      </c>
      <c r="L44" s="17">
        <f t="shared" si="18"/>
        <v>0.65925714285714287</v>
      </c>
      <c r="M44" s="17">
        <f t="shared" si="18"/>
        <v>0.63714230769230773</v>
      </c>
      <c r="N44" s="17">
        <f t="shared" si="18"/>
        <v>0.61691623931623929</v>
      </c>
      <c r="O44" s="17">
        <f t="shared" si="18"/>
        <v>0.6230246153846154</v>
      </c>
      <c r="P44" s="17">
        <f t="shared" si="18"/>
        <v>0.5919034965034965</v>
      </c>
      <c r="Q44" s="17">
        <f t="shared" si="18"/>
        <v>0.58377948717948724</v>
      </c>
      <c r="R44" s="17">
        <f t="shared" si="18"/>
        <v>0.61036094674556218</v>
      </c>
      <c r="S44" s="17">
        <f t="shared" si="18"/>
        <v>0.63876263736263739</v>
      </c>
      <c r="T44" s="17">
        <f t="shared" si="18"/>
        <v>0.65564</v>
      </c>
      <c r="U44" s="17">
        <f t="shared" si="18"/>
        <v>0.66073076923076923</v>
      </c>
      <c r="V44" s="17">
        <f t="shared" si="18"/>
        <v>0.70314208144796375</v>
      </c>
      <c r="W44" s="17">
        <f t="shared" si="18"/>
        <v>0.68894444444444447</v>
      </c>
      <c r="X44" s="17">
        <f t="shared" si="18"/>
        <v>0.68334412955465584</v>
      </c>
      <c r="Y44" s="17">
        <f t="shared" si="18"/>
        <v>0.68193461538461542</v>
      </c>
      <c r="AA44" s="130">
        <f>SUM(AA38:AA43)</f>
        <v>1198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325000</v>
      </c>
      <c r="D48" s="4"/>
      <c r="E48" s="4"/>
      <c r="F48" s="55">
        <f t="shared" ref="F48:Y53" si="20">(F27)/F$1*$Y$1</f>
        <v>287340</v>
      </c>
      <c r="G48" s="55">
        <f t="shared" si="20"/>
        <v>404330</v>
      </c>
      <c r="H48" s="55">
        <f t="shared" si="20"/>
        <v>388813.33333333337</v>
      </c>
      <c r="I48" s="55">
        <f t="shared" si="20"/>
        <v>306585</v>
      </c>
      <c r="J48" s="55">
        <f t="shared" si="20"/>
        <v>287028</v>
      </c>
      <c r="K48" s="55">
        <f t="shared" si="20"/>
        <v>249823.33333333331</v>
      </c>
      <c r="L48" s="55">
        <f t="shared" si="20"/>
        <v>214134.28571428574</v>
      </c>
      <c r="M48" s="55">
        <f t="shared" si="20"/>
        <v>203392.5</v>
      </c>
      <c r="N48" s="55">
        <f t="shared" si="20"/>
        <v>208104.44444444444</v>
      </c>
      <c r="O48" s="55">
        <f t="shared" si="20"/>
        <v>221804</v>
      </c>
      <c r="P48" s="55">
        <f t="shared" si="20"/>
        <v>212349.09090909091</v>
      </c>
      <c r="Q48" s="55">
        <f t="shared" si="20"/>
        <v>187070</v>
      </c>
      <c r="R48" s="55">
        <f t="shared" si="20"/>
        <v>208926.15384615381</v>
      </c>
      <c r="S48" s="55">
        <f t="shared" si="20"/>
        <v>220012.85714285713</v>
      </c>
      <c r="T48" s="55">
        <f t="shared" si="20"/>
        <v>221472</v>
      </c>
      <c r="U48" s="55">
        <f t="shared" si="20"/>
        <v>211642.5</v>
      </c>
      <c r="V48" s="55">
        <f t="shared" si="20"/>
        <v>249734.1176470588</v>
      </c>
      <c r="W48" s="55">
        <f t="shared" si="20"/>
        <v>248948.88888888891</v>
      </c>
      <c r="X48" s="55">
        <f t="shared" si="20"/>
        <v>244204.21052631579</v>
      </c>
      <c r="Y48" s="55">
        <f t="shared" si="20"/>
        <v>252049</v>
      </c>
      <c r="AX48"/>
    </row>
    <row r="49" spans="2:50">
      <c r="B49" s="4" t="s">
        <v>64</v>
      </c>
      <c r="C49" s="37">
        <v>100000</v>
      </c>
      <c r="D49" s="4"/>
      <c r="E49" s="4"/>
      <c r="F49" s="55">
        <f t="shared" si="20"/>
        <v>0</v>
      </c>
      <c r="G49" s="55">
        <f t="shared" si="20"/>
        <v>0</v>
      </c>
      <c r="H49" s="55">
        <f t="shared" si="20"/>
        <v>97166.666666666657</v>
      </c>
      <c r="I49" s="55">
        <f t="shared" si="20"/>
        <v>86350</v>
      </c>
      <c r="J49" s="55">
        <f t="shared" si="20"/>
        <v>69080</v>
      </c>
      <c r="K49" s="55">
        <f t="shared" si="20"/>
        <v>57566.666666666672</v>
      </c>
      <c r="L49" s="55">
        <f t="shared" si="20"/>
        <v>49342.857142857145</v>
      </c>
      <c r="M49" s="55">
        <f t="shared" si="20"/>
        <v>67400</v>
      </c>
      <c r="N49" s="55">
        <f t="shared" si="20"/>
        <v>59911.111111111109</v>
      </c>
      <c r="O49" s="55">
        <f t="shared" si="20"/>
        <v>87290</v>
      </c>
      <c r="P49" s="55">
        <f t="shared" si="20"/>
        <v>93127.272727272721</v>
      </c>
      <c r="Q49" s="55">
        <f t="shared" si="20"/>
        <v>111983.33333333334</v>
      </c>
      <c r="R49" s="55">
        <f t="shared" si="20"/>
        <v>129153.84615384616</v>
      </c>
      <c r="S49" s="55">
        <f t="shared" si="20"/>
        <v>156235.71428571429</v>
      </c>
      <c r="T49" s="55">
        <f t="shared" si="20"/>
        <v>164473.33333333331</v>
      </c>
      <c r="U49" s="55">
        <f t="shared" si="20"/>
        <v>154193.75</v>
      </c>
      <c r="V49" s="55">
        <f t="shared" si="20"/>
        <v>158994.11764705883</v>
      </c>
      <c r="W49" s="55">
        <f t="shared" si="20"/>
        <v>153155.55555555556</v>
      </c>
      <c r="X49" s="55">
        <f t="shared" si="20"/>
        <v>157089.47368421053</v>
      </c>
      <c r="Y49" s="55">
        <f t="shared" si="20"/>
        <v>152230</v>
      </c>
      <c r="AX49"/>
    </row>
    <row r="50" spans="2:50">
      <c r="B50" s="4" t="s">
        <v>1</v>
      </c>
      <c r="C50" s="37">
        <v>225000</v>
      </c>
      <c r="D50" s="4"/>
      <c r="E50" s="4"/>
      <c r="F50" s="55">
        <f t="shared" si="20"/>
        <v>0</v>
      </c>
      <c r="G50" s="55">
        <f t="shared" si="20"/>
        <v>312700</v>
      </c>
      <c r="H50" s="55">
        <f t="shared" si="20"/>
        <v>241733.33333333331</v>
      </c>
      <c r="I50" s="55">
        <f t="shared" si="20"/>
        <v>245175</v>
      </c>
      <c r="J50" s="55">
        <f t="shared" si="20"/>
        <v>244100</v>
      </c>
      <c r="K50" s="55">
        <f t="shared" si="20"/>
        <v>203416.66666666669</v>
      </c>
      <c r="L50" s="55">
        <f t="shared" si="20"/>
        <v>213028.57142857142</v>
      </c>
      <c r="M50" s="55">
        <f t="shared" si="20"/>
        <v>209500</v>
      </c>
      <c r="N50" s="55">
        <f t="shared" si="20"/>
        <v>189944.44444444444</v>
      </c>
      <c r="O50" s="55">
        <f t="shared" si="20"/>
        <v>175530</v>
      </c>
      <c r="P50" s="55">
        <f t="shared" si="20"/>
        <v>162300</v>
      </c>
      <c r="Q50" s="55">
        <f t="shared" si="20"/>
        <v>175750</v>
      </c>
      <c r="R50" s="55">
        <f t="shared" si="20"/>
        <v>162230.76923076925</v>
      </c>
      <c r="S50" s="55">
        <f t="shared" si="20"/>
        <v>170614.28571428574</v>
      </c>
      <c r="T50" s="55">
        <f t="shared" si="20"/>
        <v>189273.33333333331</v>
      </c>
      <c r="U50" s="55">
        <f t="shared" si="20"/>
        <v>226037.5</v>
      </c>
      <c r="V50" s="55">
        <f t="shared" si="20"/>
        <v>231600</v>
      </c>
      <c r="W50" s="55">
        <f t="shared" si="20"/>
        <v>218733.33333333331</v>
      </c>
      <c r="X50" s="55">
        <f t="shared" si="20"/>
        <v>227652.63157894736</v>
      </c>
      <c r="Y50" s="55">
        <f t="shared" si="20"/>
        <v>226435</v>
      </c>
      <c r="AX50"/>
    </row>
    <row r="51" spans="2:50">
      <c r="B51" s="4" t="s">
        <v>2</v>
      </c>
      <c r="C51" s="37">
        <v>190000</v>
      </c>
      <c r="D51" s="4"/>
      <c r="E51" s="4"/>
      <c r="F51" s="55">
        <f t="shared" si="20"/>
        <v>0</v>
      </c>
      <c r="G51" s="55">
        <f t="shared" si="20"/>
        <v>205670</v>
      </c>
      <c r="H51" s="55">
        <f t="shared" si="20"/>
        <v>137113.33333333334</v>
      </c>
      <c r="I51" s="55">
        <f t="shared" si="20"/>
        <v>114925</v>
      </c>
      <c r="J51" s="55">
        <f t="shared" si="20"/>
        <v>91940</v>
      </c>
      <c r="K51" s="55">
        <f t="shared" si="20"/>
        <v>76616.666666666672</v>
      </c>
      <c r="L51" s="55">
        <f t="shared" si="20"/>
        <v>65671.428571428565</v>
      </c>
      <c r="M51" s="55">
        <f t="shared" si="20"/>
        <v>57462.5</v>
      </c>
      <c r="N51" s="55">
        <f t="shared" si="20"/>
        <v>56451.111111111109</v>
      </c>
      <c r="O51" s="55">
        <f t="shared" si="20"/>
        <v>62186</v>
      </c>
      <c r="P51" s="55">
        <f t="shared" si="20"/>
        <v>56532.727272727272</v>
      </c>
      <c r="Q51" s="55">
        <f t="shared" si="20"/>
        <v>51821.666666666672</v>
      </c>
      <c r="R51" s="55">
        <f t="shared" si="20"/>
        <v>52212.307692307695</v>
      </c>
      <c r="S51" s="55">
        <f t="shared" si="20"/>
        <v>56612.857142857145</v>
      </c>
      <c r="T51" s="55">
        <f t="shared" si="20"/>
        <v>62396</v>
      </c>
      <c r="U51" s="55">
        <f t="shared" si="20"/>
        <v>58496.25</v>
      </c>
      <c r="V51" s="55">
        <f t="shared" si="20"/>
        <v>60358.823529411762</v>
      </c>
      <c r="W51" s="55">
        <f t="shared" si="20"/>
        <v>59691.111111111109</v>
      </c>
      <c r="X51" s="55">
        <f t="shared" si="20"/>
        <v>59545.263157894733</v>
      </c>
      <c r="Y51" s="55">
        <f t="shared" si="20"/>
        <v>63204</v>
      </c>
      <c r="AA51" s="48"/>
    </row>
    <row r="52" spans="2:50">
      <c r="B52" s="4" t="s">
        <v>63</v>
      </c>
      <c r="C52" s="37">
        <v>100000</v>
      </c>
      <c r="D52" s="4"/>
      <c r="E52" s="4"/>
      <c r="F52" s="55">
        <f t="shared" si="20"/>
        <v>0</v>
      </c>
      <c r="G52" s="55">
        <f t="shared" si="20"/>
        <v>26950</v>
      </c>
      <c r="H52" s="55">
        <f t="shared" si="20"/>
        <v>17966.666666666668</v>
      </c>
      <c r="I52" s="55">
        <f t="shared" si="20"/>
        <v>13475</v>
      </c>
      <c r="J52" s="55">
        <f t="shared" si="20"/>
        <v>10780</v>
      </c>
      <c r="K52" s="55">
        <f t="shared" si="20"/>
        <v>8983.3333333333339</v>
      </c>
      <c r="L52" s="55">
        <f t="shared" si="20"/>
        <v>26748.571428571428</v>
      </c>
      <c r="M52" s="55">
        <f t="shared" si="20"/>
        <v>23405</v>
      </c>
      <c r="N52" s="55">
        <f t="shared" si="20"/>
        <v>38571.111111111109</v>
      </c>
      <c r="O52" s="55">
        <f t="shared" si="20"/>
        <v>34714</v>
      </c>
      <c r="P52" s="55">
        <f t="shared" si="20"/>
        <v>31558.18181818182</v>
      </c>
      <c r="Q52" s="55">
        <f t="shared" si="20"/>
        <v>28928.333333333336</v>
      </c>
      <c r="R52" s="55">
        <f t="shared" si="20"/>
        <v>37004.615384615383</v>
      </c>
      <c r="S52" s="55">
        <f t="shared" si="20"/>
        <v>34361.428571428572</v>
      </c>
      <c r="T52" s="55">
        <f t="shared" si="20"/>
        <v>32070.666666666664</v>
      </c>
      <c r="U52" s="55">
        <f t="shared" si="20"/>
        <v>30066.25</v>
      </c>
      <c r="V52" s="55">
        <f t="shared" si="20"/>
        <v>28297.647058823532</v>
      </c>
      <c r="W52" s="55">
        <f t="shared" si="20"/>
        <v>26725.555555555555</v>
      </c>
      <c r="X52" s="55">
        <f t="shared" si="20"/>
        <v>25318.947368421053</v>
      </c>
      <c r="Y52" s="55">
        <f t="shared" si="20"/>
        <v>25181</v>
      </c>
      <c r="AA52" s="48"/>
    </row>
    <row r="53" spans="2:50">
      <c r="B53" s="4" t="s">
        <v>3</v>
      </c>
      <c r="C53" s="38">
        <v>360000</v>
      </c>
      <c r="D53" s="19"/>
      <c r="E53" s="19"/>
      <c r="F53" s="98">
        <f t="shared" si="20"/>
        <v>512940</v>
      </c>
      <c r="G53" s="98">
        <f t="shared" si="20"/>
        <v>426150</v>
      </c>
      <c r="H53" s="98">
        <f t="shared" si="20"/>
        <v>363166.66666666663</v>
      </c>
      <c r="I53" s="98">
        <f t="shared" si="20"/>
        <v>321850</v>
      </c>
      <c r="J53" s="98">
        <f t="shared" si="20"/>
        <v>300092</v>
      </c>
      <c r="K53" s="98">
        <f t="shared" si="20"/>
        <v>292343.33333333331</v>
      </c>
      <c r="L53" s="98">
        <f t="shared" si="20"/>
        <v>288108.57142857142</v>
      </c>
      <c r="M53" s="98">
        <f t="shared" si="20"/>
        <v>267125</v>
      </c>
      <c r="N53" s="98">
        <f t="shared" si="20"/>
        <v>249008.88888888891</v>
      </c>
      <c r="O53" s="98">
        <f t="shared" si="20"/>
        <v>228408</v>
      </c>
      <c r="P53" s="98">
        <f t="shared" si="20"/>
        <v>213607.27272727271</v>
      </c>
      <c r="Q53" s="98">
        <f t="shared" si="20"/>
        <v>203360</v>
      </c>
      <c r="R53" s="98">
        <f t="shared" si="20"/>
        <v>203941.53846153847</v>
      </c>
      <c r="S53" s="98">
        <f t="shared" si="20"/>
        <v>192554.28571428574</v>
      </c>
      <c r="T53" s="98">
        <f t="shared" si="20"/>
        <v>182646.66666666669</v>
      </c>
      <c r="U53" s="98">
        <f t="shared" si="20"/>
        <v>178513.75</v>
      </c>
      <c r="V53" s="98">
        <f t="shared" si="20"/>
        <v>185100</v>
      </c>
      <c r="W53" s="98">
        <f t="shared" si="20"/>
        <v>188373.33333333331</v>
      </c>
      <c r="X53" s="98">
        <f t="shared" si="20"/>
        <v>174536.84210526317</v>
      </c>
      <c r="Y53" s="98">
        <f t="shared" si="20"/>
        <v>167416</v>
      </c>
    </row>
    <row r="54" spans="2:50">
      <c r="B54" s="14" t="s">
        <v>27</v>
      </c>
      <c r="C54" s="39">
        <f>SUM(C48:C53)</f>
        <v>1300000</v>
      </c>
      <c r="D54" s="10">
        <f>SUM(D48:D53)</f>
        <v>0</v>
      </c>
      <c r="E54" s="10"/>
      <c r="F54" s="10">
        <f t="shared" ref="F54:Y54" si="21">SUM(F48:F53)</f>
        <v>800280</v>
      </c>
      <c r="G54" s="10">
        <f t="shared" si="21"/>
        <v>1375800</v>
      </c>
      <c r="H54" s="10">
        <f t="shared" si="21"/>
        <v>1245960</v>
      </c>
      <c r="I54" s="10">
        <f t="shared" si="21"/>
        <v>1088360</v>
      </c>
      <c r="J54" s="10">
        <f t="shared" si="21"/>
        <v>1003020</v>
      </c>
      <c r="K54" s="10">
        <f t="shared" si="21"/>
        <v>888750</v>
      </c>
      <c r="L54" s="10">
        <f t="shared" si="21"/>
        <v>857034.28571428568</v>
      </c>
      <c r="M54" s="10">
        <f t="shared" si="21"/>
        <v>828285</v>
      </c>
      <c r="N54" s="10">
        <f t="shared" si="21"/>
        <v>801991.11111111112</v>
      </c>
      <c r="O54" s="10">
        <f t="shared" si="21"/>
        <v>809932</v>
      </c>
      <c r="P54" s="10">
        <f t="shared" si="21"/>
        <v>769474.54545454541</v>
      </c>
      <c r="Q54" s="10">
        <f t="shared" si="21"/>
        <v>758913.33333333337</v>
      </c>
      <c r="R54" s="10">
        <f t="shared" si="21"/>
        <v>793469.23076923087</v>
      </c>
      <c r="S54" s="10">
        <f t="shared" si="21"/>
        <v>830391.42857142864</v>
      </c>
      <c r="T54" s="10">
        <f t="shared" si="21"/>
        <v>852332</v>
      </c>
      <c r="U54" s="10">
        <f t="shared" si="21"/>
        <v>858950</v>
      </c>
      <c r="V54" s="10">
        <f t="shared" si="21"/>
        <v>914084.70588235289</v>
      </c>
      <c r="W54" s="10">
        <f t="shared" si="21"/>
        <v>895627.77777777775</v>
      </c>
      <c r="X54" s="10">
        <f t="shared" si="21"/>
        <v>888347.36842105258</v>
      </c>
      <c r="Y54" s="10">
        <f t="shared" si="21"/>
        <v>886515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I1" workbookViewId="0">
      <selection activeCell="Y11" sqref="Y11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31</v>
      </c>
    </row>
    <row r="4" spans="2:50" ht="15.75" thickBot="1">
      <c r="B4" s="9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35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AX5"/>
    </row>
    <row r="6" spans="2:50">
      <c r="B6" s="4" t="s">
        <v>0</v>
      </c>
      <c r="C6" s="20">
        <f>+C40/20</f>
        <v>12000</v>
      </c>
      <c r="D6" s="10"/>
      <c r="E6" s="11">
        <f>40338*0.9</f>
        <v>36304.200000000004</v>
      </c>
      <c r="F6" s="10">
        <v>22937</v>
      </c>
      <c r="G6" s="10">
        <v>2695</v>
      </c>
      <c r="H6" s="10">
        <v>5478</v>
      </c>
      <c r="I6" s="10">
        <v>8175</v>
      </c>
      <c r="J6" s="10">
        <v>11140</v>
      </c>
      <c r="K6" s="10">
        <v>18179</v>
      </c>
      <c r="L6" s="10">
        <v>11194</v>
      </c>
      <c r="M6" s="10">
        <v>15786</v>
      </c>
      <c r="N6" s="10">
        <v>24979</v>
      </c>
      <c r="O6" s="10">
        <v>5570</v>
      </c>
      <c r="P6" s="10">
        <v>15293</v>
      </c>
      <c r="Q6" s="10">
        <v>8083</v>
      </c>
      <c r="R6" s="10">
        <v>16835</v>
      </c>
      <c r="S6" s="10">
        <v>5109</v>
      </c>
      <c r="T6" s="10">
        <v>12848</v>
      </c>
      <c r="U6" s="10">
        <v>17388</v>
      </c>
      <c r="V6" s="10">
        <v>6627</v>
      </c>
      <c r="W6" s="10">
        <v>13831</v>
      </c>
      <c r="X6" s="10">
        <v>7428</v>
      </c>
      <c r="Y6" s="10">
        <v>17803</v>
      </c>
      <c r="AX6"/>
    </row>
    <row r="7" spans="2:50">
      <c r="B7" s="4" t="s">
        <v>1</v>
      </c>
      <c r="C7" s="20">
        <f>+C41/20</f>
        <v>12500</v>
      </c>
      <c r="D7" s="10"/>
      <c r="E7" s="11">
        <v>18954</v>
      </c>
      <c r="F7" s="10">
        <v>0</v>
      </c>
      <c r="G7" s="10">
        <v>5835</v>
      </c>
      <c r="H7" s="10">
        <v>18571</v>
      </c>
      <c r="I7" s="10">
        <v>12284</v>
      </c>
      <c r="J7" s="10">
        <v>3248</v>
      </c>
      <c r="K7" s="10">
        <v>3695</v>
      </c>
      <c r="L7" s="10">
        <v>4075</v>
      </c>
      <c r="M7" s="10">
        <v>13031</v>
      </c>
      <c r="N7" s="10">
        <v>5390</v>
      </c>
      <c r="O7" s="10">
        <v>15120</v>
      </c>
      <c r="P7" s="10">
        <v>7490</v>
      </c>
      <c r="Q7" s="10">
        <v>0</v>
      </c>
      <c r="R7" s="10">
        <v>13685</v>
      </c>
      <c r="S7" s="10">
        <v>2695</v>
      </c>
      <c r="T7" s="10">
        <v>0</v>
      </c>
      <c r="U7" s="10">
        <v>0</v>
      </c>
      <c r="V7" s="10">
        <v>7490</v>
      </c>
      <c r="W7" s="10">
        <v>10195</v>
      </c>
      <c r="X7" s="10">
        <v>8085</v>
      </c>
      <c r="Y7" s="10">
        <v>14880</v>
      </c>
      <c r="AX7"/>
    </row>
    <row r="8" spans="2:50">
      <c r="B8" s="4" t="s">
        <v>2</v>
      </c>
      <c r="C8" s="20">
        <f>+C42/20</f>
        <v>7425</v>
      </c>
      <c r="D8" s="10"/>
      <c r="E8" s="11">
        <v>19863</v>
      </c>
      <c r="F8" s="10">
        <f>4495*0.9</f>
        <v>4045.5</v>
      </c>
      <c r="G8" s="10">
        <f>10185*0.9</f>
        <v>9166.5</v>
      </c>
      <c r="H8" s="10">
        <f>13190*0.9</f>
        <v>11871</v>
      </c>
      <c r="I8" s="10">
        <f>3499*0.9</f>
        <v>3149.1</v>
      </c>
      <c r="J8" s="10">
        <f>9748*0.9</f>
        <v>8773.2000000000007</v>
      </c>
      <c r="K8" s="10">
        <f>7490*0.9</f>
        <v>6741</v>
      </c>
      <c r="L8" s="10">
        <v>2425</v>
      </c>
      <c r="M8" s="10">
        <f>3795*0.9</f>
        <v>3415.5</v>
      </c>
      <c r="N8" s="10">
        <f>6950*0.9</f>
        <v>6255</v>
      </c>
      <c r="O8" s="10">
        <f>10780*0.9</f>
        <v>9702</v>
      </c>
      <c r="P8" s="10">
        <f>11195*0.9</f>
        <v>10075.5</v>
      </c>
      <c r="Q8" s="10">
        <f>1500*0.9</f>
        <v>1350</v>
      </c>
      <c r="R8" s="10">
        <f>5790*0.9</f>
        <v>5211</v>
      </c>
      <c r="S8" s="10">
        <f>3595*0.9</f>
        <v>3235.5</v>
      </c>
      <c r="T8" s="10">
        <f>12756*0.9</f>
        <v>11480.4</v>
      </c>
      <c r="U8" s="10">
        <v>0</v>
      </c>
      <c r="V8" s="10">
        <f>5390*0.9</f>
        <v>4851</v>
      </c>
      <c r="W8" s="10">
        <f>7490*0.9</f>
        <v>6741</v>
      </c>
      <c r="X8" s="10">
        <f>4795*0.9</f>
        <v>4315.5</v>
      </c>
      <c r="Y8" s="10">
        <f>2000*0.9</f>
        <v>1800</v>
      </c>
      <c r="AX8"/>
    </row>
    <row r="9" spans="2:50">
      <c r="B9" s="4" t="s">
        <v>3</v>
      </c>
      <c r="C9" s="21">
        <f>+C43/20</f>
        <v>17220</v>
      </c>
      <c r="D9" s="13"/>
      <c r="E9" s="40">
        <v>78408</v>
      </c>
      <c r="F9" s="13">
        <f>20465*1.64</f>
        <v>33562.6</v>
      </c>
      <c r="G9" s="13">
        <f>10391*1.64</f>
        <v>17041.239999999998</v>
      </c>
      <c r="H9" s="13">
        <f>16868*1.64</f>
        <v>27663.519999999997</v>
      </c>
      <c r="I9" s="13">
        <f>10815*1.64</f>
        <v>17736.599999999999</v>
      </c>
      <c r="J9" s="13">
        <f>6820*1.64</f>
        <v>11184.8</v>
      </c>
      <c r="K9" s="13">
        <f>5738*1.64</f>
        <v>9410.32</v>
      </c>
      <c r="L9" s="13">
        <v>32396</v>
      </c>
      <c r="M9" s="13">
        <f>13992*1.64</f>
        <v>22946.879999999997</v>
      </c>
      <c r="N9" s="13">
        <f>7316*1.64</f>
        <v>11998.24</v>
      </c>
      <c r="O9" s="13">
        <f>18272*1.64</f>
        <v>29966.079999999998</v>
      </c>
      <c r="P9" s="13">
        <f>14705*1.64</f>
        <v>24116.199999999997</v>
      </c>
      <c r="Q9" s="13">
        <f>21882*1.64</f>
        <v>35886.479999999996</v>
      </c>
      <c r="R9" s="13">
        <f>15298*1.64</f>
        <v>25088.719999999998</v>
      </c>
      <c r="S9" s="13">
        <f>19803*1.64</f>
        <v>32476.92</v>
      </c>
      <c r="T9" s="13">
        <f>15806*1.64</f>
        <v>25921.84</v>
      </c>
      <c r="U9" s="13">
        <f>11000*1.64</f>
        <v>18040</v>
      </c>
      <c r="V9" s="13">
        <f>7933*1.64</f>
        <v>13010.119999999999</v>
      </c>
      <c r="W9" s="13">
        <f>11368*1.64</f>
        <v>18643.52</v>
      </c>
      <c r="X9" s="13">
        <f>15092*1.64</f>
        <v>24750.879999999997</v>
      </c>
      <c r="Y9" s="13">
        <f>17342*1.64</f>
        <v>28440.879999999997</v>
      </c>
      <c r="AX9"/>
    </row>
    <row r="10" spans="2:50" ht="15.75" thickBot="1">
      <c r="B10" s="14" t="s">
        <v>27</v>
      </c>
      <c r="C10" s="20">
        <f>SUM(C6:C9)</f>
        <v>49145</v>
      </c>
      <c r="D10" s="10"/>
      <c r="E10" s="11">
        <f t="shared" ref="E10:T10" si="0">SUM(E6:E9)</f>
        <v>153529.20000000001</v>
      </c>
      <c r="F10" s="10">
        <f t="shared" si="0"/>
        <v>60545.1</v>
      </c>
      <c r="G10" s="10">
        <f t="shared" si="0"/>
        <v>34737.74</v>
      </c>
      <c r="H10" s="10">
        <f t="shared" si="0"/>
        <v>63583.519999999997</v>
      </c>
      <c r="I10" s="10">
        <f t="shared" si="0"/>
        <v>41344.699999999997</v>
      </c>
      <c r="J10" s="10">
        <f t="shared" si="0"/>
        <v>34346</v>
      </c>
      <c r="K10" s="10">
        <f t="shared" si="0"/>
        <v>38025.32</v>
      </c>
      <c r="L10" s="10">
        <f t="shared" si="0"/>
        <v>50090</v>
      </c>
      <c r="M10" s="10">
        <f t="shared" si="0"/>
        <v>55179.38</v>
      </c>
      <c r="N10" s="10">
        <f t="shared" si="0"/>
        <v>48622.239999999998</v>
      </c>
      <c r="O10" s="10">
        <f t="shared" si="0"/>
        <v>60358.080000000002</v>
      </c>
      <c r="P10" s="10">
        <f t="shared" si="0"/>
        <v>56974.7</v>
      </c>
      <c r="Q10" s="10">
        <f t="shared" si="0"/>
        <v>45319.479999999996</v>
      </c>
      <c r="R10" s="10">
        <f t="shared" si="0"/>
        <v>60819.72</v>
      </c>
      <c r="S10" s="10">
        <f t="shared" si="0"/>
        <v>43516.42</v>
      </c>
      <c r="T10" s="10">
        <f t="shared" si="0"/>
        <v>50250.240000000005</v>
      </c>
      <c r="U10" s="10">
        <f>SUM(U6:U9)</f>
        <v>35428</v>
      </c>
      <c r="V10" s="10">
        <f>SUM(V6:V9)</f>
        <v>31978.12</v>
      </c>
      <c r="W10" s="10">
        <f>SUM(W6:W9)</f>
        <v>49410.520000000004</v>
      </c>
      <c r="X10" s="10">
        <f>SUM(X6:X9)</f>
        <v>44579.38</v>
      </c>
      <c r="Y10" s="10">
        <f>SUM(Y6:Y9)</f>
        <v>62923.88</v>
      </c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43" t="s">
        <v>36</v>
      </c>
      <c r="Y11" s="58">
        <f>SUM(F10:Y10)/Y1</f>
        <v>48401.627</v>
      </c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T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>+U5</f>
        <v>Day 16</v>
      </c>
      <c r="V14" s="23" t="str">
        <f>+V5</f>
        <v>Day 17</v>
      </c>
      <c r="W14" s="23" t="str">
        <f>+W5</f>
        <v>Day 18</v>
      </c>
      <c r="X14" s="23" t="str">
        <f>+X5</f>
        <v>Day 19</v>
      </c>
      <c r="Y14" s="23" t="str">
        <f>+Y5</f>
        <v>Day 20</v>
      </c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K15" si="2">(F6-$C6)/$C6+1</f>
        <v>1.9114166666666668</v>
      </c>
      <c r="G15" s="25">
        <f t="shared" si="2"/>
        <v>0.22458333333333336</v>
      </c>
      <c r="H15" s="25">
        <f t="shared" si="2"/>
        <v>0.45650000000000002</v>
      </c>
      <c r="I15" s="25">
        <f t="shared" si="2"/>
        <v>0.68125000000000002</v>
      </c>
      <c r="J15" s="25">
        <f t="shared" si="2"/>
        <v>0.92833333333333334</v>
      </c>
      <c r="K15" s="25">
        <f t="shared" si="2"/>
        <v>1.5149166666666667</v>
      </c>
      <c r="L15" s="25">
        <f t="shared" ref="L15:Y15" si="3">(L6-$C6)/$C6+1</f>
        <v>0.93283333333333329</v>
      </c>
      <c r="M15" s="25">
        <f t="shared" si="3"/>
        <v>1.3155000000000001</v>
      </c>
      <c r="N15" s="25">
        <f t="shared" si="3"/>
        <v>2.0815833333333336</v>
      </c>
      <c r="O15" s="25">
        <f t="shared" si="3"/>
        <v>0.46416666666666662</v>
      </c>
      <c r="P15" s="25">
        <f t="shared" si="3"/>
        <v>1.2744166666666668</v>
      </c>
      <c r="Q15" s="25">
        <f t="shared" si="3"/>
        <v>0.67358333333333331</v>
      </c>
      <c r="R15" s="25">
        <f t="shared" si="3"/>
        <v>1.4029166666666666</v>
      </c>
      <c r="S15" s="25">
        <f t="shared" si="3"/>
        <v>0.42574999999999996</v>
      </c>
      <c r="T15" s="25">
        <f t="shared" si="3"/>
        <v>1.0706666666666667</v>
      </c>
      <c r="U15" s="25">
        <f t="shared" si="3"/>
        <v>1.4490000000000001</v>
      </c>
      <c r="V15" s="25">
        <f t="shared" si="3"/>
        <v>0.55225000000000002</v>
      </c>
      <c r="W15" s="25">
        <f t="shared" si="3"/>
        <v>1.1525833333333333</v>
      </c>
      <c r="X15" s="25">
        <f t="shared" si="3"/>
        <v>0.61899999999999999</v>
      </c>
      <c r="Y15" s="25">
        <f t="shared" si="3"/>
        <v>1.4835833333333333</v>
      </c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ref="F16:K19" si="4">(F7-$C7)/$C7+1</f>
        <v>0</v>
      </c>
      <c r="G16" s="25">
        <f t="shared" si="4"/>
        <v>0.46679999999999999</v>
      </c>
      <c r="H16" s="25">
        <f t="shared" si="4"/>
        <v>1.4856799999999999</v>
      </c>
      <c r="I16" s="25">
        <f t="shared" si="4"/>
        <v>0.98272000000000004</v>
      </c>
      <c r="J16" s="25">
        <f t="shared" si="4"/>
        <v>0.25983999999999996</v>
      </c>
      <c r="K16" s="25">
        <f t="shared" si="4"/>
        <v>0.29559999999999997</v>
      </c>
      <c r="L16" s="25">
        <f t="shared" ref="L16:Y16" si="5">(L7-$C7)/$C7+1</f>
        <v>0.32599999999999996</v>
      </c>
      <c r="M16" s="25">
        <f t="shared" si="5"/>
        <v>1.0424800000000001</v>
      </c>
      <c r="N16" s="25">
        <f t="shared" si="5"/>
        <v>0.43120000000000003</v>
      </c>
      <c r="O16" s="25">
        <f t="shared" si="5"/>
        <v>1.2096</v>
      </c>
      <c r="P16" s="25">
        <f t="shared" si="5"/>
        <v>0.59919999999999995</v>
      </c>
      <c r="Q16" s="25">
        <f t="shared" si="5"/>
        <v>0</v>
      </c>
      <c r="R16" s="25">
        <f t="shared" si="5"/>
        <v>1.0948</v>
      </c>
      <c r="S16" s="25">
        <f t="shared" si="5"/>
        <v>0.21560000000000001</v>
      </c>
      <c r="T16" s="25">
        <f t="shared" si="5"/>
        <v>0</v>
      </c>
      <c r="U16" s="25">
        <f t="shared" si="5"/>
        <v>0</v>
      </c>
      <c r="V16" s="25">
        <f t="shared" si="5"/>
        <v>0.59919999999999995</v>
      </c>
      <c r="W16" s="25">
        <f t="shared" si="5"/>
        <v>0.81559999999999999</v>
      </c>
      <c r="X16" s="25">
        <f t="shared" si="5"/>
        <v>0.64680000000000004</v>
      </c>
      <c r="Y16" s="25">
        <f t="shared" si="5"/>
        <v>1.1903999999999999</v>
      </c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4"/>
        <v>0.54484848484848492</v>
      </c>
      <c r="G17" s="25">
        <f t="shared" si="4"/>
        <v>1.2345454545454546</v>
      </c>
      <c r="H17" s="25">
        <f t="shared" si="4"/>
        <v>1.5987878787878786</v>
      </c>
      <c r="I17" s="25">
        <f t="shared" si="4"/>
        <v>0.42412121212121212</v>
      </c>
      <c r="J17" s="25">
        <f t="shared" si="4"/>
        <v>1.1815757575757577</v>
      </c>
      <c r="K17" s="25">
        <f t="shared" si="4"/>
        <v>0.90787878787878784</v>
      </c>
      <c r="L17" s="25">
        <f t="shared" ref="L17:Y17" si="6">(L8-$C8)/$C8+1</f>
        <v>0.32659932659932656</v>
      </c>
      <c r="M17" s="25">
        <f t="shared" si="6"/>
        <v>0.45999999999999996</v>
      </c>
      <c r="N17" s="25">
        <f t="shared" si="6"/>
        <v>0.84242424242424241</v>
      </c>
      <c r="O17" s="25">
        <f t="shared" si="6"/>
        <v>1.3066666666666666</v>
      </c>
      <c r="P17" s="25">
        <f t="shared" si="6"/>
        <v>1.3569696969696969</v>
      </c>
      <c r="Q17" s="25">
        <f t="shared" si="6"/>
        <v>0.18181818181818177</v>
      </c>
      <c r="R17" s="25">
        <f t="shared" si="6"/>
        <v>0.7018181818181819</v>
      </c>
      <c r="S17" s="25">
        <f t="shared" si="6"/>
        <v>0.43575757575757579</v>
      </c>
      <c r="T17" s="25">
        <f t="shared" si="6"/>
        <v>1.5461818181818181</v>
      </c>
      <c r="U17" s="25">
        <f t="shared" si="6"/>
        <v>0</v>
      </c>
      <c r="V17" s="25">
        <f t="shared" si="6"/>
        <v>0.65333333333333332</v>
      </c>
      <c r="W17" s="25">
        <f t="shared" si="6"/>
        <v>0.90787878787878784</v>
      </c>
      <c r="X17" s="25">
        <f t="shared" si="6"/>
        <v>0.58121212121212129</v>
      </c>
      <c r="Y17" s="25">
        <f t="shared" si="6"/>
        <v>0.24242424242424243</v>
      </c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4"/>
        <v>1.9490476190476189</v>
      </c>
      <c r="G18" s="27">
        <f t="shared" si="4"/>
        <v>0.98961904761904751</v>
      </c>
      <c r="H18" s="27">
        <f t="shared" si="4"/>
        <v>1.6064761904761902</v>
      </c>
      <c r="I18" s="27">
        <f t="shared" si="4"/>
        <v>1.0299999999999998</v>
      </c>
      <c r="J18" s="27">
        <f t="shared" si="4"/>
        <v>0.6495238095238095</v>
      </c>
      <c r="K18" s="27">
        <f t="shared" si="4"/>
        <v>0.54647619047619045</v>
      </c>
      <c r="L18" s="27">
        <f t="shared" ref="L18:Y18" si="7">(L9-$C9)/$C9+1</f>
        <v>1.8813008130081301</v>
      </c>
      <c r="M18" s="27">
        <f t="shared" si="7"/>
        <v>1.3325714285714283</v>
      </c>
      <c r="N18" s="27">
        <f t="shared" si="7"/>
        <v>0.69676190476190469</v>
      </c>
      <c r="O18" s="27">
        <f t="shared" si="7"/>
        <v>1.7401904761904761</v>
      </c>
      <c r="P18" s="27">
        <f t="shared" si="7"/>
        <v>1.4004761904761902</v>
      </c>
      <c r="Q18" s="27">
        <f t="shared" si="7"/>
        <v>2.0839999999999996</v>
      </c>
      <c r="R18" s="27">
        <f t="shared" si="7"/>
        <v>1.4569523809523808</v>
      </c>
      <c r="S18" s="27">
        <f t="shared" si="7"/>
        <v>1.8859999999999999</v>
      </c>
      <c r="T18" s="27">
        <f t="shared" si="7"/>
        <v>1.5053333333333332</v>
      </c>
      <c r="U18" s="27">
        <f t="shared" si="7"/>
        <v>1.0476190476190477</v>
      </c>
      <c r="V18" s="27">
        <f t="shared" si="7"/>
        <v>0.75552380952380949</v>
      </c>
      <c r="W18" s="27">
        <f t="shared" si="7"/>
        <v>1.0826666666666667</v>
      </c>
      <c r="X18" s="27">
        <f t="shared" si="7"/>
        <v>1.4373333333333331</v>
      </c>
      <c r="Y18" s="27">
        <f t="shared" si="7"/>
        <v>1.6516190476190475</v>
      </c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 t="shared" si="4"/>
        <v>1.2319686641570862</v>
      </c>
      <c r="G19" s="25">
        <f t="shared" si="4"/>
        <v>0.70684179468918495</v>
      </c>
      <c r="H19" s="25">
        <f t="shared" si="4"/>
        <v>1.2937942822260657</v>
      </c>
      <c r="I19" s="25">
        <f t="shared" si="4"/>
        <v>0.8412798860514803</v>
      </c>
      <c r="J19" s="25">
        <f t="shared" si="4"/>
        <v>0.69887068877810554</v>
      </c>
      <c r="K19" s="25">
        <f t="shared" si="4"/>
        <v>0.77373730796622242</v>
      </c>
      <c r="L19" s="25">
        <f t="shared" ref="L19:Y19" si="8">(L10-$C10)/$C10+1</f>
        <v>1.0192288126971207</v>
      </c>
      <c r="M19" s="25">
        <f t="shared" si="8"/>
        <v>1.122787262183335</v>
      </c>
      <c r="N19" s="25">
        <f t="shared" si="8"/>
        <v>0.98936290568725194</v>
      </c>
      <c r="O19" s="25">
        <f t="shared" si="8"/>
        <v>1.2281631905585513</v>
      </c>
      <c r="P19" s="25">
        <f t="shared" si="8"/>
        <v>1.1593183436768746</v>
      </c>
      <c r="Q19" s="25">
        <f t="shared" si="8"/>
        <v>0.92215851053006404</v>
      </c>
      <c r="R19" s="25">
        <f t="shared" si="8"/>
        <v>1.2375566181707194</v>
      </c>
      <c r="S19" s="25">
        <f t="shared" si="8"/>
        <v>0.88546993590395762</v>
      </c>
      <c r="T19" s="25">
        <f t="shared" si="8"/>
        <v>1.0224893681961544</v>
      </c>
      <c r="U19" s="25">
        <f t="shared" si="8"/>
        <v>0.72088717061756036</v>
      </c>
      <c r="V19" s="25">
        <f t="shared" si="8"/>
        <v>0.65068918506460471</v>
      </c>
      <c r="W19" s="25">
        <f t="shared" si="8"/>
        <v>1.0054027876691425</v>
      </c>
      <c r="X19" s="25">
        <f t="shared" si="8"/>
        <v>0.90709899277647776</v>
      </c>
      <c r="Y19" s="25">
        <f t="shared" si="8"/>
        <v>1.280371960524977</v>
      </c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9">+G1/$Y$1</f>
        <v>0.1</v>
      </c>
      <c r="H21" s="49">
        <f t="shared" si="9"/>
        <v>0.15</v>
      </c>
      <c r="I21" s="49">
        <f t="shared" si="9"/>
        <v>0.2</v>
      </c>
      <c r="J21" s="49">
        <f t="shared" si="9"/>
        <v>0.25</v>
      </c>
      <c r="K21" s="49">
        <f t="shared" si="9"/>
        <v>0.3</v>
      </c>
      <c r="L21" s="49">
        <f t="shared" si="9"/>
        <v>0.35</v>
      </c>
      <c r="M21" s="49">
        <f t="shared" si="9"/>
        <v>0.4</v>
      </c>
      <c r="N21" s="49">
        <f t="shared" si="9"/>
        <v>0.45</v>
      </c>
      <c r="O21" s="49">
        <f t="shared" si="9"/>
        <v>0.5</v>
      </c>
      <c r="P21" s="49">
        <f t="shared" si="9"/>
        <v>0.55000000000000004</v>
      </c>
      <c r="Q21" s="49">
        <f t="shared" si="9"/>
        <v>0.6</v>
      </c>
      <c r="R21" s="49">
        <f t="shared" si="9"/>
        <v>0.65</v>
      </c>
      <c r="S21" s="49">
        <f t="shared" si="9"/>
        <v>0.7</v>
      </c>
      <c r="T21" s="49">
        <f t="shared" si="9"/>
        <v>0.75</v>
      </c>
      <c r="U21" s="49">
        <f t="shared" si="9"/>
        <v>0.8</v>
      </c>
      <c r="V21" s="49">
        <f t="shared" si="9"/>
        <v>0.85</v>
      </c>
      <c r="W21" s="49">
        <f t="shared" si="9"/>
        <v>0.9</v>
      </c>
      <c r="X21" s="49">
        <f t="shared" si="9"/>
        <v>0.95</v>
      </c>
      <c r="Y21" s="49">
        <f t="shared" si="9"/>
        <v>1</v>
      </c>
      <c r="Z21" s="44" t="s">
        <v>39</v>
      </c>
      <c r="AA21" s="50" t="s">
        <v>37</v>
      </c>
      <c r="AX21"/>
    </row>
    <row r="22" spans="2:50">
      <c r="B22" s="4"/>
      <c r="C22" s="4"/>
      <c r="D22" s="4"/>
      <c r="E22" s="4"/>
      <c r="F22" s="4" t="str">
        <f t="shared" ref="F22:T22" si="10">+F14</f>
        <v>Day 1</v>
      </c>
      <c r="G22" s="4" t="str">
        <f t="shared" si="10"/>
        <v>Day 2</v>
      </c>
      <c r="H22" s="4" t="str">
        <f t="shared" si="10"/>
        <v>Day 3</v>
      </c>
      <c r="I22" s="4" t="str">
        <f t="shared" si="10"/>
        <v>Day 4</v>
      </c>
      <c r="J22" s="4" t="str">
        <f t="shared" si="10"/>
        <v>Day 5</v>
      </c>
      <c r="K22" s="4" t="str">
        <f t="shared" si="10"/>
        <v>Day 6</v>
      </c>
      <c r="L22" s="4" t="str">
        <f t="shared" si="10"/>
        <v>Day 7</v>
      </c>
      <c r="M22" s="4" t="str">
        <f t="shared" si="10"/>
        <v>Day 8</v>
      </c>
      <c r="N22" s="4" t="str">
        <f t="shared" si="10"/>
        <v>Day 9</v>
      </c>
      <c r="O22" s="4" t="str">
        <f t="shared" si="10"/>
        <v>Day 10</v>
      </c>
      <c r="P22" s="4" t="str">
        <f t="shared" si="10"/>
        <v>Day 11</v>
      </c>
      <c r="Q22" s="4" t="str">
        <f t="shared" si="10"/>
        <v>Day 12</v>
      </c>
      <c r="R22" s="4" t="str">
        <f t="shared" si="10"/>
        <v>Day 13</v>
      </c>
      <c r="S22" s="4" t="str">
        <f t="shared" si="10"/>
        <v>Day 14</v>
      </c>
      <c r="T22" s="4" t="str">
        <f t="shared" si="10"/>
        <v>Day 15</v>
      </c>
      <c r="U22" s="4" t="str">
        <f>+U14</f>
        <v>Day 16</v>
      </c>
      <c r="V22" s="4" t="str">
        <f>+V14</f>
        <v>Day 17</v>
      </c>
      <c r="W22" s="4" t="str">
        <f>+W14</f>
        <v>Day 18</v>
      </c>
      <c r="X22" s="4" t="str">
        <f>+X14</f>
        <v>Day 19</v>
      </c>
      <c r="Y22" s="4" t="str">
        <f>+Y14</f>
        <v>Day 20</v>
      </c>
      <c r="Z22" s="45" t="s">
        <v>40</v>
      </c>
      <c r="AA22" s="51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55660</v>
      </c>
      <c r="G23" s="23">
        <v>63833</v>
      </c>
      <c r="H23" s="23">
        <v>72008</v>
      </c>
      <c r="I23" s="23">
        <v>85933</v>
      </c>
      <c r="J23" s="23">
        <v>85933</v>
      </c>
      <c r="K23" s="23">
        <v>104112</v>
      </c>
      <c r="L23" s="23">
        <v>115306</v>
      </c>
      <c r="M23" s="23">
        <v>131092</v>
      </c>
      <c r="N23" s="23">
        <v>153286</v>
      </c>
      <c r="O23" s="23">
        <v>158856</v>
      </c>
      <c r="P23" s="23">
        <v>174149</v>
      </c>
      <c r="Q23" s="23">
        <v>182232</v>
      </c>
      <c r="R23" s="23">
        <v>199067</v>
      </c>
      <c r="S23" s="23">
        <v>204179</v>
      </c>
      <c r="T23" s="23">
        <v>217024</v>
      </c>
      <c r="U23" s="23">
        <v>234412</v>
      </c>
      <c r="V23" s="60">
        <v>241039</v>
      </c>
      <c r="W23" s="60">
        <v>244951</v>
      </c>
      <c r="X23" s="60">
        <v>252379</v>
      </c>
      <c r="Y23" s="66">
        <v>251294</v>
      </c>
      <c r="Z23" s="46">
        <f>+Y23/C40</f>
        <v>1.0470583333333334</v>
      </c>
      <c r="AA23" s="52">
        <f>+Z23-Y21</f>
        <v>4.7058333333333424E-2</v>
      </c>
      <c r="AX23"/>
    </row>
    <row r="24" spans="2:50">
      <c r="B24" s="4" t="str">
        <f>+B16</f>
        <v>Boston</v>
      </c>
      <c r="C24" s="4"/>
      <c r="D24" s="4"/>
      <c r="E24" s="23"/>
      <c r="F24" s="34">
        <v>18954</v>
      </c>
      <c r="G24" s="34">
        <v>22789</v>
      </c>
      <c r="H24" s="34">
        <v>38665</v>
      </c>
      <c r="I24" s="34">
        <v>50949</v>
      </c>
      <c r="J24" s="34">
        <v>53197</v>
      </c>
      <c r="K24" s="34">
        <v>56892</v>
      </c>
      <c r="L24" s="34">
        <v>60967</v>
      </c>
      <c r="M24" s="34">
        <v>73988</v>
      </c>
      <c r="N24" s="34">
        <v>88988</v>
      </c>
      <c r="O24" s="34">
        <v>104108</v>
      </c>
      <c r="P24" s="23">
        <v>111598</v>
      </c>
      <c r="Q24" s="23">
        <v>111598</v>
      </c>
      <c r="R24" s="23">
        <v>125283</v>
      </c>
      <c r="S24" s="23">
        <v>123185</v>
      </c>
      <c r="T24" s="23">
        <v>123185</v>
      </c>
      <c r="U24" s="23">
        <v>123185</v>
      </c>
      <c r="V24" s="23">
        <v>130675</v>
      </c>
      <c r="W24" s="23">
        <v>126614</v>
      </c>
      <c r="X24" s="23">
        <v>134699</v>
      </c>
      <c r="Y24" s="67">
        <v>139439</v>
      </c>
      <c r="Z24" s="46">
        <f>+Y24/C41</f>
        <v>0.55775600000000003</v>
      </c>
      <c r="AA24" s="54">
        <f>+Z24-Y21</f>
        <v>-0.44224399999999997</v>
      </c>
      <c r="AX24"/>
    </row>
    <row r="25" spans="2:50" s="4" customFormat="1" ht="12.75">
      <c r="B25" s="4" t="str">
        <f>+B17</f>
        <v>Canada</v>
      </c>
      <c r="E25" s="23"/>
      <c r="F25" s="34">
        <f>24765*0.9</f>
        <v>22288.5</v>
      </c>
      <c r="G25" s="34">
        <f>34950*0.9</f>
        <v>31455</v>
      </c>
      <c r="H25" s="34">
        <f>48140*0.9</f>
        <v>43326</v>
      </c>
      <c r="I25" s="34">
        <f>51639*0.9</f>
        <v>46475.1</v>
      </c>
      <c r="J25" s="34">
        <f>61419*0.9</f>
        <v>55277.1</v>
      </c>
      <c r="K25" s="34">
        <f>63519*0.9</f>
        <v>57167.1</v>
      </c>
      <c r="L25" s="34">
        <v>59592</v>
      </c>
      <c r="M25" s="34">
        <f>70009*0.9</f>
        <v>63008.1</v>
      </c>
      <c r="N25" s="34">
        <f>69869*0.9</f>
        <v>62882.1</v>
      </c>
      <c r="O25" s="34">
        <f>80649*0.9</f>
        <v>72584.100000000006</v>
      </c>
      <c r="P25" s="34">
        <f>91844*0.9</f>
        <v>82659.600000000006</v>
      </c>
      <c r="Q25" s="34">
        <f>93344*0.9</f>
        <v>84009.600000000006</v>
      </c>
      <c r="R25" s="34">
        <f>97039*0.9</f>
        <v>87335.1</v>
      </c>
      <c r="S25" s="34">
        <f>99134*0.9</f>
        <v>89220.6</v>
      </c>
      <c r="T25" s="34">
        <f>113900*0.9</f>
        <v>102510</v>
      </c>
      <c r="U25" s="34">
        <f>113900*0.9</f>
        <v>102510</v>
      </c>
      <c r="V25" s="34">
        <f>118780*0.9</f>
        <v>106902</v>
      </c>
      <c r="W25" s="34">
        <f>122975*0.9</f>
        <v>110677.5</v>
      </c>
      <c r="X25" s="34">
        <f>122975*0.9</f>
        <v>110677.5</v>
      </c>
      <c r="Y25" s="34">
        <v>112837</v>
      </c>
      <c r="Z25" s="46">
        <f>+Y25/C42</f>
        <v>0.75984511784511788</v>
      </c>
      <c r="AA25" s="54">
        <f>+Z25-Y21</f>
        <v>-0.24015488215488212</v>
      </c>
    </row>
    <row r="26" spans="2:50">
      <c r="B26" s="5" t="str">
        <f>+B18</f>
        <v>Norwich</v>
      </c>
      <c r="C26" s="19"/>
      <c r="D26" s="19"/>
      <c r="E26" s="35"/>
      <c r="F26" s="35">
        <f>53938*1.64</f>
        <v>88458.319999999992</v>
      </c>
      <c r="G26" s="35">
        <f>65574*1.64</f>
        <v>107541.36</v>
      </c>
      <c r="H26" s="35">
        <f>82442*1.64</f>
        <v>135204.88</v>
      </c>
      <c r="I26" s="35">
        <f>93257*1.64</f>
        <v>152941.47999999998</v>
      </c>
      <c r="J26" s="36">
        <f>100077*1.64</f>
        <v>164126.28</v>
      </c>
      <c r="K26" s="36">
        <f>105815*1.64</f>
        <v>173536.59999999998</v>
      </c>
      <c r="L26" s="36">
        <v>201339</v>
      </c>
      <c r="M26" s="35">
        <f>136760*1.64</f>
        <v>224286.4</v>
      </c>
      <c r="N26" s="35">
        <f>144076*1.64</f>
        <v>236284.63999999998</v>
      </c>
      <c r="O26" s="36">
        <f>162348*1.64</f>
        <v>266250.71999999997</v>
      </c>
      <c r="P26" s="35">
        <f>177503*1.64</f>
        <v>291104.92</v>
      </c>
      <c r="Q26" s="35">
        <f>198875*1.64</f>
        <v>326155</v>
      </c>
      <c r="R26" s="56">
        <f>214173*1.64</f>
        <v>351243.72</v>
      </c>
      <c r="S26" s="56">
        <f>229300*1.64</f>
        <v>376052</v>
      </c>
      <c r="T26" s="57">
        <f>242999*1.64</f>
        <v>398518.36</v>
      </c>
      <c r="U26" s="59">
        <f>246179*1.64</f>
        <v>403733.56</v>
      </c>
      <c r="V26" s="56">
        <f>251155*1.64</f>
        <v>411894.19999999995</v>
      </c>
      <c r="W26" s="56">
        <f>256524*1.64</f>
        <v>420699.36</v>
      </c>
      <c r="X26" s="57">
        <f>263691*1.64</f>
        <v>432453.24</v>
      </c>
      <c r="Y26" s="65">
        <f>234500*1.64</f>
        <v>384580</v>
      </c>
      <c r="Z26" s="47">
        <f>+Y26/C43</f>
        <v>1.1166666666666667</v>
      </c>
      <c r="AA26" s="53">
        <f>+Z26-Y21</f>
        <v>0.1166666666666667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185360.82</v>
      </c>
      <c r="G27" s="4">
        <f t="shared" ref="G27:T27" si="11">SUM(G23:G26)</f>
        <v>225618.36</v>
      </c>
      <c r="H27" s="4">
        <f t="shared" si="11"/>
        <v>289203.88</v>
      </c>
      <c r="I27" s="4">
        <f t="shared" si="11"/>
        <v>336298.57999999996</v>
      </c>
      <c r="J27" s="4">
        <f t="shared" si="11"/>
        <v>358533.38</v>
      </c>
      <c r="K27" s="4">
        <f t="shared" si="11"/>
        <v>391707.69999999995</v>
      </c>
      <c r="L27" s="4">
        <f t="shared" si="11"/>
        <v>437204</v>
      </c>
      <c r="M27" s="10">
        <f t="shared" si="11"/>
        <v>492374.5</v>
      </c>
      <c r="N27" s="10">
        <f t="shared" si="11"/>
        <v>541440.74</v>
      </c>
      <c r="O27" s="4">
        <f>SUM(O23:O26)</f>
        <v>601798.81999999995</v>
      </c>
      <c r="P27" s="10">
        <f t="shared" si="11"/>
        <v>659511.52</v>
      </c>
      <c r="Q27" s="10">
        <f t="shared" si="11"/>
        <v>703994.6</v>
      </c>
      <c r="R27" s="10">
        <f t="shared" si="11"/>
        <v>762928.82</v>
      </c>
      <c r="S27" s="10">
        <f t="shared" si="11"/>
        <v>792636.6</v>
      </c>
      <c r="T27" s="4">
        <f t="shared" si="11"/>
        <v>841237.36</v>
      </c>
      <c r="U27" s="10">
        <f>SUM(U23:U26)</f>
        <v>863840.56</v>
      </c>
      <c r="V27" s="10">
        <f>SUM(V23:V26)</f>
        <v>890510.2</v>
      </c>
      <c r="W27" s="10">
        <f>SUM(W23:W26)</f>
        <v>902941.86</v>
      </c>
      <c r="X27" s="10">
        <f>SUM(X23:X26)</f>
        <v>930208.74</v>
      </c>
      <c r="Y27" s="10">
        <f>SUM(Y23:Y26)</f>
        <v>888150</v>
      </c>
      <c r="Z27" s="47">
        <f>+Y27/C44</f>
        <v>0.90360158714009564</v>
      </c>
      <c r="AA27" s="84">
        <f>+Z27-Y21</f>
        <v>-9.6398412859904359E-2</v>
      </c>
      <c r="AX27"/>
    </row>
    <row r="28" spans="2:50" s="1" customFormat="1" ht="11.25">
      <c r="B28" s="1" t="s">
        <v>34</v>
      </c>
      <c r="E28" s="30"/>
      <c r="F28" s="30">
        <f t="shared" ref="F28:N28" si="12">+F27/$C$44</f>
        <v>0.18858563434733952</v>
      </c>
      <c r="G28" s="30">
        <f t="shared" si="12"/>
        <v>0.2295435547868552</v>
      </c>
      <c r="H28" s="30">
        <f t="shared" si="12"/>
        <v>0.29423530369315293</v>
      </c>
      <c r="I28" s="30">
        <f t="shared" si="12"/>
        <v>0.34214933360463928</v>
      </c>
      <c r="J28" s="30">
        <f t="shared" si="12"/>
        <v>0.36477096347542987</v>
      </c>
      <c r="K28" s="30">
        <f t="shared" si="12"/>
        <v>0.39852243361481327</v>
      </c>
      <c r="L28" s="30">
        <f t="shared" si="12"/>
        <v>0.44481025536677182</v>
      </c>
      <c r="M28" s="30">
        <f t="shared" si="12"/>
        <v>0.50094058398616337</v>
      </c>
      <c r="N28" s="30">
        <f t="shared" si="12"/>
        <v>0.55086045375928372</v>
      </c>
      <c r="O28" s="30">
        <f t="shared" ref="O28:Y28" si="13">+O27/$C$44</f>
        <v>0.61226861328721127</v>
      </c>
      <c r="P28" s="30">
        <f t="shared" si="13"/>
        <v>0.67098536982399026</v>
      </c>
      <c r="Q28" s="30">
        <f t="shared" si="13"/>
        <v>0.71624234408383358</v>
      </c>
      <c r="R28" s="30">
        <f t="shared" si="13"/>
        <v>0.77620187201139479</v>
      </c>
      <c r="S28" s="30">
        <f t="shared" si="13"/>
        <v>0.80642649303082714</v>
      </c>
      <c r="T28" s="30">
        <f t="shared" si="13"/>
        <v>0.85587278461694982</v>
      </c>
      <c r="U28" s="30">
        <f t="shared" si="13"/>
        <v>0.87886922372570964</v>
      </c>
      <c r="V28" s="30">
        <f t="shared" si="13"/>
        <v>0.90600284871299208</v>
      </c>
      <c r="W28" s="30">
        <f t="shared" si="13"/>
        <v>0.91865078848306037</v>
      </c>
      <c r="X28" s="30">
        <f t="shared" si="13"/>
        <v>0.94639204395157184</v>
      </c>
      <c r="Y28" s="63">
        <f t="shared" si="13"/>
        <v>0.90360158714009564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64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T31" si="14">+G14</f>
        <v>Day 2</v>
      </c>
      <c r="H31" s="4" t="str">
        <f t="shared" si="14"/>
        <v>Day 3</v>
      </c>
      <c r="I31" s="4" t="str">
        <f t="shared" si="14"/>
        <v>Day 4</v>
      </c>
      <c r="J31" s="4" t="str">
        <f t="shared" si="14"/>
        <v>Day 5</v>
      </c>
      <c r="K31" s="4" t="str">
        <f t="shared" si="14"/>
        <v>Day 6</v>
      </c>
      <c r="L31" s="4" t="str">
        <f t="shared" si="14"/>
        <v>Day 7</v>
      </c>
      <c r="M31" s="4" t="str">
        <f t="shared" si="14"/>
        <v>Day 8</v>
      </c>
      <c r="N31" s="4" t="str">
        <f t="shared" si="14"/>
        <v>Day 9</v>
      </c>
      <c r="O31" s="4" t="str">
        <f t="shared" si="14"/>
        <v>Day 10</v>
      </c>
      <c r="P31" s="4" t="str">
        <f t="shared" si="14"/>
        <v>Day 11</v>
      </c>
      <c r="Q31" s="4" t="str">
        <f t="shared" si="14"/>
        <v>Day 12</v>
      </c>
      <c r="R31" s="4" t="str">
        <f t="shared" si="14"/>
        <v>Day 13</v>
      </c>
      <c r="S31" s="4" t="str">
        <f t="shared" si="14"/>
        <v>Day 14</v>
      </c>
      <c r="T31" s="4" t="str">
        <f t="shared" si="14"/>
        <v>Day 15</v>
      </c>
      <c r="U31" s="4" t="str">
        <f>+U14</f>
        <v>Day 16</v>
      </c>
      <c r="V31" s="4" t="str">
        <f>+V14</f>
        <v>Day 17</v>
      </c>
      <c r="W31" s="4" t="str">
        <f>+W14</f>
        <v>Day 18</v>
      </c>
      <c r="X31" s="4" t="str">
        <f>+X14</f>
        <v>Day 19</v>
      </c>
      <c r="Y31" s="4" t="str">
        <f>+Y14</f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15">(F40/$C$40)</f>
        <v>4.6383333333333336</v>
      </c>
      <c r="G32" s="17">
        <f t="shared" si="15"/>
        <v>2.6597083333333331</v>
      </c>
      <c r="H32" s="17">
        <f t="shared" si="15"/>
        <v>2.0002222222222223</v>
      </c>
      <c r="I32" s="17">
        <f t="shared" si="15"/>
        <v>1.7902708333333333</v>
      </c>
      <c r="J32" s="17">
        <f t="shared" si="15"/>
        <v>1.4322166666666667</v>
      </c>
      <c r="K32" s="17">
        <f t="shared" si="15"/>
        <v>1.446</v>
      </c>
      <c r="L32" s="17">
        <f t="shared" si="15"/>
        <v>1.3726904761904761</v>
      </c>
      <c r="M32" s="17">
        <f t="shared" si="15"/>
        <v>1.3655416666666667</v>
      </c>
      <c r="N32" s="17">
        <f t="shared" si="15"/>
        <v>1.4193148148148149</v>
      </c>
      <c r="O32" s="17">
        <f t="shared" si="15"/>
        <v>1.3238000000000001</v>
      </c>
      <c r="P32" s="17">
        <f t="shared" si="15"/>
        <v>1.3193106060606059</v>
      </c>
      <c r="Q32" s="17">
        <f t="shared" si="15"/>
        <v>1.2655000000000001</v>
      </c>
      <c r="R32" s="17">
        <f t="shared" si="15"/>
        <v>1.2760705128205128</v>
      </c>
      <c r="S32" s="17">
        <f t="shared" si="15"/>
        <v>1.2153511904761907</v>
      </c>
      <c r="T32" s="17">
        <f t="shared" si="15"/>
        <v>1.2056888888888888</v>
      </c>
      <c r="U32" s="17">
        <f t="shared" si="15"/>
        <v>1.2208958333333333</v>
      </c>
      <c r="V32" s="17">
        <f t="shared" si="15"/>
        <v>1.1815637254901961</v>
      </c>
      <c r="W32" s="17">
        <f t="shared" si="15"/>
        <v>1.1340324074074073</v>
      </c>
      <c r="X32" s="17">
        <f t="shared" si="15"/>
        <v>1.1069254385964913</v>
      </c>
      <c r="Y32" s="17">
        <f t="shared" si="15"/>
        <v>1.0470583333333334</v>
      </c>
      <c r="AX32"/>
    </row>
    <row r="33" spans="2:50">
      <c r="B33" s="4" t="s">
        <v>1</v>
      </c>
      <c r="C33" s="17"/>
      <c r="D33" s="17"/>
      <c r="E33" s="17"/>
      <c r="F33" s="17">
        <f t="shared" ref="F33:Y33" si="16">(F41/$C$41)</f>
        <v>1.5163199999999999</v>
      </c>
      <c r="G33" s="17">
        <f t="shared" si="16"/>
        <v>0.91156000000000004</v>
      </c>
      <c r="H33" s="17">
        <f t="shared" si="16"/>
        <v>1.0310666666666668</v>
      </c>
      <c r="I33" s="17">
        <f t="shared" si="16"/>
        <v>1.01898</v>
      </c>
      <c r="J33" s="17">
        <f t="shared" si="16"/>
        <v>0.85115200000000002</v>
      </c>
      <c r="K33" s="17">
        <f t="shared" si="16"/>
        <v>0.75856000000000001</v>
      </c>
      <c r="L33" s="17">
        <f t="shared" si="16"/>
        <v>0.69676571428571432</v>
      </c>
      <c r="M33" s="17">
        <f t="shared" si="16"/>
        <v>0.73987999999999998</v>
      </c>
      <c r="N33" s="17">
        <f t="shared" si="16"/>
        <v>0.7910044444444444</v>
      </c>
      <c r="O33" s="17">
        <f t="shared" si="16"/>
        <v>0.83286400000000005</v>
      </c>
      <c r="P33" s="17">
        <f t="shared" si="16"/>
        <v>0.81162181818181822</v>
      </c>
      <c r="Q33" s="17">
        <f t="shared" si="16"/>
        <v>0.7439866666666668</v>
      </c>
      <c r="R33" s="17">
        <f t="shared" si="16"/>
        <v>0.77097230769230762</v>
      </c>
      <c r="S33" s="17">
        <f t="shared" si="16"/>
        <v>0.70391428571428571</v>
      </c>
      <c r="T33" s="17">
        <f t="shared" si="16"/>
        <v>0.65698666666666672</v>
      </c>
      <c r="U33" s="17">
        <f t="shared" si="16"/>
        <v>0.61592499999999994</v>
      </c>
      <c r="V33" s="17">
        <f t="shared" si="16"/>
        <v>0.61494117647058821</v>
      </c>
      <c r="W33" s="17">
        <f t="shared" si="16"/>
        <v>0.56272888888888883</v>
      </c>
      <c r="X33" s="17">
        <f t="shared" si="16"/>
        <v>0.56715368421052625</v>
      </c>
      <c r="Y33" s="17">
        <f t="shared" si="16"/>
        <v>0.55775600000000003</v>
      </c>
      <c r="AX33"/>
    </row>
    <row r="34" spans="2:50">
      <c r="B34" s="4" t="s">
        <v>2</v>
      </c>
      <c r="C34" s="17"/>
      <c r="D34" s="17"/>
      <c r="E34" s="17"/>
      <c r="F34" s="17">
        <f t="shared" ref="F34:Y34" si="17">(F42/$C$42)</f>
        <v>3.0018181818181819</v>
      </c>
      <c r="G34" s="17">
        <f t="shared" si="17"/>
        <v>2.1181818181818182</v>
      </c>
      <c r="H34" s="17">
        <f t="shared" si="17"/>
        <v>1.9450505050505051</v>
      </c>
      <c r="I34" s="17">
        <f t="shared" si="17"/>
        <v>1.5648181818181819</v>
      </c>
      <c r="J34" s="17">
        <f t="shared" si="17"/>
        <v>1.4889454545454546</v>
      </c>
      <c r="K34" s="17">
        <f t="shared" si="17"/>
        <v>1.2832121212121212</v>
      </c>
      <c r="L34" s="17">
        <f t="shared" si="17"/>
        <v>1.1465512265512265</v>
      </c>
      <c r="M34" s="17">
        <f t="shared" si="17"/>
        <v>1.0607424242424242</v>
      </c>
      <c r="N34" s="17">
        <f t="shared" si="17"/>
        <v>0.94099663299663294</v>
      </c>
      <c r="O34" s="17">
        <f t="shared" si="17"/>
        <v>0.97756363636363641</v>
      </c>
      <c r="P34" s="17">
        <f t="shared" si="17"/>
        <v>1.0120550964187329</v>
      </c>
      <c r="Q34" s="17">
        <f t="shared" si="17"/>
        <v>0.94286868686868686</v>
      </c>
      <c r="R34" s="17">
        <f t="shared" si="17"/>
        <v>0.90479254079254079</v>
      </c>
      <c r="S34" s="17">
        <f t="shared" si="17"/>
        <v>0.85830303030303046</v>
      </c>
      <c r="T34" s="17">
        <f t="shared" si="17"/>
        <v>0.92040404040404045</v>
      </c>
      <c r="U34" s="17">
        <f t="shared" si="17"/>
        <v>0.86287878787878791</v>
      </c>
      <c r="V34" s="17">
        <f t="shared" si="17"/>
        <v>0.84691622103386799</v>
      </c>
      <c r="W34" s="17">
        <f t="shared" si="17"/>
        <v>0.82811447811447814</v>
      </c>
      <c r="X34" s="17">
        <f t="shared" si="17"/>
        <v>0.78452950558213708</v>
      </c>
      <c r="Y34" s="17">
        <f t="shared" si="17"/>
        <v>0.75984511784511788</v>
      </c>
      <c r="AX34"/>
    </row>
    <row r="35" spans="2:50">
      <c r="B35" s="4" t="s">
        <v>3</v>
      </c>
      <c r="C35" s="18"/>
      <c r="D35" s="18"/>
      <c r="E35" s="18"/>
      <c r="F35" s="18">
        <f t="shared" ref="F35:Y35" si="18">(F43/$C$43)</f>
        <v>5.1369523809523807</v>
      </c>
      <c r="G35" s="18">
        <f t="shared" si="18"/>
        <v>3.1225714285714288</v>
      </c>
      <c r="H35" s="18">
        <f t="shared" si="18"/>
        <v>2.6172063492063491</v>
      </c>
      <c r="I35" s="18">
        <f t="shared" si="18"/>
        <v>2.2204047619047618</v>
      </c>
      <c r="J35" s="18">
        <f t="shared" si="18"/>
        <v>1.9062285714285714</v>
      </c>
      <c r="K35" s="18">
        <f t="shared" si="18"/>
        <v>1.6796031746031743</v>
      </c>
      <c r="L35" s="18">
        <f t="shared" si="18"/>
        <v>1.6703086112493777</v>
      </c>
      <c r="M35" s="18">
        <f t="shared" si="18"/>
        <v>1.628095238095238</v>
      </c>
      <c r="N35" s="18">
        <f t="shared" si="18"/>
        <v>1.5246137566137563</v>
      </c>
      <c r="O35" s="18">
        <f t="shared" si="18"/>
        <v>1.5461714285714283</v>
      </c>
      <c r="P35" s="18">
        <f t="shared" si="18"/>
        <v>1.5368225108225104</v>
      </c>
      <c r="Q35" s="18">
        <f t="shared" si="18"/>
        <v>1.5783730158730158</v>
      </c>
      <c r="R35" s="18">
        <f t="shared" si="18"/>
        <v>1.569032967032967</v>
      </c>
      <c r="S35" s="18">
        <f t="shared" si="18"/>
        <v>1.5598639455782313</v>
      </c>
      <c r="T35" s="18">
        <f t="shared" si="18"/>
        <v>1.5428507936507938</v>
      </c>
      <c r="U35" s="18">
        <f t="shared" si="18"/>
        <v>1.4653511904761904</v>
      </c>
      <c r="V35" s="18">
        <f t="shared" si="18"/>
        <v>1.4070308123249298</v>
      </c>
      <c r="W35" s="18">
        <f t="shared" si="18"/>
        <v>1.3572698412698412</v>
      </c>
      <c r="X35" s="18">
        <f t="shared" si="18"/>
        <v>1.3217593984962406</v>
      </c>
      <c r="Y35" s="18">
        <f t="shared" si="18"/>
        <v>1.1166666666666667</v>
      </c>
      <c r="AX35"/>
    </row>
    <row r="36" spans="2:50">
      <c r="B36" s="14" t="s">
        <v>27</v>
      </c>
      <c r="C36" s="17"/>
      <c r="D36" s="17"/>
      <c r="E36" s="17">
        <f t="shared" ref="E36:J36" si="19">(E44/$C$44)</f>
        <v>0</v>
      </c>
      <c r="F36" s="17">
        <f t="shared" si="19"/>
        <v>3.7717126869467901</v>
      </c>
      <c r="G36" s="17">
        <f t="shared" si="19"/>
        <v>2.2954355478685522</v>
      </c>
      <c r="H36" s="17">
        <f t="shared" si="19"/>
        <v>1.9615686912876862</v>
      </c>
      <c r="I36" s="17">
        <f t="shared" si="19"/>
        <v>1.7107466680231966</v>
      </c>
      <c r="J36" s="17">
        <f t="shared" si="19"/>
        <v>1.4590838539017195</v>
      </c>
      <c r="K36" s="17">
        <f t="shared" ref="K36:Y36" si="20">(K44/$C$44)</f>
        <v>1.3284081120493776</v>
      </c>
      <c r="L36" s="17">
        <f t="shared" si="20"/>
        <v>1.2708864439050622</v>
      </c>
      <c r="M36" s="17">
        <f t="shared" si="20"/>
        <v>1.2523514599654084</v>
      </c>
      <c r="N36" s="17">
        <f t="shared" si="20"/>
        <v>1.224134341687297</v>
      </c>
      <c r="O36" s="17">
        <f t="shared" si="20"/>
        <v>1.2245372265744225</v>
      </c>
      <c r="P36" s="17">
        <f t="shared" si="20"/>
        <v>1.2199733996799822</v>
      </c>
      <c r="Q36" s="17">
        <f t="shared" si="20"/>
        <v>1.1937372401397228</v>
      </c>
      <c r="R36" s="17">
        <f t="shared" si="20"/>
        <v>1.1941567261713766</v>
      </c>
      <c r="S36" s="17">
        <f t="shared" si="20"/>
        <v>1.1520378471868959</v>
      </c>
      <c r="T36" s="17">
        <f t="shared" si="20"/>
        <v>1.1411637128226</v>
      </c>
      <c r="U36" s="17">
        <f t="shared" si="20"/>
        <v>1.0985865296571371</v>
      </c>
      <c r="V36" s="17">
        <f t="shared" si="20"/>
        <v>1.0658857043682262</v>
      </c>
      <c r="W36" s="17">
        <f t="shared" si="20"/>
        <v>1.0207230983145115</v>
      </c>
      <c r="X36" s="17">
        <f t="shared" si="20"/>
        <v>0.99620215152797043</v>
      </c>
      <c r="Y36" s="17">
        <f t="shared" si="20"/>
        <v>0.90360158714009564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T39" si="21">+G31</f>
        <v>Day 2</v>
      </c>
      <c r="H39" s="4" t="str">
        <f t="shared" si="21"/>
        <v>Day 3</v>
      </c>
      <c r="I39" s="4" t="str">
        <f t="shared" si="21"/>
        <v>Day 4</v>
      </c>
      <c r="J39" s="4" t="str">
        <f t="shared" si="21"/>
        <v>Day 5</v>
      </c>
      <c r="K39" s="4" t="str">
        <f t="shared" si="21"/>
        <v>Day 6</v>
      </c>
      <c r="L39" s="4" t="str">
        <f t="shared" si="21"/>
        <v>Day 7</v>
      </c>
      <c r="M39" s="4" t="str">
        <f t="shared" si="21"/>
        <v>Day 8</v>
      </c>
      <c r="N39" s="4" t="str">
        <f t="shared" si="21"/>
        <v>Day 9</v>
      </c>
      <c r="O39" s="4" t="str">
        <f>+O31</f>
        <v>Day 10</v>
      </c>
      <c r="P39" s="4" t="str">
        <f t="shared" si="21"/>
        <v>Day 11</v>
      </c>
      <c r="Q39" s="4" t="str">
        <f t="shared" si="21"/>
        <v>Day 12</v>
      </c>
      <c r="R39" s="4" t="str">
        <f t="shared" si="21"/>
        <v>Day 13</v>
      </c>
      <c r="S39" s="4" t="str">
        <f t="shared" si="21"/>
        <v>Day 14</v>
      </c>
      <c r="T39" s="4" t="str">
        <f t="shared" si="21"/>
        <v>Day 15</v>
      </c>
      <c r="U39" s="4" t="str">
        <f>+U31</f>
        <v>Day 16</v>
      </c>
      <c r="V39" s="4" t="str">
        <f>+V31</f>
        <v>Day 17</v>
      </c>
      <c r="W39" s="4" t="str">
        <f>+W31</f>
        <v>Day 18</v>
      </c>
      <c r="X39" s="4" t="str">
        <f>+X31</f>
        <v>Day 19</v>
      </c>
      <c r="Y39" s="4" t="str">
        <f>+Y31</f>
        <v>Day 20</v>
      </c>
      <c r="AX39"/>
    </row>
    <row r="40" spans="2:50">
      <c r="B40" s="4" t="s">
        <v>0</v>
      </c>
      <c r="C40" s="37">
        <v>240000</v>
      </c>
      <c r="D40" s="4"/>
      <c r="E40" s="4"/>
      <c r="F40" s="10">
        <f t="shared" ref="F40:K40" si="22">(F23)/F$1*$Y$1</f>
        <v>1113200</v>
      </c>
      <c r="G40" s="10">
        <f t="shared" si="22"/>
        <v>638330</v>
      </c>
      <c r="H40" s="10">
        <f t="shared" si="22"/>
        <v>480053.33333333337</v>
      </c>
      <c r="I40" s="10">
        <f t="shared" si="22"/>
        <v>429665</v>
      </c>
      <c r="J40" s="10">
        <f t="shared" si="22"/>
        <v>343732</v>
      </c>
      <c r="K40" s="10">
        <f t="shared" si="22"/>
        <v>347040</v>
      </c>
      <c r="L40" s="10">
        <f t="shared" ref="L40:Y40" si="23">(L23)/L$1*$Y$1</f>
        <v>329445.71428571426</v>
      </c>
      <c r="M40" s="10">
        <f t="shared" si="23"/>
        <v>327730</v>
      </c>
      <c r="N40" s="10">
        <f t="shared" si="23"/>
        <v>340635.55555555556</v>
      </c>
      <c r="O40" s="10">
        <f t="shared" si="23"/>
        <v>317712</v>
      </c>
      <c r="P40" s="10">
        <f t="shared" si="23"/>
        <v>316634.54545454541</v>
      </c>
      <c r="Q40" s="10">
        <f t="shared" si="23"/>
        <v>303720</v>
      </c>
      <c r="R40" s="10">
        <f t="shared" si="23"/>
        <v>306256.92307692306</v>
      </c>
      <c r="S40" s="10">
        <f t="shared" si="23"/>
        <v>291684.28571428574</v>
      </c>
      <c r="T40" s="10">
        <f t="shared" si="23"/>
        <v>289365.33333333331</v>
      </c>
      <c r="U40" s="10">
        <f t="shared" si="23"/>
        <v>293015</v>
      </c>
      <c r="V40" s="10">
        <f t="shared" si="23"/>
        <v>283575.29411764705</v>
      </c>
      <c r="W40" s="10">
        <f t="shared" si="23"/>
        <v>272167.77777777775</v>
      </c>
      <c r="X40" s="10">
        <f t="shared" si="23"/>
        <v>265662.10526315792</v>
      </c>
      <c r="Y40" s="10">
        <f t="shared" si="23"/>
        <v>251294</v>
      </c>
      <c r="AX40"/>
    </row>
    <row r="41" spans="2:50">
      <c r="B41" s="4" t="s">
        <v>1</v>
      </c>
      <c r="C41" s="37">
        <v>250000</v>
      </c>
      <c r="D41" s="4"/>
      <c r="E41" s="4"/>
      <c r="F41" s="10">
        <f t="shared" ref="F41:G43" si="24">(F24)/F$1*$Y$1</f>
        <v>379080</v>
      </c>
      <c r="G41" s="10">
        <f t="shared" si="24"/>
        <v>227890</v>
      </c>
      <c r="H41" s="10">
        <f t="shared" ref="H41:K43" si="25">(H24)/H$1*$Y$1</f>
        <v>257766.66666666669</v>
      </c>
      <c r="I41" s="10">
        <f t="shared" si="25"/>
        <v>254745</v>
      </c>
      <c r="J41" s="48">
        <f t="shared" si="25"/>
        <v>212788</v>
      </c>
      <c r="K41" s="48">
        <f t="shared" si="25"/>
        <v>189640</v>
      </c>
      <c r="L41" s="48">
        <f t="shared" ref="L41:Y41" si="26">(L24)/L$1*$Y$1</f>
        <v>174191.42857142858</v>
      </c>
      <c r="M41" s="48">
        <f t="shared" si="26"/>
        <v>184970</v>
      </c>
      <c r="N41" s="48">
        <f t="shared" si="26"/>
        <v>197751.11111111109</v>
      </c>
      <c r="O41" s="48">
        <f t="shared" si="26"/>
        <v>208216</v>
      </c>
      <c r="P41" s="48">
        <f t="shared" si="26"/>
        <v>202905.45454545456</v>
      </c>
      <c r="Q41" s="48">
        <f t="shared" si="26"/>
        <v>185996.66666666669</v>
      </c>
      <c r="R41" s="48">
        <f t="shared" si="26"/>
        <v>192743.07692307691</v>
      </c>
      <c r="S41" s="48">
        <f t="shared" si="26"/>
        <v>175978.57142857142</v>
      </c>
      <c r="T41" s="48">
        <f t="shared" si="26"/>
        <v>164246.66666666669</v>
      </c>
      <c r="U41" s="48">
        <f t="shared" si="26"/>
        <v>153981.25</v>
      </c>
      <c r="V41" s="48">
        <f t="shared" si="26"/>
        <v>153735.29411764705</v>
      </c>
      <c r="W41" s="48">
        <f t="shared" si="26"/>
        <v>140682.22222222222</v>
      </c>
      <c r="X41" s="48">
        <f t="shared" si="26"/>
        <v>141788.42105263157</v>
      </c>
      <c r="Y41" s="48">
        <f t="shared" si="26"/>
        <v>139439</v>
      </c>
      <c r="AX41"/>
    </row>
    <row r="42" spans="2:50">
      <c r="B42" s="4" t="s">
        <v>2</v>
      </c>
      <c r="C42" s="37">
        <f>165000*0.9</f>
        <v>148500</v>
      </c>
      <c r="D42" s="4"/>
      <c r="E42" s="4"/>
      <c r="F42" s="10">
        <f t="shared" si="24"/>
        <v>445770</v>
      </c>
      <c r="G42" s="10">
        <f t="shared" si="24"/>
        <v>314550</v>
      </c>
      <c r="H42" s="10">
        <f t="shared" si="25"/>
        <v>288840</v>
      </c>
      <c r="I42" s="10">
        <f t="shared" si="25"/>
        <v>232375.5</v>
      </c>
      <c r="J42" s="10">
        <f t="shared" si="25"/>
        <v>221108.4</v>
      </c>
      <c r="K42" s="10">
        <f t="shared" si="25"/>
        <v>190557</v>
      </c>
      <c r="L42" s="10">
        <f t="shared" ref="L42:Y42" si="27">(L25)/L$1*$Y$1</f>
        <v>170262.85714285713</v>
      </c>
      <c r="M42" s="10">
        <f t="shared" si="27"/>
        <v>157520.25</v>
      </c>
      <c r="N42" s="48">
        <f t="shared" si="27"/>
        <v>139738</v>
      </c>
      <c r="O42" s="48">
        <f t="shared" si="27"/>
        <v>145168.20000000001</v>
      </c>
      <c r="P42" s="55">
        <f t="shared" si="27"/>
        <v>150290.18181818182</v>
      </c>
      <c r="Q42" s="48">
        <f t="shared" si="27"/>
        <v>140016</v>
      </c>
      <c r="R42" s="48">
        <f t="shared" si="27"/>
        <v>134361.69230769231</v>
      </c>
      <c r="S42" s="48">
        <f t="shared" si="27"/>
        <v>127458.00000000001</v>
      </c>
      <c r="T42" s="48">
        <f t="shared" si="27"/>
        <v>136680</v>
      </c>
      <c r="U42" s="48">
        <f t="shared" si="27"/>
        <v>128137.5</v>
      </c>
      <c r="V42" s="48">
        <f t="shared" si="27"/>
        <v>125767.0588235294</v>
      </c>
      <c r="W42" s="48">
        <f t="shared" si="27"/>
        <v>122975</v>
      </c>
      <c r="X42" s="48">
        <f t="shared" si="27"/>
        <v>116502.63157894736</v>
      </c>
      <c r="Y42" s="48">
        <f t="shared" si="27"/>
        <v>112837</v>
      </c>
    </row>
    <row r="43" spans="2:50">
      <c r="B43" s="4" t="s">
        <v>3</v>
      </c>
      <c r="C43" s="38">
        <f>210000*1.64</f>
        <v>344400</v>
      </c>
      <c r="D43" s="19"/>
      <c r="E43" s="19"/>
      <c r="F43" s="13">
        <f t="shared" si="24"/>
        <v>1769166.4</v>
      </c>
      <c r="G43" s="13">
        <f t="shared" si="24"/>
        <v>1075413.6000000001</v>
      </c>
      <c r="H43" s="13">
        <f t="shared" si="25"/>
        <v>901365.8666666667</v>
      </c>
      <c r="I43" s="13">
        <f t="shared" si="25"/>
        <v>764707.39999999991</v>
      </c>
      <c r="J43" s="13">
        <f t="shared" si="25"/>
        <v>656505.12</v>
      </c>
      <c r="K43" s="13">
        <f t="shared" si="25"/>
        <v>578455.33333333326</v>
      </c>
      <c r="L43" s="13">
        <f t="shared" ref="L43:Q43" si="28">(L26)/L$1*$Y$1</f>
        <v>575254.28571428568</v>
      </c>
      <c r="M43" s="13">
        <f t="shared" si="28"/>
        <v>560716</v>
      </c>
      <c r="N43" s="13">
        <f t="shared" si="28"/>
        <v>525076.97777777771</v>
      </c>
      <c r="O43" s="13">
        <f t="shared" si="28"/>
        <v>532501.43999999994</v>
      </c>
      <c r="P43" s="13">
        <f t="shared" si="28"/>
        <v>529281.67272727261</v>
      </c>
      <c r="Q43" s="13">
        <f t="shared" si="28"/>
        <v>543591.66666666663</v>
      </c>
      <c r="R43" s="13">
        <f t="shared" ref="R43:W43" si="29">(R26)/R$1*$Y$1</f>
        <v>540374.9538461538</v>
      </c>
      <c r="S43" s="13">
        <f t="shared" si="29"/>
        <v>537217.14285714284</v>
      </c>
      <c r="T43" s="13">
        <f t="shared" si="29"/>
        <v>531357.81333333335</v>
      </c>
      <c r="U43" s="13">
        <f t="shared" si="29"/>
        <v>504666.95</v>
      </c>
      <c r="V43" s="13">
        <f t="shared" si="29"/>
        <v>484581.41176470584</v>
      </c>
      <c r="W43" s="13">
        <f t="shared" si="29"/>
        <v>467443.73333333328</v>
      </c>
      <c r="X43" s="13">
        <f>(X26)/X$1*$Y$1</f>
        <v>455213.93684210523</v>
      </c>
      <c r="Y43" s="13">
        <f>(Y26)/Y$1*$Y$1</f>
        <v>384580</v>
      </c>
    </row>
    <row r="44" spans="2:50">
      <c r="B44" s="14" t="s">
        <v>27</v>
      </c>
      <c r="C44" s="39">
        <f t="shared" ref="C44:Y44" si="30">SUM(C40:C43)</f>
        <v>982900</v>
      </c>
      <c r="D44" s="10">
        <f t="shared" si="30"/>
        <v>0</v>
      </c>
      <c r="E44" s="10">
        <f t="shared" si="30"/>
        <v>0</v>
      </c>
      <c r="F44" s="10">
        <f t="shared" si="30"/>
        <v>3707216.4</v>
      </c>
      <c r="G44" s="10">
        <f t="shared" si="30"/>
        <v>2256183.6</v>
      </c>
      <c r="H44" s="10">
        <f t="shared" si="30"/>
        <v>1928025.8666666667</v>
      </c>
      <c r="I44" s="10">
        <f t="shared" si="30"/>
        <v>1681492.9</v>
      </c>
      <c r="J44" s="10">
        <f t="shared" si="30"/>
        <v>1434133.52</v>
      </c>
      <c r="K44" s="10">
        <f t="shared" si="30"/>
        <v>1305692.3333333333</v>
      </c>
      <c r="L44" s="10">
        <f t="shared" si="30"/>
        <v>1249154.2857142857</v>
      </c>
      <c r="M44" s="10">
        <f t="shared" si="30"/>
        <v>1230936.25</v>
      </c>
      <c r="N44" s="10">
        <f t="shared" si="30"/>
        <v>1203201.6444444442</v>
      </c>
      <c r="O44" s="10">
        <f t="shared" si="30"/>
        <v>1203597.6399999999</v>
      </c>
      <c r="P44" s="10">
        <f t="shared" si="30"/>
        <v>1199111.8545454545</v>
      </c>
      <c r="Q44" s="10">
        <f t="shared" si="30"/>
        <v>1173324.3333333335</v>
      </c>
      <c r="R44" s="10">
        <f t="shared" si="30"/>
        <v>1173736.6461538461</v>
      </c>
      <c r="S44" s="10">
        <f t="shared" si="30"/>
        <v>1132338</v>
      </c>
      <c r="T44" s="10">
        <f t="shared" si="30"/>
        <v>1121649.8133333335</v>
      </c>
      <c r="U44" s="10">
        <f t="shared" si="30"/>
        <v>1079800.7</v>
      </c>
      <c r="V44" s="10">
        <f t="shared" si="30"/>
        <v>1047659.0588235294</v>
      </c>
      <c r="W44" s="10">
        <f t="shared" si="30"/>
        <v>1003268.7333333333</v>
      </c>
      <c r="X44" s="10">
        <f t="shared" si="30"/>
        <v>979167.09473684209</v>
      </c>
      <c r="Y44" s="10">
        <f t="shared" si="30"/>
        <v>888150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C46" s="28"/>
      <c r="J46" s="28"/>
      <c r="K46" s="28"/>
      <c r="L46" s="28"/>
    </row>
    <row r="47" spans="2:50">
      <c r="B47" s="1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86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70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16250</v>
      </c>
      <c r="D6" s="10"/>
      <c r="E6" s="11">
        <v>22542</v>
      </c>
      <c r="F6" s="122">
        <v>28532</v>
      </c>
      <c r="G6" s="122">
        <v>17842</v>
      </c>
      <c r="H6" s="122">
        <v>23620</v>
      </c>
      <c r="I6" s="122">
        <v>22825</v>
      </c>
      <c r="J6" s="122">
        <v>8790</v>
      </c>
      <c r="K6" s="122">
        <v>14035</v>
      </c>
      <c r="L6" s="122">
        <v>32695</v>
      </c>
      <c r="M6" s="122">
        <v>24855</v>
      </c>
      <c r="N6" s="122">
        <v>12080</v>
      </c>
      <c r="O6" s="122">
        <v>23880</v>
      </c>
      <c r="P6" s="122">
        <v>14245</v>
      </c>
      <c r="Q6" s="34">
        <v>12635</v>
      </c>
      <c r="R6" s="34">
        <v>15800</v>
      </c>
      <c r="S6" s="34">
        <v>25287</v>
      </c>
      <c r="T6" s="34">
        <v>13872</v>
      </c>
      <c r="U6" s="34">
        <v>17660</v>
      </c>
      <c r="V6" s="34">
        <v>16807</v>
      </c>
      <c r="W6" s="34">
        <v>10479</v>
      </c>
      <c r="X6" s="34">
        <v>7391</v>
      </c>
      <c r="Y6" s="34">
        <v>14457</v>
      </c>
      <c r="Z6" s="115">
        <f t="shared" ref="Z6:Z11" si="1">(SUM(F6:Y6)/(COUNT(F6:Y6)))</f>
        <v>17889.349999999999</v>
      </c>
      <c r="AA6" s="103"/>
      <c r="AX6"/>
    </row>
    <row r="7" spans="1:50">
      <c r="B7" s="4" t="s">
        <v>64</v>
      </c>
      <c r="C7" s="20">
        <f t="shared" si="0"/>
        <v>5000</v>
      </c>
      <c r="D7" s="10"/>
      <c r="E7" s="11">
        <v>0</v>
      </c>
      <c r="F7" s="122">
        <v>2995</v>
      </c>
      <c r="G7" s="122">
        <v>14260</v>
      </c>
      <c r="H7" s="122">
        <v>2695</v>
      </c>
      <c r="I7" s="122">
        <v>2695</v>
      </c>
      <c r="J7" s="122">
        <v>12690</v>
      </c>
      <c r="K7" s="122">
        <v>5895</v>
      </c>
      <c r="L7" s="122">
        <v>8785</v>
      </c>
      <c r="M7" s="122">
        <v>6495</v>
      </c>
      <c r="N7" s="122">
        <v>6995</v>
      </c>
      <c r="O7" s="122">
        <v>10990</v>
      </c>
      <c r="P7" s="122">
        <v>2695</v>
      </c>
      <c r="Q7" s="34">
        <v>5495</v>
      </c>
      <c r="R7" s="34">
        <v>2695</v>
      </c>
      <c r="S7" s="34">
        <v>6995</v>
      </c>
      <c r="T7" s="34">
        <v>34475</v>
      </c>
      <c r="U7" s="34">
        <v>0</v>
      </c>
      <c r="V7" s="34">
        <v>14590</v>
      </c>
      <c r="W7" s="34">
        <v>4795</v>
      </c>
      <c r="X7" s="34">
        <v>12690</v>
      </c>
      <c r="Y7" s="34">
        <v>8495</v>
      </c>
      <c r="Z7" s="115">
        <f t="shared" si="1"/>
        <v>8371</v>
      </c>
      <c r="AA7" s="103"/>
      <c r="AX7"/>
    </row>
    <row r="8" spans="1:50">
      <c r="B8" s="4" t="s">
        <v>1</v>
      </c>
      <c r="C8" s="20">
        <f t="shared" si="0"/>
        <v>11250</v>
      </c>
      <c r="D8" s="10"/>
      <c r="E8" s="11">
        <v>10990</v>
      </c>
      <c r="F8" s="122">
        <v>16980</v>
      </c>
      <c r="G8" s="122">
        <v>12490</v>
      </c>
      <c r="H8" s="122">
        <v>18485</v>
      </c>
      <c r="I8" s="122">
        <v>16705</v>
      </c>
      <c r="J8" s="122">
        <v>15730</v>
      </c>
      <c r="K8" s="122">
        <v>14235</v>
      </c>
      <c r="L8" s="122">
        <v>10535</v>
      </c>
      <c r="M8" s="122">
        <v>15785</v>
      </c>
      <c r="N8" s="122">
        <v>20775</v>
      </c>
      <c r="O8" s="122">
        <v>19480</v>
      </c>
      <c r="P8" s="122">
        <v>21695</v>
      </c>
      <c r="Q8" s="34">
        <v>22975</v>
      </c>
      <c r="R8" s="34">
        <v>22535</v>
      </c>
      <c r="S8" s="34">
        <v>14339</v>
      </c>
      <c r="T8" s="34">
        <v>19485</v>
      </c>
      <c r="U8" s="34">
        <v>18970</v>
      </c>
      <c r="V8" s="34">
        <v>16490</v>
      </c>
      <c r="W8" s="34">
        <v>18985</v>
      </c>
      <c r="X8" s="34">
        <v>13440</v>
      </c>
      <c r="Y8" s="34">
        <v>24160</v>
      </c>
      <c r="Z8" s="115">
        <f t="shared" si="1"/>
        <v>17713.7</v>
      </c>
      <c r="AA8" s="103"/>
      <c r="AX8"/>
    </row>
    <row r="9" spans="1:50">
      <c r="B9" s="4" t="s">
        <v>2</v>
      </c>
      <c r="C9" s="20">
        <f t="shared" si="0"/>
        <v>9500</v>
      </c>
      <c r="D9" s="10"/>
      <c r="E9" s="11">
        <v>0</v>
      </c>
      <c r="F9" s="122">
        <v>2995</v>
      </c>
      <c r="G9" s="122">
        <v>2845</v>
      </c>
      <c r="H9" s="122">
        <v>0</v>
      </c>
      <c r="I9" s="122">
        <v>5220</v>
      </c>
      <c r="J9" s="122">
        <v>0</v>
      </c>
      <c r="K9" s="122">
        <v>0</v>
      </c>
      <c r="L9" s="122">
        <v>2845</v>
      </c>
      <c r="M9" s="122">
        <v>0</v>
      </c>
      <c r="N9" s="122">
        <v>0</v>
      </c>
      <c r="O9" s="122">
        <v>4176</v>
      </c>
      <c r="P9" s="122">
        <v>0</v>
      </c>
      <c r="Q9" s="34">
        <v>4080</v>
      </c>
      <c r="R9" s="34">
        <v>7595</v>
      </c>
      <c r="S9" s="34">
        <v>2845</v>
      </c>
      <c r="T9" s="34">
        <v>0</v>
      </c>
      <c r="U9" s="34">
        <v>0</v>
      </c>
      <c r="V9" s="34">
        <v>8535</v>
      </c>
      <c r="W9" s="34">
        <v>0</v>
      </c>
      <c r="X9" s="34">
        <v>0</v>
      </c>
      <c r="Y9" s="34">
        <v>14050</v>
      </c>
      <c r="Z9" s="69">
        <f t="shared" si="1"/>
        <v>2759.3</v>
      </c>
      <c r="AA9" s="103"/>
      <c r="AX9"/>
    </row>
    <row r="10" spans="1:50">
      <c r="B10" s="4" t="s">
        <v>63</v>
      </c>
      <c r="C10" s="20">
        <f t="shared" si="0"/>
        <v>5000</v>
      </c>
      <c r="D10" s="10"/>
      <c r="E10" s="11">
        <v>0</v>
      </c>
      <c r="F10" s="122">
        <v>1128</v>
      </c>
      <c r="G10" s="122">
        <v>1103</v>
      </c>
      <c r="H10" s="122">
        <v>2995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11717</v>
      </c>
      <c r="W10" s="34">
        <v>5495</v>
      </c>
      <c r="X10" s="34">
        <v>4422</v>
      </c>
      <c r="Y10" s="34">
        <v>2995</v>
      </c>
      <c r="Z10" s="69">
        <f t="shared" si="1"/>
        <v>1492.75</v>
      </c>
      <c r="AA10" s="103"/>
      <c r="AX10"/>
    </row>
    <row r="11" spans="1:50" ht="15.75" thickBot="1">
      <c r="B11" s="4" t="s">
        <v>3</v>
      </c>
      <c r="C11" s="21">
        <f t="shared" si="0"/>
        <v>18000</v>
      </c>
      <c r="D11" s="13"/>
      <c r="E11" s="11">
        <v>7964</v>
      </c>
      <c r="F11" s="124">
        <v>0</v>
      </c>
      <c r="G11" s="124">
        <v>3728</v>
      </c>
      <c r="H11" s="124">
        <v>3577</v>
      </c>
      <c r="I11" s="124">
        <v>5665</v>
      </c>
      <c r="J11" s="124">
        <v>13578</v>
      </c>
      <c r="K11" s="124">
        <v>17344</v>
      </c>
      <c r="L11" s="124">
        <v>8345</v>
      </c>
      <c r="M11" s="124">
        <v>3986</v>
      </c>
      <c r="N11" s="124">
        <v>1197</v>
      </c>
      <c r="O11" s="124">
        <v>16721</v>
      </c>
      <c r="P11" s="124">
        <v>7360</v>
      </c>
      <c r="Q11" s="35">
        <v>3427</v>
      </c>
      <c r="R11" s="35">
        <v>4237</v>
      </c>
      <c r="S11" s="35">
        <v>16965</v>
      </c>
      <c r="T11" s="35">
        <v>15120</v>
      </c>
      <c r="U11" s="35">
        <v>17331</v>
      </c>
      <c r="V11" s="35">
        <v>16523</v>
      </c>
      <c r="W11" s="35">
        <v>16760</v>
      </c>
      <c r="X11" s="35">
        <v>11691</v>
      </c>
      <c r="Y11" s="35">
        <v>17866</v>
      </c>
      <c r="Z11" s="94">
        <f t="shared" si="1"/>
        <v>10071.049999999999</v>
      </c>
      <c r="AA11" s="103"/>
      <c r="AX11"/>
    </row>
    <row r="12" spans="1:50" ht="15.75" thickBot="1">
      <c r="B12" s="14" t="s">
        <v>27</v>
      </c>
      <c r="C12" s="20">
        <f>SUM(C6:C11)</f>
        <v>65000</v>
      </c>
      <c r="D12" s="10"/>
      <c r="E12" s="137">
        <f t="shared" ref="E12:Y12" si="2">SUM(E6:E11)</f>
        <v>41496</v>
      </c>
      <c r="F12" s="136">
        <f t="shared" si="2"/>
        <v>52630</v>
      </c>
      <c r="G12" s="136">
        <f t="shared" si="2"/>
        <v>52268</v>
      </c>
      <c r="H12" s="136">
        <f t="shared" si="2"/>
        <v>51372</v>
      </c>
      <c r="I12" s="136">
        <f t="shared" si="2"/>
        <v>53110</v>
      </c>
      <c r="J12" s="136">
        <f t="shared" si="2"/>
        <v>50788</v>
      </c>
      <c r="K12" s="136">
        <f t="shared" si="2"/>
        <v>51509</v>
      </c>
      <c r="L12" s="136">
        <f t="shared" si="2"/>
        <v>63205</v>
      </c>
      <c r="M12" s="136">
        <f t="shared" si="2"/>
        <v>51121</v>
      </c>
      <c r="N12" s="136">
        <f t="shared" si="2"/>
        <v>41047</v>
      </c>
      <c r="O12" s="136">
        <f t="shared" si="2"/>
        <v>75247</v>
      </c>
      <c r="P12" s="136">
        <f t="shared" si="2"/>
        <v>45995</v>
      </c>
      <c r="Q12" s="136">
        <f t="shared" si="2"/>
        <v>48612</v>
      </c>
      <c r="R12" s="136">
        <f t="shared" si="2"/>
        <v>52862</v>
      </c>
      <c r="S12" s="136">
        <f t="shared" si="2"/>
        <v>66431</v>
      </c>
      <c r="T12" s="136">
        <f t="shared" si="2"/>
        <v>82952</v>
      </c>
      <c r="U12" s="136">
        <f t="shared" si="2"/>
        <v>53961</v>
      </c>
      <c r="V12" s="136">
        <f t="shared" si="2"/>
        <v>84662</v>
      </c>
      <c r="W12" s="136">
        <f t="shared" si="2"/>
        <v>56514</v>
      </c>
      <c r="X12" s="136">
        <f t="shared" si="2"/>
        <v>49634</v>
      </c>
      <c r="Y12" s="136">
        <f t="shared" si="2"/>
        <v>82023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35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58297.15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1.7558153846153846</v>
      </c>
      <c r="G17" s="25">
        <f t="shared" si="4"/>
        <v>1.0979692307692308</v>
      </c>
      <c r="H17" s="25">
        <f t="shared" si="4"/>
        <v>1.4535384615384617</v>
      </c>
      <c r="I17" s="25">
        <f t="shared" si="4"/>
        <v>1.4046153846153846</v>
      </c>
      <c r="J17" s="25">
        <f t="shared" si="4"/>
        <v>0.54092307692307684</v>
      </c>
      <c r="K17" s="25">
        <f t="shared" si="4"/>
        <v>0.86369230769230776</v>
      </c>
      <c r="L17" s="25">
        <f t="shared" si="4"/>
        <v>2.012</v>
      </c>
      <c r="M17" s="25">
        <f t="shared" si="4"/>
        <v>1.5295384615384615</v>
      </c>
      <c r="N17" s="25">
        <f t="shared" si="4"/>
        <v>0.74338461538461531</v>
      </c>
      <c r="O17" s="25">
        <f t="shared" si="4"/>
        <v>1.4695384615384615</v>
      </c>
      <c r="P17" s="25">
        <f t="shared" si="4"/>
        <v>0.87661538461538457</v>
      </c>
      <c r="Q17" s="25">
        <f t="shared" si="4"/>
        <v>0.77753846153846151</v>
      </c>
      <c r="R17" s="25">
        <f t="shared" si="4"/>
        <v>0.97230769230769232</v>
      </c>
      <c r="S17" s="25">
        <f t="shared" si="4"/>
        <v>1.5561230769230769</v>
      </c>
      <c r="T17" s="25">
        <f t="shared" si="4"/>
        <v>0.85366153846153847</v>
      </c>
      <c r="U17" s="25">
        <f t="shared" si="4"/>
        <v>1.0867692307692307</v>
      </c>
      <c r="V17" s="25">
        <f t="shared" si="4"/>
        <v>1.0342769230769231</v>
      </c>
      <c r="W17" s="25">
        <f t="shared" si="4"/>
        <v>0.64486153846153849</v>
      </c>
      <c r="X17" s="25">
        <f t="shared" si="4"/>
        <v>0.45483076923076926</v>
      </c>
      <c r="Y17" s="25">
        <f t="shared" si="4"/>
        <v>0.8896615384615385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0.59899999999999998</v>
      </c>
      <c r="G18" s="25">
        <f t="shared" si="4"/>
        <v>2.8520000000000003</v>
      </c>
      <c r="H18" s="25">
        <f t="shared" si="4"/>
        <v>0.53899999999999992</v>
      </c>
      <c r="I18" s="25">
        <f t="shared" si="4"/>
        <v>0.53899999999999992</v>
      </c>
      <c r="J18" s="25">
        <f t="shared" si="4"/>
        <v>2.5380000000000003</v>
      </c>
      <c r="K18" s="25">
        <f t="shared" si="4"/>
        <v>1.179</v>
      </c>
      <c r="L18" s="25">
        <f t="shared" si="4"/>
        <v>1.7570000000000001</v>
      </c>
      <c r="M18" s="25">
        <f t="shared" si="4"/>
        <v>1.2989999999999999</v>
      </c>
      <c r="N18" s="25">
        <f t="shared" si="4"/>
        <v>1.399</v>
      </c>
      <c r="O18" s="25">
        <f t="shared" si="4"/>
        <v>2.198</v>
      </c>
      <c r="P18" s="25">
        <f t="shared" si="4"/>
        <v>0.53899999999999992</v>
      </c>
      <c r="Q18" s="25">
        <f t="shared" si="4"/>
        <v>1.099</v>
      </c>
      <c r="R18" s="25">
        <f t="shared" si="4"/>
        <v>0.53899999999999992</v>
      </c>
      <c r="S18" s="25">
        <f t="shared" si="4"/>
        <v>1.399</v>
      </c>
      <c r="T18" s="25">
        <f t="shared" si="4"/>
        <v>6.8949999999999996</v>
      </c>
      <c r="U18" s="25">
        <f t="shared" si="4"/>
        <v>0</v>
      </c>
      <c r="V18" s="25">
        <f t="shared" si="4"/>
        <v>2.9180000000000001</v>
      </c>
      <c r="W18" s="25">
        <f t="shared" si="4"/>
        <v>0.95899999999999996</v>
      </c>
      <c r="X18" s="25">
        <f t="shared" si="4"/>
        <v>2.5380000000000003</v>
      </c>
      <c r="Y18" s="25">
        <f t="shared" si="4"/>
        <v>1.6989999999999998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1.5093333333333332</v>
      </c>
      <c r="G19" s="25">
        <f t="shared" si="4"/>
        <v>1.1102222222222222</v>
      </c>
      <c r="H19" s="25">
        <f t="shared" si="4"/>
        <v>1.6431111111111112</v>
      </c>
      <c r="I19" s="25">
        <f t="shared" si="4"/>
        <v>1.4848888888888889</v>
      </c>
      <c r="J19" s="25">
        <f t="shared" si="4"/>
        <v>1.3982222222222223</v>
      </c>
      <c r="K19" s="25">
        <f t="shared" si="4"/>
        <v>1.2653333333333334</v>
      </c>
      <c r="L19" s="25">
        <f t="shared" si="4"/>
        <v>0.93644444444444441</v>
      </c>
      <c r="M19" s="25">
        <f t="shared" si="4"/>
        <v>1.403111111111111</v>
      </c>
      <c r="N19" s="25">
        <f t="shared" si="4"/>
        <v>1.8466666666666667</v>
      </c>
      <c r="O19" s="25">
        <f t="shared" si="4"/>
        <v>1.7315555555555555</v>
      </c>
      <c r="P19" s="25">
        <f t="shared" si="4"/>
        <v>1.9284444444444444</v>
      </c>
      <c r="Q19" s="25">
        <f t="shared" si="4"/>
        <v>2.0422222222222222</v>
      </c>
      <c r="R19" s="25">
        <f t="shared" si="4"/>
        <v>2.0031111111111111</v>
      </c>
      <c r="S19" s="25">
        <f t="shared" si="4"/>
        <v>1.2745777777777778</v>
      </c>
      <c r="T19" s="25">
        <f t="shared" si="4"/>
        <v>1.732</v>
      </c>
      <c r="U19" s="25">
        <f t="shared" si="4"/>
        <v>1.6862222222222223</v>
      </c>
      <c r="V19" s="25">
        <f t="shared" si="4"/>
        <v>1.4657777777777778</v>
      </c>
      <c r="W19" s="25">
        <f t="shared" si="4"/>
        <v>1.6875555555555555</v>
      </c>
      <c r="X19" s="25">
        <f t="shared" si="4"/>
        <v>1.1946666666666665</v>
      </c>
      <c r="Y19" s="25">
        <f t="shared" si="4"/>
        <v>2.1475555555555559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0.3152631578947368</v>
      </c>
      <c r="G20" s="25">
        <f t="shared" si="4"/>
        <v>0.29947368421052634</v>
      </c>
      <c r="H20" s="25">
        <f t="shared" si="4"/>
        <v>0</v>
      </c>
      <c r="I20" s="25">
        <f t="shared" si="4"/>
        <v>0.54947368421052634</v>
      </c>
      <c r="J20" s="25">
        <f t="shared" si="4"/>
        <v>0</v>
      </c>
      <c r="K20" s="25">
        <f t="shared" si="4"/>
        <v>0</v>
      </c>
      <c r="L20" s="25">
        <f t="shared" si="4"/>
        <v>0.29947368421052634</v>
      </c>
      <c r="M20" s="25">
        <f t="shared" si="4"/>
        <v>0</v>
      </c>
      <c r="N20" s="25">
        <f t="shared" si="4"/>
        <v>0</v>
      </c>
      <c r="O20" s="25">
        <f t="shared" si="4"/>
        <v>0.43957894736842107</v>
      </c>
      <c r="P20" s="25">
        <f t="shared" si="4"/>
        <v>0</v>
      </c>
      <c r="Q20" s="25">
        <f t="shared" si="4"/>
        <v>0.42947368421052634</v>
      </c>
      <c r="R20" s="25">
        <f t="shared" si="4"/>
        <v>0.79947368421052634</v>
      </c>
      <c r="S20" s="25">
        <f t="shared" si="4"/>
        <v>0.29947368421052634</v>
      </c>
      <c r="T20" s="25">
        <f t="shared" si="4"/>
        <v>0</v>
      </c>
      <c r="U20" s="25">
        <f t="shared" si="4"/>
        <v>0</v>
      </c>
      <c r="V20" s="25">
        <f t="shared" si="4"/>
        <v>0.89842105263157901</v>
      </c>
      <c r="W20" s="25">
        <f t="shared" si="4"/>
        <v>0</v>
      </c>
      <c r="X20" s="25">
        <f t="shared" si="4"/>
        <v>0</v>
      </c>
      <c r="Y20" s="25">
        <f t="shared" si="4"/>
        <v>1.4789473684210526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0.22560000000000002</v>
      </c>
      <c r="G21" s="25">
        <f t="shared" si="4"/>
        <v>0.22060000000000002</v>
      </c>
      <c r="H21" s="25">
        <f t="shared" si="4"/>
        <v>0.59899999999999998</v>
      </c>
      <c r="I21" s="25">
        <f t="shared" si="4"/>
        <v>0</v>
      </c>
      <c r="J21" s="25">
        <f t="shared" si="4"/>
        <v>0</v>
      </c>
      <c r="K21" s="25">
        <f t="shared" si="4"/>
        <v>0</v>
      </c>
      <c r="L21" s="25">
        <f t="shared" si="4"/>
        <v>0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</v>
      </c>
      <c r="Q21" s="25">
        <f t="shared" si="4"/>
        <v>0</v>
      </c>
      <c r="R21" s="25">
        <f t="shared" si="4"/>
        <v>0</v>
      </c>
      <c r="S21" s="25">
        <f t="shared" si="4"/>
        <v>0</v>
      </c>
      <c r="T21" s="25">
        <f t="shared" si="4"/>
        <v>0</v>
      </c>
      <c r="U21" s="25">
        <f t="shared" si="4"/>
        <v>0</v>
      </c>
      <c r="V21" s="25">
        <f t="shared" si="4"/>
        <v>2.3433999999999999</v>
      </c>
      <c r="W21" s="25">
        <f t="shared" si="4"/>
        <v>1.099</v>
      </c>
      <c r="X21" s="25">
        <f t="shared" si="4"/>
        <v>0.88439999999999996</v>
      </c>
      <c r="Y21" s="25">
        <f t="shared" si="4"/>
        <v>0.59899999999999998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</v>
      </c>
      <c r="G22" s="27">
        <f t="shared" si="4"/>
        <v>0.20711111111111113</v>
      </c>
      <c r="H22" s="27">
        <f t="shared" si="4"/>
        <v>0.19872222222222224</v>
      </c>
      <c r="I22" s="27">
        <f t="shared" si="4"/>
        <v>0.31472222222222224</v>
      </c>
      <c r="J22" s="27">
        <f t="shared" si="4"/>
        <v>0.7543333333333333</v>
      </c>
      <c r="K22" s="27">
        <f t="shared" si="4"/>
        <v>0.9635555555555555</v>
      </c>
      <c r="L22" s="27">
        <f t="shared" si="4"/>
        <v>0.46361111111111108</v>
      </c>
      <c r="M22" s="27">
        <f t="shared" si="4"/>
        <v>0.22144444444444444</v>
      </c>
      <c r="N22" s="27">
        <f t="shared" si="4"/>
        <v>6.6500000000000004E-2</v>
      </c>
      <c r="O22" s="27">
        <f t="shared" si="4"/>
        <v>0.92894444444444446</v>
      </c>
      <c r="P22" s="27">
        <f t="shared" si="4"/>
        <v>0.40888888888888886</v>
      </c>
      <c r="Q22" s="27">
        <f t="shared" si="4"/>
        <v>0.19038888888888894</v>
      </c>
      <c r="R22" s="27">
        <f t="shared" si="4"/>
        <v>0.23538888888888887</v>
      </c>
      <c r="S22" s="27">
        <f t="shared" si="4"/>
        <v>0.9425</v>
      </c>
      <c r="T22" s="27">
        <f t="shared" si="4"/>
        <v>0.84</v>
      </c>
      <c r="U22" s="27">
        <f t="shared" si="4"/>
        <v>0.96283333333333332</v>
      </c>
      <c r="V22" s="27">
        <f t="shared" si="4"/>
        <v>0.91794444444444445</v>
      </c>
      <c r="W22" s="27">
        <f t="shared" si="4"/>
        <v>0.93111111111111111</v>
      </c>
      <c r="X22" s="27">
        <f t="shared" si="4"/>
        <v>0.64949999999999997</v>
      </c>
      <c r="Y22" s="27">
        <f t="shared" si="4"/>
        <v>0.99255555555555552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0.80969230769230771</v>
      </c>
      <c r="G23" s="25">
        <f t="shared" si="4"/>
        <v>0.80412307692307694</v>
      </c>
      <c r="H23" s="25">
        <f t="shared" si="4"/>
        <v>0.79033846153846155</v>
      </c>
      <c r="I23" s="25">
        <f>(I12-$C12)/$C12+1</f>
        <v>0.81707692307692303</v>
      </c>
      <c r="J23" s="25">
        <f>(J12-$C12)/$C12+1</f>
        <v>0.78135384615384618</v>
      </c>
      <c r="K23" s="25">
        <f>(K12-$C12)/$C12+1</f>
        <v>0.7924461538461538</v>
      </c>
      <c r="L23" s="25">
        <f>(L12-$C12)/$C12+1</f>
        <v>0.9723846153846154</v>
      </c>
      <c r="M23" s="25">
        <f t="shared" si="4"/>
        <v>0.78647692307692307</v>
      </c>
      <c r="N23" s="25">
        <f t="shared" si="4"/>
        <v>0.63149230769230769</v>
      </c>
      <c r="O23" s="25">
        <f t="shared" si="4"/>
        <v>1.1576461538461538</v>
      </c>
      <c r="P23" s="25">
        <f t="shared" si="4"/>
        <v>0.70761538461538454</v>
      </c>
      <c r="Q23" s="25">
        <f t="shared" si="4"/>
        <v>0.74787692307692311</v>
      </c>
      <c r="R23" s="25">
        <f t="shared" si="4"/>
        <v>0.81326153846153848</v>
      </c>
      <c r="S23" s="25">
        <f>(S12-$C12)/$C12+1</f>
        <v>1.0220153846153845</v>
      </c>
      <c r="T23" s="25">
        <f>(T12-$C12)/$C12+1</f>
        <v>1.2761846153846155</v>
      </c>
      <c r="U23" s="25">
        <f>(U12-$C12)/$C12+1</f>
        <v>0.83016923076923077</v>
      </c>
      <c r="V23" s="25">
        <f>(V12-$C12)/$C12+1</f>
        <v>1.3024923076923076</v>
      </c>
      <c r="W23" s="25">
        <f>(W12-$C12)/$C12+1</f>
        <v>0.86944615384615387</v>
      </c>
      <c r="X23" s="25">
        <f t="shared" si="4"/>
        <v>0.76360000000000006</v>
      </c>
      <c r="Y23" s="25">
        <f t="shared" si="4"/>
        <v>1.2618923076923076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22542</v>
      </c>
      <c r="G27" s="23">
        <v>40384</v>
      </c>
      <c r="H27" s="23">
        <v>75791</v>
      </c>
      <c r="I27" s="23">
        <v>98616</v>
      </c>
      <c r="J27" s="23">
        <v>107406</v>
      </c>
      <c r="K27" s="23">
        <v>121441</v>
      </c>
      <c r="L27" s="122">
        <v>154136</v>
      </c>
      <c r="M27" s="122">
        <v>178991</v>
      </c>
      <c r="N27" s="122">
        <v>188076</v>
      </c>
      <c r="O27" s="122">
        <v>211956</v>
      </c>
      <c r="P27" s="122">
        <v>226381</v>
      </c>
      <c r="Q27" s="23">
        <v>239016</v>
      </c>
      <c r="R27" s="23">
        <v>254816</v>
      </c>
      <c r="S27" s="23">
        <v>280103</v>
      </c>
      <c r="T27" s="23">
        <v>294095</v>
      </c>
      <c r="U27" s="23">
        <v>311755</v>
      </c>
      <c r="V27" s="23">
        <v>328562</v>
      </c>
      <c r="W27" s="23">
        <v>339041</v>
      </c>
      <c r="X27" s="23">
        <v>339041</v>
      </c>
      <c r="Y27" s="23">
        <v>354773</v>
      </c>
      <c r="Z27" s="109">
        <f>+Y27/C48</f>
        <v>1.0916092307692307</v>
      </c>
      <c r="AA27" s="97">
        <f t="shared" ref="AA27:AA33" si="8">+Z27-Y$25</f>
        <v>9.1609230769230665E-2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14260</v>
      </c>
      <c r="H28" s="34">
        <v>16955</v>
      </c>
      <c r="I28" s="34">
        <v>19650</v>
      </c>
      <c r="J28" s="34">
        <v>32340</v>
      </c>
      <c r="K28" s="34">
        <v>38235</v>
      </c>
      <c r="L28" s="122">
        <v>47020</v>
      </c>
      <c r="M28" s="122">
        <v>53515</v>
      </c>
      <c r="N28" s="122">
        <v>60510</v>
      </c>
      <c r="O28" s="122">
        <v>71500</v>
      </c>
      <c r="P28" s="122">
        <v>74195</v>
      </c>
      <c r="Q28" s="23">
        <v>79690</v>
      </c>
      <c r="R28" s="23">
        <v>82385</v>
      </c>
      <c r="S28" s="23">
        <v>89380</v>
      </c>
      <c r="T28" s="23">
        <v>123955</v>
      </c>
      <c r="U28" s="23">
        <v>123955</v>
      </c>
      <c r="V28" s="121">
        <v>138445</v>
      </c>
      <c r="W28" s="23">
        <v>143240</v>
      </c>
      <c r="X28" s="23">
        <v>153235</v>
      </c>
      <c r="Y28" s="23">
        <v>161730</v>
      </c>
      <c r="Z28" s="109">
        <f>+Y28/C49</f>
        <v>1.6173</v>
      </c>
      <c r="AA28" s="113">
        <f t="shared" si="8"/>
        <v>0.61729999999999996</v>
      </c>
      <c r="AX28"/>
    </row>
    <row r="29" spans="2:50">
      <c r="B29" s="4" t="str">
        <f>+B19</f>
        <v>Boston</v>
      </c>
      <c r="C29" s="4"/>
      <c r="D29" s="4"/>
      <c r="E29" s="23"/>
      <c r="F29" s="34">
        <v>10990</v>
      </c>
      <c r="G29" s="34">
        <v>20980</v>
      </c>
      <c r="H29" s="34">
        <v>34970</v>
      </c>
      <c r="I29" s="34">
        <v>44635</v>
      </c>
      <c r="J29" s="34">
        <v>47630</v>
      </c>
      <c r="K29" s="34">
        <v>74850</v>
      </c>
      <c r="L29" s="122">
        <v>72350</v>
      </c>
      <c r="M29" s="122">
        <v>68980</v>
      </c>
      <c r="N29" s="122">
        <v>100250</v>
      </c>
      <c r="O29" s="122">
        <v>119730</v>
      </c>
      <c r="P29" s="122">
        <v>136755</v>
      </c>
      <c r="Q29" s="23">
        <v>165225</v>
      </c>
      <c r="R29" s="23">
        <v>182265</v>
      </c>
      <c r="S29" s="23">
        <v>182265</v>
      </c>
      <c r="T29" s="23">
        <v>201750</v>
      </c>
      <c r="U29" s="23">
        <v>238060</v>
      </c>
      <c r="V29" s="121">
        <v>226530</v>
      </c>
      <c r="W29" s="23">
        <v>231530</v>
      </c>
      <c r="X29" s="23">
        <v>232030</v>
      </c>
      <c r="Y29" s="23">
        <v>238030</v>
      </c>
      <c r="Z29" s="109">
        <f>+Y29/C50</f>
        <v>1.057911111111111</v>
      </c>
      <c r="AA29" s="113">
        <f t="shared" si="8"/>
        <v>5.7911111111111024E-2</v>
      </c>
      <c r="AX29"/>
    </row>
    <row r="30" spans="2:50" s="4" customFormat="1" ht="12.75">
      <c r="B30" s="4" t="str">
        <f>+B20</f>
        <v>Canada</v>
      </c>
      <c r="E30" s="23"/>
      <c r="F30" s="34">
        <v>0</v>
      </c>
      <c r="G30" s="34">
        <v>0</v>
      </c>
      <c r="H30" s="34">
        <v>2845</v>
      </c>
      <c r="I30" s="34">
        <v>8065</v>
      </c>
      <c r="J30" s="34">
        <v>8065</v>
      </c>
      <c r="K30" s="34">
        <v>8065</v>
      </c>
      <c r="L30" s="122">
        <v>8065</v>
      </c>
      <c r="M30" s="122">
        <v>10910</v>
      </c>
      <c r="N30" s="122">
        <v>10190</v>
      </c>
      <c r="O30" s="122">
        <v>15086</v>
      </c>
      <c r="P30" s="122">
        <v>15086</v>
      </c>
      <c r="Q30" s="34">
        <v>15086</v>
      </c>
      <c r="R30" s="34">
        <v>19167</v>
      </c>
      <c r="S30" s="34">
        <v>29667</v>
      </c>
      <c r="T30" s="34">
        <v>29667</v>
      </c>
      <c r="U30" s="34">
        <v>29667</v>
      </c>
      <c r="V30" s="121">
        <v>29702</v>
      </c>
      <c r="W30" s="34">
        <v>29702</v>
      </c>
      <c r="X30" s="34">
        <v>35298</v>
      </c>
      <c r="Y30" s="34">
        <v>40748</v>
      </c>
      <c r="Z30" s="109">
        <f>Y30/C51</f>
        <v>0.21446315789473686</v>
      </c>
      <c r="AA30" s="79">
        <f t="shared" si="8"/>
        <v>-0.78553684210526309</v>
      </c>
    </row>
    <row r="31" spans="2:50" s="4" customFormat="1" ht="12.75">
      <c r="B31" s="4" t="s">
        <v>63</v>
      </c>
      <c r="E31" s="23"/>
      <c r="F31" s="34">
        <v>0</v>
      </c>
      <c r="G31" s="34">
        <v>1103</v>
      </c>
      <c r="H31" s="34">
        <v>4098</v>
      </c>
      <c r="I31" s="34">
        <v>4098</v>
      </c>
      <c r="J31" s="34">
        <v>4098</v>
      </c>
      <c r="K31" s="34">
        <v>4098</v>
      </c>
      <c r="L31" s="122">
        <v>4098</v>
      </c>
      <c r="M31" s="122">
        <v>4098</v>
      </c>
      <c r="N31" s="122">
        <v>4098</v>
      </c>
      <c r="O31" s="122">
        <v>4098</v>
      </c>
      <c r="P31" s="122">
        <v>4098</v>
      </c>
      <c r="Q31" s="34">
        <v>4098</v>
      </c>
      <c r="R31" s="34">
        <v>4098</v>
      </c>
      <c r="S31" s="34">
        <v>4098</v>
      </c>
      <c r="T31" s="34">
        <v>4098</v>
      </c>
      <c r="U31" s="34">
        <v>4098</v>
      </c>
      <c r="V31" s="121">
        <v>15818</v>
      </c>
      <c r="W31" s="34">
        <v>21310</v>
      </c>
      <c r="X31" s="34">
        <v>21310</v>
      </c>
      <c r="Y31" s="34">
        <v>24305</v>
      </c>
      <c r="Z31" s="109">
        <f>Y31/C52</f>
        <v>0.24304999999999999</v>
      </c>
      <c r="AA31" s="79">
        <f t="shared" si="8"/>
        <v>-0.75695000000000001</v>
      </c>
    </row>
    <row r="32" spans="2:50">
      <c r="B32" s="5" t="str">
        <f>+B22</f>
        <v>Norwich</v>
      </c>
      <c r="C32" s="19"/>
      <c r="D32" s="19"/>
      <c r="E32" s="35"/>
      <c r="F32" s="35">
        <v>7964</v>
      </c>
      <c r="G32" s="35">
        <v>7082</v>
      </c>
      <c r="H32" s="35">
        <v>11030</v>
      </c>
      <c r="I32" s="35">
        <v>13119</v>
      </c>
      <c r="J32" s="35">
        <v>26696</v>
      </c>
      <c r="K32" s="35">
        <v>44040</v>
      </c>
      <c r="L32" s="124">
        <v>52386</v>
      </c>
      <c r="M32" s="124">
        <v>53391</v>
      </c>
      <c r="N32" s="124">
        <v>54589</v>
      </c>
      <c r="O32" s="124">
        <v>63494</v>
      </c>
      <c r="P32" s="124">
        <v>73548</v>
      </c>
      <c r="Q32" s="35">
        <v>76973</v>
      </c>
      <c r="R32" s="35">
        <v>81211</v>
      </c>
      <c r="S32" s="35">
        <v>98176</v>
      </c>
      <c r="T32" s="35">
        <v>113297</v>
      </c>
      <c r="U32" s="35">
        <v>130481</v>
      </c>
      <c r="V32" s="35">
        <v>142166</v>
      </c>
      <c r="W32" s="35">
        <v>151111</v>
      </c>
      <c r="X32" s="35">
        <v>159821</v>
      </c>
      <c r="Y32" s="35">
        <v>192175</v>
      </c>
      <c r="Z32" s="110">
        <f>+Y32/C53</f>
        <v>0.5338194444444444</v>
      </c>
      <c r="AA32" s="79">
        <f t="shared" si="8"/>
        <v>-0.4661805555555556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41496</v>
      </c>
      <c r="G33" s="10">
        <f>SUM(G27:G32)</f>
        <v>83809</v>
      </c>
      <c r="H33" s="10">
        <f>SUM(H27:H32)</f>
        <v>145689</v>
      </c>
      <c r="I33" s="10">
        <f>SUM(I27:I32)</f>
        <v>188183</v>
      </c>
      <c r="J33" s="4">
        <f t="shared" ref="J33:Y33" si="9">SUM(J27:J32)</f>
        <v>226235</v>
      </c>
      <c r="K33" s="10">
        <f t="shared" si="9"/>
        <v>290729</v>
      </c>
      <c r="L33" s="10">
        <f t="shared" si="9"/>
        <v>338055</v>
      </c>
      <c r="M33" s="10">
        <f t="shared" si="9"/>
        <v>369885</v>
      </c>
      <c r="N33" s="10">
        <f t="shared" si="9"/>
        <v>417713</v>
      </c>
      <c r="O33" s="4">
        <f>SUM(O27:O32)</f>
        <v>485864</v>
      </c>
      <c r="P33" s="10">
        <f t="shared" si="9"/>
        <v>530063</v>
      </c>
      <c r="Q33" s="10">
        <f t="shared" si="9"/>
        <v>580088</v>
      </c>
      <c r="R33" s="10">
        <f t="shared" si="9"/>
        <v>623942</v>
      </c>
      <c r="S33" s="10">
        <f t="shared" si="9"/>
        <v>683689</v>
      </c>
      <c r="T33" s="4">
        <f t="shared" si="9"/>
        <v>766862</v>
      </c>
      <c r="U33" s="10">
        <f t="shared" si="9"/>
        <v>838016</v>
      </c>
      <c r="V33" s="10">
        <f t="shared" si="9"/>
        <v>881223</v>
      </c>
      <c r="W33" s="10">
        <f t="shared" si="9"/>
        <v>915934</v>
      </c>
      <c r="X33" s="10">
        <f t="shared" si="9"/>
        <v>940735</v>
      </c>
      <c r="Y33" s="10">
        <f t="shared" si="9"/>
        <v>1011761</v>
      </c>
      <c r="Z33" s="111">
        <f>+Y33/C54</f>
        <v>0.77827769230769228</v>
      </c>
      <c r="AA33" s="84">
        <f t="shared" si="8"/>
        <v>-0.22172230769230772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3.1919999999999997E-2</v>
      </c>
      <c r="G34" s="30">
        <f t="shared" si="10"/>
        <v>6.4468461538461544E-2</v>
      </c>
      <c r="H34" s="30">
        <f t="shared" si="10"/>
        <v>0.11206846153846153</v>
      </c>
      <c r="I34" s="30">
        <f t="shared" si="10"/>
        <v>0.14475615384615384</v>
      </c>
      <c r="J34" s="30">
        <f t="shared" si="10"/>
        <v>0.17402692307692308</v>
      </c>
      <c r="K34" s="30">
        <f t="shared" si="10"/>
        <v>0.22363769230769232</v>
      </c>
      <c r="L34" s="30">
        <f t="shared" si="10"/>
        <v>0.26004230769230768</v>
      </c>
      <c r="M34" s="30">
        <f t="shared" si="10"/>
        <v>0.28452692307692307</v>
      </c>
      <c r="N34" s="30">
        <f t="shared" si="10"/>
        <v>0.3213176923076923</v>
      </c>
      <c r="O34" s="30">
        <f>+O33/$C$54</f>
        <v>0.37374153846153846</v>
      </c>
      <c r="P34" s="30">
        <f t="shared" ref="P34:Y34" si="11">+P33/$C$54</f>
        <v>0.40774076923076924</v>
      </c>
      <c r="Q34" s="30">
        <f t="shared" si="11"/>
        <v>0.44622153846153845</v>
      </c>
      <c r="R34" s="30">
        <f t="shared" si="11"/>
        <v>0.47995538461538462</v>
      </c>
      <c r="S34" s="30">
        <f t="shared" si="11"/>
        <v>0.52591461538461537</v>
      </c>
      <c r="T34" s="30">
        <f t="shared" si="11"/>
        <v>0.5898938461538461</v>
      </c>
      <c r="U34" s="30">
        <f t="shared" si="11"/>
        <v>0.64462769230769235</v>
      </c>
      <c r="V34" s="30">
        <f t="shared" si="11"/>
        <v>0.67786384615384621</v>
      </c>
      <c r="W34" s="30">
        <f t="shared" si="11"/>
        <v>0.70456461538461534</v>
      </c>
      <c r="X34" s="30">
        <f t="shared" si="11"/>
        <v>0.72364230769230764</v>
      </c>
      <c r="Y34" s="30">
        <f t="shared" si="11"/>
        <v>0.77827769230769228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1.3872</v>
      </c>
      <c r="G38" s="17">
        <f t="shared" ref="G38:Y38" si="13">(G48/$C$48)</f>
        <v>1.2425846153846154</v>
      </c>
      <c r="H38" s="17">
        <f t="shared" si="13"/>
        <v>1.5546871794871797</v>
      </c>
      <c r="I38" s="17">
        <f t="shared" si="13"/>
        <v>1.5171692307692308</v>
      </c>
      <c r="J38" s="17">
        <f t="shared" si="13"/>
        <v>1.32192</v>
      </c>
      <c r="K38" s="17">
        <f t="shared" si="13"/>
        <v>1.2455487179487181</v>
      </c>
      <c r="L38" s="17">
        <f t="shared" si="13"/>
        <v>1.3550417582417584</v>
      </c>
      <c r="M38" s="17">
        <f t="shared" si="13"/>
        <v>1.3768538461538462</v>
      </c>
      <c r="N38" s="17">
        <f t="shared" si="13"/>
        <v>1.2859897435897434</v>
      </c>
      <c r="O38" s="17">
        <f t="shared" si="13"/>
        <v>1.3043446153846154</v>
      </c>
      <c r="P38" s="17">
        <f t="shared" si="13"/>
        <v>1.2664671328671329</v>
      </c>
      <c r="Q38" s="17">
        <f t="shared" si="13"/>
        <v>1.2257230769230769</v>
      </c>
      <c r="R38" s="17">
        <f t="shared" si="13"/>
        <v>1.2062295857988166</v>
      </c>
      <c r="S38" s="17">
        <f t="shared" si="13"/>
        <v>1.231221978021978</v>
      </c>
      <c r="T38" s="17">
        <f t="shared" si="13"/>
        <v>1.2065435897435897</v>
      </c>
      <c r="U38" s="17">
        <f t="shared" si="13"/>
        <v>1.1990576923076923</v>
      </c>
      <c r="V38" s="17">
        <f t="shared" si="13"/>
        <v>1.1893647058823529</v>
      </c>
      <c r="W38" s="17">
        <f t="shared" si="13"/>
        <v>1.1591145299145298</v>
      </c>
      <c r="X38" s="17">
        <f t="shared" si="13"/>
        <v>1.0981085020242913</v>
      </c>
      <c r="Y38" s="17">
        <f t="shared" si="13"/>
        <v>1.0916092307692307</v>
      </c>
      <c r="Z38" s="140" t="s">
        <v>71</v>
      </c>
      <c r="AA38" s="138">
        <v>375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1.4259999999999999</v>
      </c>
      <c r="H39" s="17">
        <f t="shared" si="14"/>
        <v>1.1303333333333334</v>
      </c>
      <c r="I39" s="17">
        <f t="shared" si="14"/>
        <v>0.98250000000000004</v>
      </c>
      <c r="J39" s="17">
        <f t="shared" si="14"/>
        <v>1.2936000000000001</v>
      </c>
      <c r="K39" s="17">
        <f t="shared" si="14"/>
        <v>1.2745</v>
      </c>
      <c r="L39" s="17">
        <f t="shared" si="14"/>
        <v>1.3434285714285712</v>
      </c>
      <c r="M39" s="17">
        <f t="shared" si="14"/>
        <v>1.3378749999999999</v>
      </c>
      <c r="N39" s="17">
        <f t="shared" si="14"/>
        <v>1.3446666666666667</v>
      </c>
      <c r="O39" s="17">
        <f t="shared" si="14"/>
        <v>1.43</v>
      </c>
      <c r="P39" s="17">
        <f t="shared" si="14"/>
        <v>1.349</v>
      </c>
      <c r="Q39" s="17">
        <f t="shared" si="14"/>
        <v>1.3281666666666665</v>
      </c>
      <c r="R39" s="17">
        <f t="shared" si="14"/>
        <v>1.2674615384615384</v>
      </c>
      <c r="S39" s="17">
        <f t="shared" si="14"/>
        <v>1.2768571428571429</v>
      </c>
      <c r="T39" s="17">
        <f t="shared" si="14"/>
        <v>1.6527333333333332</v>
      </c>
      <c r="U39" s="17">
        <f t="shared" si="14"/>
        <v>1.5494375</v>
      </c>
      <c r="V39" s="17">
        <f t="shared" si="14"/>
        <v>1.6287647058823531</v>
      </c>
      <c r="W39" s="17">
        <f t="shared" si="14"/>
        <v>1.5915555555555556</v>
      </c>
      <c r="X39" s="17">
        <f t="shared" si="14"/>
        <v>1.613</v>
      </c>
      <c r="Y39" s="17">
        <f t="shared" si="14"/>
        <v>1.6173</v>
      </c>
      <c r="Z39" s="140" t="s">
        <v>72</v>
      </c>
      <c r="AA39" s="138">
        <v>135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0.97688888888888892</v>
      </c>
      <c r="G40" s="17">
        <f t="shared" si="15"/>
        <v>0.93244444444444441</v>
      </c>
      <c r="H40" s="17">
        <f t="shared" si="15"/>
        <v>1.036148148148148</v>
      </c>
      <c r="I40" s="17">
        <f t="shared" si="15"/>
        <v>0.99188888888888893</v>
      </c>
      <c r="J40" s="17">
        <f t="shared" si="15"/>
        <v>0.84675555555555559</v>
      </c>
      <c r="K40" s="17">
        <f t="shared" si="15"/>
        <v>1.1088888888888888</v>
      </c>
      <c r="L40" s="17">
        <f t="shared" si="15"/>
        <v>0.91873015873015884</v>
      </c>
      <c r="M40" s="17">
        <f t="shared" si="15"/>
        <v>0.76644444444444448</v>
      </c>
      <c r="N40" s="17">
        <f t="shared" si="15"/>
        <v>0.99012345679012348</v>
      </c>
      <c r="O40" s="17">
        <f t="shared" si="15"/>
        <v>1.0642666666666667</v>
      </c>
      <c r="P40" s="17">
        <f t="shared" si="15"/>
        <v>1.1050909090909091</v>
      </c>
      <c r="Q40" s="17">
        <f t="shared" si="15"/>
        <v>1.2238888888888888</v>
      </c>
      <c r="R40" s="17">
        <f t="shared" si="15"/>
        <v>1.2462564102564102</v>
      </c>
      <c r="S40" s="17">
        <f t="shared" si="15"/>
        <v>1.1572380952380952</v>
      </c>
      <c r="T40" s="17">
        <f t="shared" si="15"/>
        <v>1.1955555555555555</v>
      </c>
      <c r="U40" s="17">
        <f t="shared" si="15"/>
        <v>1.3225555555555555</v>
      </c>
      <c r="V40" s="17">
        <f t="shared" si="15"/>
        <v>1.1844705882352942</v>
      </c>
      <c r="W40" s="17">
        <f t="shared" si="15"/>
        <v>1.1433580246913579</v>
      </c>
      <c r="X40" s="17">
        <f t="shared" si="15"/>
        <v>1.0855204678362573</v>
      </c>
      <c r="Y40" s="17">
        <f t="shared" si="15"/>
        <v>1.057911111111111</v>
      </c>
      <c r="Z40" s="141" t="s">
        <v>73</v>
      </c>
      <c r="AA40" s="138">
        <v>240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</v>
      </c>
      <c r="G41" s="17">
        <f t="shared" si="16"/>
        <v>0</v>
      </c>
      <c r="H41" s="17">
        <f t="shared" si="16"/>
        <v>9.9824561403508774E-2</v>
      </c>
      <c r="I41" s="17">
        <f t="shared" si="16"/>
        <v>0.21223684210526317</v>
      </c>
      <c r="J41" s="17">
        <f t="shared" si="16"/>
        <v>0.16978947368421052</v>
      </c>
      <c r="K41" s="17">
        <f t="shared" si="16"/>
        <v>0.14149122807017545</v>
      </c>
      <c r="L41" s="17">
        <f t="shared" si="16"/>
        <v>0.12127819548872179</v>
      </c>
      <c r="M41" s="17">
        <f t="shared" si="16"/>
        <v>0.14355263157894738</v>
      </c>
      <c r="N41" s="17">
        <f t="shared" si="16"/>
        <v>0.11918128654970761</v>
      </c>
      <c r="O41" s="17">
        <f t="shared" si="16"/>
        <v>0.1588</v>
      </c>
      <c r="P41" s="17">
        <f t="shared" si="16"/>
        <v>0.14436363636363639</v>
      </c>
      <c r="Q41" s="17">
        <f t="shared" si="16"/>
        <v>0.13233333333333336</v>
      </c>
      <c r="R41" s="17">
        <f t="shared" si="16"/>
        <v>0.15519838056680163</v>
      </c>
      <c r="S41" s="17">
        <f t="shared" si="16"/>
        <v>0.22306015037593982</v>
      </c>
      <c r="T41" s="17">
        <f t="shared" si="16"/>
        <v>0.20818947368421054</v>
      </c>
      <c r="U41" s="17">
        <f t="shared" si="16"/>
        <v>0.19517763157894738</v>
      </c>
      <c r="V41" s="17">
        <f t="shared" si="16"/>
        <v>0.18391331269349845</v>
      </c>
      <c r="W41" s="17">
        <f t="shared" si="16"/>
        <v>0.17369590643274851</v>
      </c>
      <c r="X41" s="17">
        <f t="shared" si="16"/>
        <v>0.19555678670360113</v>
      </c>
      <c r="Y41" s="17">
        <f t="shared" si="16"/>
        <v>0.21446315789473686</v>
      </c>
      <c r="Z41" s="141" t="s">
        <v>74</v>
      </c>
      <c r="AA41" s="138">
        <v>60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5.805263157894737E-2</v>
      </c>
      <c r="H42" s="17">
        <f t="shared" si="16"/>
        <v>0.14378947368421052</v>
      </c>
      <c r="I42" s="17">
        <f t="shared" si="16"/>
        <v>0.10784210526315789</v>
      </c>
      <c r="J42" s="17">
        <f t="shared" si="16"/>
        <v>8.6273684210526322E-2</v>
      </c>
      <c r="K42" s="17">
        <f t="shared" si="16"/>
        <v>7.1894736842105261E-2</v>
      </c>
      <c r="L42" s="17">
        <f t="shared" si="16"/>
        <v>6.1624060150375942E-2</v>
      </c>
      <c r="M42" s="17">
        <f t="shared" si="16"/>
        <v>5.3921052631578946E-2</v>
      </c>
      <c r="N42" s="17">
        <f t="shared" si="16"/>
        <v>4.7929824561403503E-2</v>
      </c>
      <c r="O42" s="17">
        <f t="shared" si="16"/>
        <v>4.3136842105263161E-2</v>
      </c>
      <c r="P42" s="17">
        <f t="shared" si="16"/>
        <v>3.9215311004784689E-2</v>
      </c>
      <c r="Q42" s="17">
        <f t="shared" si="16"/>
        <v>3.5947368421052631E-2</v>
      </c>
      <c r="R42" s="17">
        <f t="shared" si="16"/>
        <v>3.3182186234817813E-2</v>
      </c>
      <c r="S42" s="17">
        <f t="shared" si="16"/>
        <v>3.0812030075187971E-2</v>
      </c>
      <c r="T42" s="17">
        <f t="shared" si="16"/>
        <v>2.8757894736842104E-2</v>
      </c>
      <c r="U42" s="17">
        <f t="shared" si="16"/>
        <v>2.6960526315789473E-2</v>
      </c>
      <c r="V42" s="17">
        <f t="shared" si="16"/>
        <v>9.7944272445820421E-2</v>
      </c>
      <c r="W42" s="17">
        <f t="shared" si="16"/>
        <v>0.12461988304093567</v>
      </c>
      <c r="X42" s="17">
        <f t="shared" si="16"/>
        <v>0.11806094182825484</v>
      </c>
      <c r="Y42" s="17">
        <f t="shared" si="16"/>
        <v>0.12792105263157894</v>
      </c>
      <c r="Z42" s="141" t="s">
        <v>75</v>
      </c>
      <c r="AA42" s="138">
        <v>30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0.44244444444444442</v>
      </c>
      <c r="G43" s="18">
        <f t="shared" si="17"/>
        <v>0.19672222222222221</v>
      </c>
      <c r="H43" s="18">
        <f t="shared" si="17"/>
        <v>0.20425925925925925</v>
      </c>
      <c r="I43" s="18">
        <f t="shared" si="17"/>
        <v>0.18220833333333333</v>
      </c>
      <c r="J43" s="18">
        <f t="shared" si="17"/>
        <v>0.29662222222222223</v>
      </c>
      <c r="K43" s="18">
        <f t="shared" si="17"/>
        <v>0.40777777777777779</v>
      </c>
      <c r="L43" s="18">
        <f t="shared" si="17"/>
        <v>0.41576190476190478</v>
      </c>
      <c r="M43" s="18">
        <f t="shared" si="17"/>
        <v>0.37077083333333333</v>
      </c>
      <c r="N43" s="18">
        <f t="shared" si="17"/>
        <v>0.33696913580246912</v>
      </c>
      <c r="O43" s="18">
        <f t="shared" si="17"/>
        <v>0.35274444444444447</v>
      </c>
      <c r="P43" s="18">
        <f t="shared" si="17"/>
        <v>0.37145454545454543</v>
      </c>
      <c r="Q43" s="18">
        <f t="shared" si="17"/>
        <v>0.35635648148148152</v>
      </c>
      <c r="R43" s="18">
        <f t="shared" si="17"/>
        <v>0.34705555555555556</v>
      </c>
      <c r="S43" s="18">
        <f t="shared" si="17"/>
        <v>0.38958730158730159</v>
      </c>
      <c r="T43" s="18">
        <f t="shared" si="17"/>
        <v>0.4196185185185185</v>
      </c>
      <c r="U43" s="18">
        <f t="shared" si="17"/>
        <v>0.45305902777777779</v>
      </c>
      <c r="V43" s="18">
        <f t="shared" si="17"/>
        <v>0.46459477124182996</v>
      </c>
      <c r="W43" s="18">
        <f t="shared" si="17"/>
        <v>0.4663919753086419</v>
      </c>
      <c r="X43" s="18">
        <f t="shared" si="17"/>
        <v>0.46731286549707601</v>
      </c>
      <c r="Y43" s="18">
        <f t="shared" si="17"/>
        <v>0.5338194444444444</v>
      </c>
      <c r="Z43" s="142" t="s">
        <v>76</v>
      </c>
      <c r="AA43" s="138">
        <v>255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0.63839999999999997</v>
      </c>
      <c r="G44" s="17">
        <f t="shared" si="18"/>
        <v>0.64468461538461541</v>
      </c>
      <c r="H44" s="17">
        <f t="shared" si="18"/>
        <v>0.74712307692307689</v>
      </c>
      <c r="I44" s="17">
        <f t="shared" si="18"/>
        <v>0.72378076923076928</v>
      </c>
      <c r="J44" s="17">
        <f t="shared" si="18"/>
        <v>0.69610769230769232</v>
      </c>
      <c r="K44" s="17">
        <f t="shared" si="18"/>
        <v>0.74545897435897446</v>
      </c>
      <c r="L44" s="17">
        <f t="shared" si="18"/>
        <v>0.74297802197802199</v>
      </c>
      <c r="M44" s="17">
        <f t="shared" si="18"/>
        <v>0.71131730769230772</v>
      </c>
      <c r="N44" s="17">
        <f t="shared" si="18"/>
        <v>0.71403931623931616</v>
      </c>
      <c r="O44" s="17">
        <f t="shared" si="18"/>
        <v>0.74748307692307692</v>
      </c>
      <c r="P44" s="17">
        <f t="shared" si="18"/>
        <v>0.74134685314685311</v>
      </c>
      <c r="Q44" s="17">
        <f t="shared" si="18"/>
        <v>0.74370256410256408</v>
      </c>
      <c r="R44" s="17">
        <f t="shared" si="18"/>
        <v>0.7383928994082839</v>
      </c>
      <c r="S44" s="17">
        <f t="shared" si="18"/>
        <v>0.75130659340659334</v>
      </c>
      <c r="T44" s="17">
        <f t="shared" si="18"/>
        <v>0.78652512820512821</v>
      </c>
      <c r="U44" s="17">
        <f t="shared" si="18"/>
        <v>0.80578461538461543</v>
      </c>
      <c r="V44" s="17">
        <f t="shared" si="18"/>
        <v>0.79748687782805427</v>
      </c>
      <c r="W44" s="17">
        <f t="shared" si="18"/>
        <v>0.78284957264957256</v>
      </c>
      <c r="X44" s="17">
        <f t="shared" si="18"/>
        <v>0.76172874493927123</v>
      </c>
      <c r="Y44" s="17">
        <f t="shared" si="18"/>
        <v>0.77827769230769228</v>
      </c>
      <c r="AA44" s="139">
        <f>SUM(AA38:AA43)</f>
        <v>1095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325000</v>
      </c>
      <c r="D48" s="4"/>
      <c r="E48" s="4"/>
      <c r="F48" s="55">
        <f t="shared" ref="F48:Y53" si="20">(F27)/F$1*$Y$1</f>
        <v>450840</v>
      </c>
      <c r="G48" s="55">
        <f t="shared" si="20"/>
        <v>403840</v>
      </c>
      <c r="H48" s="55">
        <f t="shared" si="20"/>
        <v>505273.33333333337</v>
      </c>
      <c r="I48" s="55">
        <f t="shared" si="20"/>
        <v>493080</v>
      </c>
      <c r="J48" s="55">
        <f t="shared" si="20"/>
        <v>429624</v>
      </c>
      <c r="K48" s="55">
        <f t="shared" si="20"/>
        <v>404803.33333333337</v>
      </c>
      <c r="L48" s="55">
        <f t="shared" si="20"/>
        <v>440388.57142857148</v>
      </c>
      <c r="M48" s="55">
        <f t="shared" si="20"/>
        <v>447477.5</v>
      </c>
      <c r="N48" s="55">
        <f t="shared" si="20"/>
        <v>417946.66666666663</v>
      </c>
      <c r="O48" s="55">
        <f t="shared" si="20"/>
        <v>423912</v>
      </c>
      <c r="P48" s="55">
        <f t="shared" si="20"/>
        <v>411601.81818181818</v>
      </c>
      <c r="Q48" s="55">
        <f t="shared" si="20"/>
        <v>398360</v>
      </c>
      <c r="R48" s="55">
        <f t="shared" si="20"/>
        <v>392024.61538461538</v>
      </c>
      <c r="S48" s="55">
        <f t="shared" si="20"/>
        <v>400147.14285714284</v>
      </c>
      <c r="T48" s="55">
        <f t="shared" si="20"/>
        <v>392126.66666666663</v>
      </c>
      <c r="U48" s="55">
        <f t="shared" si="20"/>
        <v>389693.75</v>
      </c>
      <c r="V48" s="55">
        <f t="shared" si="20"/>
        <v>386543.5294117647</v>
      </c>
      <c r="W48" s="55">
        <f t="shared" si="20"/>
        <v>376712.22222222219</v>
      </c>
      <c r="X48" s="55">
        <f t="shared" si="20"/>
        <v>356885.26315789472</v>
      </c>
      <c r="Y48" s="55">
        <f t="shared" si="20"/>
        <v>354773</v>
      </c>
      <c r="AX48"/>
    </row>
    <row r="49" spans="2:50">
      <c r="B49" s="4" t="s">
        <v>64</v>
      </c>
      <c r="C49" s="37">
        <v>100000</v>
      </c>
      <c r="D49" s="4"/>
      <c r="E49" s="4"/>
      <c r="F49" s="55">
        <f t="shared" si="20"/>
        <v>0</v>
      </c>
      <c r="G49" s="55">
        <f t="shared" si="20"/>
        <v>142600</v>
      </c>
      <c r="H49" s="55">
        <f t="shared" si="20"/>
        <v>113033.33333333334</v>
      </c>
      <c r="I49" s="55">
        <f t="shared" si="20"/>
        <v>98250</v>
      </c>
      <c r="J49" s="55">
        <f t="shared" si="20"/>
        <v>129360</v>
      </c>
      <c r="K49" s="55">
        <f t="shared" si="20"/>
        <v>127450</v>
      </c>
      <c r="L49" s="55">
        <f t="shared" si="20"/>
        <v>134342.85714285713</v>
      </c>
      <c r="M49" s="55">
        <f t="shared" si="20"/>
        <v>133787.5</v>
      </c>
      <c r="N49" s="55">
        <f t="shared" si="20"/>
        <v>134466.66666666666</v>
      </c>
      <c r="O49" s="55">
        <f t="shared" si="20"/>
        <v>143000</v>
      </c>
      <c r="P49" s="55">
        <f t="shared" si="20"/>
        <v>134900</v>
      </c>
      <c r="Q49" s="55">
        <f t="shared" si="20"/>
        <v>132816.66666666666</v>
      </c>
      <c r="R49" s="55">
        <f t="shared" si="20"/>
        <v>126746.15384615384</v>
      </c>
      <c r="S49" s="55">
        <f t="shared" si="20"/>
        <v>127685.71428571429</v>
      </c>
      <c r="T49" s="55">
        <f t="shared" si="20"/>
        <v>165273.33333333331</v>
      </c>
      <c r="U49" s="55">
        <f t="shared" si="20"/>
        <v>154943.75</v>
      </c>
      <c r="V49" s="55">
        <f t="shared" si="20"/>
        <v>162876.4705882353</v>
      </c>
      <c r="W49" s="55">
        <f t="shared" si="20"/>
        <v>159155.55555555556</v>
      </c>
      <c r="X49" s="55">
        <f t="shared" si="20"/>
        <v>161300</v>
      </c>
      <c r="Y49" s="55">
        <f t="shared" si="20"/>
        <v>161730</v>
      </c>
      <c r="AX49"/>
    </row>
    <row r="50" spans="2:50">
      <c r="B50" s="4" t="s">
        <v>1</v>
      </c>
      <c r="C50" s="37">
        <v>225000</v>
      </c>
      <c r="D50" s="4"/>
      <c r="E50" s="4"/>
      <c r="F50" s="55">
        <f t="shared" si="20"/>
        <v>219800</v>
      </c>
      <c r="G50" s="55">
        <f t="shared" si="20"/>
        <v>209800</v>
      </c>
      <c r="H50" s="55">
        <f t="shared" si="20"/>
        <v>233133.33333333331</v>
      </c>
      <c r="I50" s="55">
        <f t="shared" si="20"/>
        <v>223175</v>
      </c>
      <c r="J50" s="55">
        <f t="shared" si="20"/>
        <v>190520</v>
      </c>
      <c r="K50" s="55">
        <f t="shared" si="20"/>
        <v>249500</v>
      </c>
      <c r="L50" s="55">
        <f t="shared" si="20"/>
        <v>206714.28571428574</v>
      </c>
      <c r="M50" s="55">
        <f t="shared" si="20"/>
        <v>172450</v>
      </c>
      <c r="N50" s="55">
        <f t="shared" si="20"/>
        <v>222777.77777777778</v>
      </c>
      <c r="O50" s="55">
        <f t="shared" si="20"/>
        <v>239460</v>
      </c>
      <c r="P50" s="55">
        <f t="shared" si="20"/>
        <v>248645.45454545456</v>
      </c>
      <c r="Q50" s="55">
        <f t="shared" si="20"/>
        <v>275375</v>
      </c>
      <c r="R50" s="55">
        <f t="shared" si="20"/>
        <v>280407.69230769231</v>
      </c>
      <c r="S50" s="55">
        <f t="shared" si="20"/>
        <v>260378.57142857142</v>
      </c>
      <c r="T50" s="55">
        <f t="shared" si="20"/>
        <v>269000</v>
      </c>
      <c r="U50" s="55">
        <f t="shared" si="20"/>
        <v>297575</v>
      </c>
      <c r="V50" s="55">
        <f t="shared" si="20"/>
        <v>266505.8823529412</v>
      </c>
      <c r="W50" s="55">
        <f t="shared" si="20"/>
        <v>257255.55555555556</v>
      </c>
      <c r="X50" s="55">
        <f t="shared" si="20"/>
        <v>244242.10526315789</v>
      </c>
      <c r="Y50" s="55">
        <f t="shared" si="20"/>
        <v>238030</v>
      </c>
      <c r="AX50"/>
    </row>
    <row r="51" spans="2:50">
      <c r="B51" s="4" t="s">
        <v>2</v>
      </c>
      <c r="C51" s="37">
        <v>190000</v>
      </c>
      <c r="D51" s="4"/>
      <c r="E51" s="4"/>
      <c r="F51" s="55">
        <f t="shared" si="20"/>
        <v>0</v>
      </c>
      <c r="G51" s="55">
        <f t="shared" si="20"/>
        <v>0</v>
      </c>
      <c r="H51" s="55">
        <f t="shared" si="20"/>
        <v>18966.666666666668</v>
      </c>
      <c r="I51" s="55">
        <f t="shared" si="20"/>
        <v>40325</v>
      </c>
      <c r="J51" s="55">
        <f t="shared" si="20"/>
        <v>32260</v>
      </c>
      <c r="K51" s="55">
        <f t="shared" si="20"/>
        <v>26883.333333333336</v>
      </c>
      <c r="L51" s="55">
        <f t="shared" si="20"/>
        <v>23042.857142857141</v>
      </c>
      <c r="M51" s="55">
        <f t="shared" si="20"/>
        <v>27275</v>
      </c>
      <c r="N51" s="55">
        <f t="shared" si="20"/>
        <v>22644.444444444445</v>
      </c>
      <c r="O51" s="55">
        <f t="shared" si="20"/>
        <v>30172</v>
      </c>
      <c r="P51" s="55">
        <f t="shared" si="20"/>
        <v>27429.090909090912</v>
      </c>
      <c r="Q51" s="55">
        <f t="shared" si="20"/>
        <v>25143.333333333336</v>
      </c>
      <c r="R51" s="55">
        <f t="shared" si="20"/>
        <v>29487.692307692309</v>
      </c>
      <c r="S51" s="55">
        <f t="shared" si="20"/>
        <v>42381.428571428565</v>
      </c>
      <c r="T51" s="55">
        <f t="shared" si="20"/>
        <v>39556</v>
      </c>
      <c r="U51" s="55">
        <f t="shared" si="20"/>
        <v>37083.75</v>
      </c>
      <c r="V51" s="55">
        <f t="shared" si="20"/>
        <v>34943.529411764706</v>
      </c>
      <c r="W51" s="55">
        <f t="shared" si="20"/>
        <v>33002.222222222219</v>
      </c>
      <c r="X51" s="55">
        <f t="shared" si="20"/>
        <v>37155.789473684214</v>
      </c>
      <c r="Y51" s="55">
        <f t="shared" si="20"/>
        <v>40748</v>
      </c>
      <c r="AA51" s="48"/>
    </row>
    <row r="52" spans="2:50">
      <c r="B52" s="4" t="s">
        <v>63</v>
      </c>
      <c r="C52" s="37">
        <v>100000</v>
      </c>
      <c r="D52" s="4"/>
      <c r="E52" s="4"/>
      <c r="F52" s="55">
        <f t="shared" si="20"/>
        <v>0</v>
      </c>
      <c r="G52" s="55">
        <f t="shared" si="20"/>
        <v>11030</v>
      </c>
      <c r="H52" s="55">
        <f t="shared" si="20"/>
        <v>27320</v>
      </c>
      <c r="I52" s="55">
        <f t="shared" si="20"/>
        <v>20490</v>
      </c>
      <c r="J52" s="55">
        <f t="shared" si="20"/>
        <v>16392</v>
      </c>
      <c r="K52" s="55">
        <f t="shared" si="20"/>
        <v>13660</v>
      </c>
      <c r="L52" s="55">
        <f t="shared" si="20"/>
        <v>11708.571428571429</v>
      </c>
      <c r="M52" s="55">
        <f t="shared" si="20"/>
        <v>10245</v>
      </c>
      <c r="N52" s="55">
        <f t="shared" si="20"/>
        <v>9106.6666666666661</v>
      </c>
      <c r="O52" s="55">
        <f t="shared" si="20"/>
        <v>8196</v>
      </c>
      <c r="P52" s="55">
        <f t="shared" si="20"/>
        <v>7450.909090909091</v>
      </c>
      <c r="Q52" s="55">
        <f t="shared" si="20"/>
        <v>6830</v>
      </c>
      <c r="R52" s="55">
        <f t="shared" si="20"/>
        <v>6304.6153846153848</v>
      </c>
      <c r="S52" s="55">
        <f t="shared" si="20"/>
        <v>5854.2857142857147</v>
      </c>
      <c r="T52" s="55">
        <f t="shared" si="20"/>
        <v>5464</v>
      </c>
      <c r="U52" s="55">
        <f t="shared" si="20"/>
        <v>5122.5</v>
      </c>
      <c r="V52" s="55">
        <f t="shared" si="20"/>
        <v>18609.411764705881</v>
      </c>
      <c r="W52" s="55">
        <f t="shared" si="20"/>
        <v>23677.777777777777</v>
      </c>
      <c r="X52" s="55">
        <f t="shared" si="20"/>
        <v>22431.57894736842</v>
      </c>
      <c r="Y52" s="55">
        <f t="shared" si="20"/>
        <v>24305</v>
      </c>
      <c r="AA52" s="48"/>
    </row>
    <row r="53" spans="2:50">
      <c r="B53" s="4" t="s">
        <v>3</v>
      </c>
      <c r="C53" s="38">
        <v>360000</v>
      </c>
      <c r="D53" s="19"/>
      <c r="E53" s="19"/>
      <c r="F53" s="98">
        <f t="shared" si="20"/>
        <v>159280</v>
      </c>
      <c r="G53" s="98">
        <f t="shared" si="20"/>
        <v>70820</v>
      </c>
      <c r="H53" s="98">
        <f t="shared" si="20"/>
        <v>73533.333333333328</v>
      </c>
      <c r="I53" s="98">
        <f t="shared" si="20"/>
        <v>65595</v>
      </c>
      <c r="J53" s="98">
        <f t="shared" si="20"/>
        <v>106784</v>
      </c>
      <c r="K53" s="98">
        <f t="shared" si="20"/>
        <v>146800</v>
      </c>
      <c r="L53" s="98">
        <f t="shared" si="20"/>
        <v>149674.28571428571</v>
      </c>
      <c r="M53" s="98">
        <f t="shared" si="20"/>
        <v>133477.5</v>
      </c>
      <c r="N53" s="98">
        <f t="shared" si="20"/>
        <v>121308.88888888889</v>
      </c>
      <c r="O53" s="98">
        <f t="shared" si="20"/>
        <v>126988</v>
      </c>
      <c r="P53" s="98">
        <f t="shared" si="20"/>
        <v>133723.63636363635</v>
      </c>
      <c r="Q53" s="98">
        <f t="shared" si="20"/>
        <v>128288.33333333334</v>
      </c>
      <c r="R53" s="98">
        <f t="shared" si="20"/>
        <v>124940</v>
      </c>
      <c r="S53" s="98">
        <f t="shared" si="20"/>
        <v>140251.42857142858</v>
      </c>
      <c r="T53" s="98">
        <f t="shared" si="20"/>
        <v>151062.66666666666</v>
      </c>
      <c r="U53" s="98">
        <f t="shared" si="20"/>
        <v>163101.25</v>
      </c>
      <c r="V53" s="98">
        <f t="shared" si="20"/>
        <v>167254.1176470588</v>
      </c>
      <c r="W53" s="98">
        <f t="shared" si="20"/>
        <v>167901.11111111109</v>
      </c>
      <c r="X53" s="98">
        <f t="shared" si="20"/>
        <v>168232.63157894736</v>
      </c>
      <c r="Y53" s="98">
        <f t="shared" si="20"/>
        <v>192175</v>
      </c>
    </row>
    <row r="54" spans="2:50">
      <c r="B54" s="14" t="s">
        <v>27</v>
      </c>
      <c r="C54" s="39">
        <f>SUM(C48:C53)</f>
        <v>1300000</v>
      </c>
      <c r="D54" s="10">
        <f>SUM(D48:D53)</f>
        <v>0</v>
      </c>
      <c r="E54" s="10"/>
      <c r="F54" s="10">
        <f t="shared" ref="F54:Y54" si="21">SUM(F48:F53)</f>
        <v>829920</v>
      </c>
      <c r="G54" s="10">
        <f t="shared" si="21"/>
        <v>838090</v>
      </c>
      <c r="H54" s="10">
        <f t="shared" si="21"/>
        <v>971260</v>
      </c>
      <c r="I54" s="10">
        <f t="shared" si="21"/>
        <v>940915</v>
      </c>
      <c r="J54" s="10">
        <f t="shared" si="21"/>
        <v>904940</v>
      </c>
      <c r="K54" s="10">
        <f t="shared" si="21"/>
        <v>969096.66666666674</v>
      </c>
      <c r="L54" s="10">
        <f t="shared" si="21"/>
        <v>965871.42857142864</v>
      </c>
      <c r="M54" s="10">
        <f t="shared" si="21"/>
        <v>924712.5</v>
      </c>
      <c r="N54" s="10">
        <f t="shared" si="21"/>
        <v>928251.11111111101</v>
      </c>
      <c r="O54" s="10">
        <f t="shared" si="21"/>
        <v>971728</v>
      </c>
      <c r="P54" s="10">
        <f t="shared" si="21"/>
        <v>963750.90909090906</v>
      </c>
      <c r="Q54" s="10">
        <f t="shared" si="21"/>
        <v>966813.33333333337</v>
      </c>
      <c r="R54" s="10">
        <f t="shared" si="21"/>
        <v>959910.76923076913</v>
      </c>
      <c r="S54" s="10">
        <f t="shared" si="21"/>
        <v>976698.57142857136</v>
      </c>
      <c r="T54" s="10">
        <f t="shared" si="21"/>
        <v>1022482.6666666666</v>
      </c>
      <c r="U54" s="10">
        <f t="shared" si="21"/>
        <v>1047520</v>
      </c>
      <c r="V54" s="10">
        <f t="shared" si="21"/>
        <v>1036732.9411764706</v>
      </c>
      <c r="W54" s="10">
        <f t="shared" si="21"/>
        <v>1017704.4444444444</v>
      </c>
      <c r="X54" s="10">
        <f t="shared" si="21"/>
        <v>990247.36842105258</v>
      </c>
      <c r="Y54" s="10">
        <f t="shared" si="21"/>
        <v>1011761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87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90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19750</v>
      </c>
      <c r="D6" s="10"/>
      <c r="E6" s="11">
        <v>22431</v>
      </c>
      <c r="F6" s="122">
        <v>21810</v>
      </c>
      <c r="G6" s="122">
        <v>7630</v>
      </c>
      <c r="H6" s="122">
        <v>11540</v>
      </c>
      <c r="I6" s="122">
        <v>29317</v>
      </c>
      <c r="J6" s="122">
        <v>13105</v>
      </c>
      <c r="K6" s="122">
        <v>14204</v>
      </c>
      <c r="L6" s="122">
        <v>12253</v>
      </c>
      <c r="M6" s="122">
        <v>18661</v>
      </c>
      <c r="N6" s="122">
        <v>32755</v>
      </c>
      <c r="O6" s="122">
        <v>22778</v>
      </c>
      <c r="P6" s="122">
        <v>14100</v>
      </c>
      <c r="Q6" s="34">
        <v>9095</v>
      </c>
      <c r="R6" s="34">
        <v>16045</v>
      </c>
      <c r="S6" s="34">
        <v>26916</v>
      </c>
      <c r="T6" s="34">
        <v>5880</v>
      </c>
      <c r="U6" s="34">
        <v>25775</v>
      </c>
      <c r="V6" s="34">
        <v>16965</v>
      </c>
      <c r="W6" s="34">
        <v>23525</v>
      </c>
      <c r="X6" s="34">
        <v>14732</v>
      </c>
      <c r="Y6" s="34">
        <v>21500</v>
      </c>
      <c r="Z6" s="69">
        <f t="shared" ref="Z6:Z11" si="1">(SUM(F6:Y6)/(COUNT(F6:Y6)))</f>
        <v>17929.3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5390</v>
      </c>
      <c r="F7" s="122">
        <v>2695</v>
      </c>
      <c r="G7" s="122">
        <v>4795</v>
      </c>
      <c r="H7" s="122">
        <v>6605</v>
      </c>
      <c r="I7" s="122">
        <v>4795</v>
      </c>
      <c r="J7" s="122">
        <v>6995</v>
      </c>
      <c r="K7" s="122">
        <v>8990</v>
      </c>
      <c r="L7" s="122">
        <v>12285</v>
      </c>
      <c r="M7" s="122">
        <v>22385</v>
      </c>
      <c r="N7" s="122">
        <v>14790</v>
      </c>
      <c r="O7" s="122">
        <v>16585</v>
      </c>
      <c r="P7" s="81">
        <v>0</v>
      </c>
      <c r="Q7" s="34">
        <v>0</v>
      </c>
      <c r="R7" s="34">
        <v>10295</v>
      </c>
      <c r="S7" s="34">
        <v>4795</v>
      </c>
      <c r="T7" s="34">
        <v>9590</v>
      </c>
      <c r="U7" s="34">
        <v>0</v>
      </c>
      <c r="V7" s="34">
        <v>14320</v>
      </c>
      <c r="W7" s="34">
        <v>2290</v>
      </c>
      <c r="X7" s="34">
        <v>10295</v>
      </c>
      <c r="Y7" s="34">
        <v>5390</v>
      </c>
      <c r="Z7" s="115">
        <f t="shared" si="1"/>
        <v>7894.75</v>
      </c>
      <c r="AA7" s="103"/>
      <c r="AX7"/>
    </row>
    <row r="8" spans="1:50">
      <c r="B8" s="4" t="s">
        <v>1</v>
      </c>
      <c r="C8" s="20">
        <f t="shared" si="0"/>
        <v>13750</v>
      </c>
      <c r="D8" s="10"/>
      <c r="E8" s="11">
        <v>63115</v>
      </c>
      <c r="F8" s="122">
        <v>20985</v>
      </c>
      <c r="G8" s="122">
        <v>16165</v>
      </c>
      <c r="H8" s="122">
        <v>14480</v>
      </c>
      <c r="I8" s="122">
        <v>20450</v>
      </c>
      <c r="J8" s="122">
        <v>5990</v>
      </c>
      <c r="K8" s="122">
        <v>10985</v>
      </c>
      <c r="L8" s="122">
        <v>7990</v>
      </c>
      <c r="M8" s="122">
        <v>8490</v>
      </c>
      <c r="N8" s="122">
        <v>11195</v>
      </c>
      <c r="O8" s="122">
        <v>18790</v>
      </c>
      <c r="P8" s="81">
        <v>0</v>
      </c>
      <c r="Q8" s="34">
        <v>11485</v>
      </c>
      <c r="R8" s="34">
        <v>15290</v>
      </c>
      <c r="S8" s="34">
        <v>15790</v>
      </c>
      <c r="T8" s="34">
        <v>21695</v>
      </c>
      <c r="U8" s="34">
        <v>11495</v>
      </c>
      <c r="V8" s="34">
        <v>19780</v>
      </c>
      <c r="W8" s="34">
        <v>27145</v>
      </c>
      <c r="X8" s="34">
        <v>15530</v>
      </c>
      <c r="Y8" s="34">
        <v>16305</v>
      </c>
      <c r="Z8" s="115">
        <f t="shared" si="1"/>
        <v>14501.75</v>
      </c>
      <c r="AA8" s="103"/>
      <c r="AX8"/>
    </row>
    <row r="9" spans="1:50">
      <c r="B9" s="4" t="s">
        <v>2</v>
      </c>
      <c r="C9" s="20">
        <f t="shared" si="0"/>
        <v>11150</v>
      </c>
      <c r="D9" s="10"/>
      <c r="E9" s="11">
        <v>6455</v>
      </c>
      <c r="F9" s="122">
        <v>9490</v>
      </c>
      <c r="G9" s="122">
        <v>2845</v>
      </c>
      <c r="H9" s="122">
        <v>0</v>
      </c>
      <c r="I9" s="122">
        <v>2845</v>
      </c>
      <c r="J9" s="122">
        <v>5220</v>
      </c>
      <c r="K9" s="122">
        <v>0</v>
      </c>
      <c r="L9" s="122">
        <v>0</v>
      </c>
      <c r="M9" s="122">
        <v>15755</v>
      </c>
      <c r="N9" s="122">
        <v>2845</v>
      </c>
      <c r="O9" s="122">
        <v>20980</v>
      </c>
      <c r="P9" s="81">
        <v>0</v>
      </c>
      <c r="Q9" s="34">
        <v>3800</v>
      </c>
      <c r="R9" s="34">
        <v>2845</v>
      </c>
      <c r="S9" s="34">
        <v>7400</v>
      </c>
      <c r="T9" s="34">
        <v>6076</v>
      </c>
      <c r="U9" s="34">
        <v>2417</v>
      </c>
      <c r="V9" s="34">
        <v>0</v>
      </c>
      <c r="W9" s="34">
        <v>0</v>
      </c>
      <c r="X9" s="34">
        <v>0</v>
      </c>
      <c r="Y9" s="34">
        <v>9177</v>
      </c>
      <c r="Z9" s="69">
        <f t="shared" si="1"/>
        <v>4584.75</v>
      </c>
      <c r="AA9" s="103"/>
      <c r="AX9"/>
    </row>
    <row r="10" spans="1:50">
      <c r="B10" s="4" t="s">
        <v>63</v>
      </c>
      <c r="C10" s="20">
        <f t="shared" si="0"/>
        <v>6250</v>
      </c>
      <c r="D10" s="10"/>
      <c r="E10" s="11">
        <v>4422</v>
      </c>
      <c r="F10" s="122">
        <v>0</v>
      </c>
      <c r="G10" s="122">
        <v>0</v>
      </c>
      <c r="H10" s="122">
        <v>1838</v>
      </c>
      <c r="I10" s="122">
        <v>0</v>
      </c>
      <c r="J10" s="122">
        <v>1222</v>
      </c>
      <c r="K10" s="122">
        <v>2995</v>
      </c>
      <c r="L10" s="122">
        <v>2995</v>
      </c>
      <c r="M10" s="81">
        <v>0</v>
      </c>
      <c r="N10" s="81">
        <v>0</v>
      </c>
      <c r="O10" s="122">
        <v>0</v>
      </c>
      <c r="P10" s="122">
        <v>5495</v>
      </c>
      <c r="Q10" s="34">
        <v>0</v>
      </c>
      <c r="R10" s="34">
        <v>1111</v>
      </c>
      <c r="S10" s="34">
        <v>0</v>
      </c>
      <c r="T10" s="34">
        <v>2995</v>
      </c>
      <c r="U10" s="34">
        <v>0</v>
      </c>
      <c r="V10" s="34">
        <v>0</v>
      </c>
      <c r="W10" s="34">
        <v>0</v>
      </c>
      <c r="X10" s="34">
        <v>2778</v>
      </c>
      <c r="Y10" s="34">
        <v>0</v>
      </c>
      <c r="Z10" s="69">
        <f t="shared" si="1"/>
        <v>1071.45</v>
      </c>
      <c r="AA10" s="103"/>
      <c r="AX10"/>
    </row>
    <row r="11" spans="1:50">
      <c r="B11" s="4" t="s">
        <v>3</v>
      </c>
      <c r="C11" s="21">
        <f t="shared" si="0"/>
        <v>20900</v>
      </c>
      <c r="D11" s="13"/>
      <c r="E11" s="40">
        <v>12054</v>
      </c>
      <c r="F11" s="124">
        <v>16042</v>
      </c>
      <c r="G11" s="124">
        <v>17147</v>
      </c>
      <c r="H11" s="124">
        <v>11668</v>
      </c>
      <c r="I11" s="124">
        <v>9902</v>
      </c>
      <c r="J11" s="124">
        <v>24275</v>
      </c>
      <c r="K11" s="80">
        <v>0</v>
      </c>
      <c r="L11" s="124">
        <v>16462</v>
      </c>
      <c r="M11" s="124">
        <v>21182</v>
      </c>
      <c r="N11" s="124">
        <v>19461</v>
      </c>
      <c r="O11" s="124">
        <v>11045</v>
      </c>
      <c r="P11" s="124">
        <v>15479</v>
      </c>
      <c r="Q11" s="35">
        <v>16824</v>
      </c>
      <c r="R11" s="35">
        <v>7603</v>
      </c>
      <c r="S11" s="35">
        <v>11457</v>
      </c>
      <c r="T11" s="35">
        <v>27202</v>
      </c>
      <c r="U11" s="35">
        <v>16012</v>
      </c>
      <c r="V11" s="35">
        <v>15678</v>
      </c>
      <c r="W11" s="35">
        <v>18399</v>
      </c>
      <c r="X11" s="35">
        <v>14928</v>
      </c>
      <c r="Y11" s="35">
        <v>33551</v>
      </c>
      <c r="Z11" s="69">
        <f t="shared" si="1"/>
        <v>16215.85</v>
      </c>
      <c r="AA11" s="103"/>
      <c r="AX11"/>
    </row>
    <row r="12" spans="1:50" ht="15.75" thickBot="1">
      <c r="B12" s="14" t="s">
        <v>27</v>
      </c>
      <c r="C12" s="20">
        <f>SUM(C6:C11)</f>
        <v>78050</v>
      </c>
      <c r="D12" s="10"/>
      <c r="E12" s="11">
        <f t="shared" ref="E12:Y12" si="2">SUM(E6:E11)</f>
        <v>113867</v>
      </c>
      <c r="F12" s="10">
        <f t="shared" si="2"/>
        <v>71022</v>
      </c>
      <c r="G12" s="10">
        <f t="shared" si="2"/>
        <v>48582</v>
      </c>
      <c r="H12" s="10">
        <f t="shared" si="2"/>
        <v>46131</v>
      </c>
      <c r="I12" s="10">
        <f t="shared" si="2"/>
        <v>67309</v>
      </c>
      <c r="J12" s="10">
        <f t="shared" si="2"/>
        <v>56807</v>
      </c>
      <c r="K12" s="10">
        <f t="shared" si="2"/>
        <v>37174</v>
      </c>
      <c r="L12" s="10">
        <f t="shared" si="2"/>
        <v>51985</v>
      </c>
      <c r="M12" s="10">
        <f t="shared" si="2"/>
        <v>86473</v>
      </c>
      <c r="N12" s="10">
        <f t="shared" si="2"/>
        <v>81046</v>
      </c>
      <c r="O12" s="10">
        <f t="shared" si="2"/>
        <v>90178</v>
      </c>
      <c r="P12" s="10">
        <f t="shared" si="2"/>
        <v>35074</v>
      </c>
      <c r="Q12" s="10">
        <f t="shared" si="2"/>
        <v>41204</v>
      </c>
      <c r="R12" s="10">
        <f t="shared" si="2"/>
        <v>53189</v>
      </c>
      <c r="S12" s="10">
        <f t="shared" si="2"/>
        <v>66358</v>
      </c>
      <c r="T12" s="10">
        <f t="shared" si="2"/>
        <v>73438</v>
      </c>
      <c r="U12" s="10">
        <f t="shared" si="2"/>
        <v>55699</v>
      </c>
      <c r="V12" s="10">
        <f t="shared" si="2"/>
        <v>66743</v>
      </c>
      <c r="W12" s="10">
        <f t="shared" si="2"/>
        <v>71359</v>
      </c>
      <c r="X12" s="10">
        <f t="shared" si="2"/>
        <v>58263</v>
      </c>
      <c r="Y12" s="10">
        <f t="shared" si="2"/>
        <v>85923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62197.85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1.1043037974683545</v>
      </c>
      <c r="G17" s="25">
        <f t="shared" si="4"/>
        <v>0.38632911392405067</v>
      </c>
      <c r="H17" s="25">
        <f t="shared" si="4"/>
        <v>0.58430379746835448</v>
      </c>
      <c r="I17" s="25">
        <f t="shared" si="4"/>
        <v>1.4844050632911392</v>
      </c>
      <c r="J17" s="25">
        <f t="shared" si="4"/>
        <v>0.66354430379746843</v>
      </c>
      <c r="K17" s="25">
        <f t="shared" si="4"/>
        <v>0.71918987341772156</v>
      </c>
      <c r="L17" s="25">
        <f t="shared" si="4"/>
        <v>0.62040506329113931</v>
      </c>
      <c r="M17" s="25">
        <f t="shared" si="4"/>
        <v>0.94486075949367088</v>
      </c>
      <c r="N17" s="25">
        <f t="shared" si="4"/>
        <v>1.6584810126582279</v>
      </c>
      <c r="O17" s="25">
        <f t="shared" si="4"/>
        <v>1.1533164556962026</v>
      </c>
      <c r="P17" s="25">
        <f t="shared" si="4"/>
        <v>0.71392405063291142</v>
      </c>
      <c r="Q17" s="25">
        <f t="shared" si="4"/>
        <v>0.46050632911392408</v>
      </c>
      <c r="R17" s="25">
        <f t="shared" si="4"/>
        <v>0.81240506329113926</v>
      </c>
      <c r="S17" s="25">
        <f t="shared" si="4"/>
        <v>1.3628354430379748</v>
      </c>
      <c r="T17" s="25">
        <f t="shared" si="4"/>
        <v>0.29772151898734178</v>
      </c>
      <c r="U17" s="25">
        <f t="shared" si="4"/>
        <v>1.3050632911392406</v>
      </c>
      <c r="V17" s="25">
        <f t="shared" si="4"/>
        <v>0.85898734177215186</v>
      </c>
      <c r="W17" s="25">
        <f t="shared" si="4"/>
        <v>1.191139240506329</v>
      </c>
      <c r="X17" s="25">
        <f t="shared" si="4"/>
        <v>0.74592405063291145</v>
      </c>
      <c r="Y17" s="25">
        <f t="shared" si="4"/>
        <v>1.0886075949367089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0.43120000000000003</v>
      </c>
      <c r="G18" s="25">
        <f t="shared" si="4"/>
        <v>0.76719999999999999</v>
      </c>
      <c r="H18" s="25">
        <f t="shared" si="4"/>
        <v>1.0568</v>
      </c>
      <c r="I18" s="25">
        <f t="shared" si="4"/>
        <v>0.76719999999999999</v>
      </c>
      <c r="J18" s="25">
        <f t="shared" si="4"/>
        <v>1.1192</v>
      </c>
      <c r="K18" s="25">
        <f t="shared" si="4"/>
        <v>1.4384000000000001</v>
      </c>
      <c r="L18" s="25">
        <f t="shared" si="4"/>
        <v>1.9656</v>
      </c>
      <c r="M18" s="25">
        <f t="shared" si="4"/>
        <v>3.5815999999999999</v>
      </c>
      <c r="N18" s="25">
        <f t="shared" si="4"/>
        <v>2.3664000000000001</v>
      </c>
      <c r="O18" s="25">
        <f t="shared" si="4"/>
        <v>2.6536</v>
      </c>
      <c r="P18" s="25">
        <f t="shared" si="4"/>
        <v>0</v>
      </c>
      <c r="Q18" s="25">
        <f t="shared" si="4"/>
        <v>0</v>
      </c>
      <c r="R18" s="25">
        <f t="shared" si="4"/>
        <v>1.6472</v>
      </c>
      <c r="S18" s="25">
        <f t="shared" si="4"/>
        <v>0.76719999999999999</v>
      </c>
      <c r="T18" s="25">
        <f t="shared" si="4"/>
        <v>1.5344</v>
      </c>
      <c r="U18" s="25">
        <f t="shared" si="4"/>
        <v>0</v>
      </c>
      <c r="V18" s="25">
        <f t="shared" si="4"/>
        <v>2.2911999999999999</v>
      </c>
      <c r="W18" s="25">
        <f t="shared" si="4"/>
        <v>0.36639999999999995</v>
      </c>
      <c r="X18" s="25">
        <f t="shared" si="4"/>
        <v>1.6472</v>
      </c>
      <c r="Y18" s="25">
        <f t="shared" si="4"/>
        <v>0.86240000000000006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1.5261818181818181</v>
      </c>
      <c r="G19" s="25">
        <f t="shared" si="4"/>
        <v>1.1756363636363636</v>
      </c>
      <c r="H19" s="25">
        <f t="shared" si="4"/>
        <v>1.0530909090909091</v>
      </c>
      <c r="I19" s="25">
        <f t="shared" si="4"/>
        <v>1.4872727272727273</v>
      </c>
      <c r="J19" s="25">
        <f t="shared" si="4"/>
        <v>0.4356363636363636</v>
      </c>
      <c r="K19" s="25">
        <f t="shared" si="4"/>
        <v>0.7989090909090909</v>
      </c>
      <c r="L19" s="25">
        <f t="shared" si="4"/>
        <v>0.5810909090909091</v>
      </c>
      <c r="M19" s="25">
        <f t="shared" si="4"/>
        <v>0.61745454545454548</v>
      </c>
      <c r="N19" s="25">
        <f t="shared" si="4"/>
        <v>0.81418181818181812</v>
      </c>
      <c r="O19" s="25">
        <f t="shared" si="4"/>
        <v>1.3665454545454545</v>
      </c>
      <c r="P19" s="25">
        <f t="shared" si="4"/>
        <v>0</v>
      </c>
      <c r="Q19" s="25">
        <f t="shared" si="4"/>
        <v>0.83527272727272728</v>
      </c>
      <c r="R19" s="25">
        <f t="shared" si="4"/>
        <v>1.1120000000000001</v>
      </c>
      <c r="S19" s="25">
        <f t="shared" si="4"/>
        <v>1.1483636363636363</v>
      </c>
      <c r="T19" s="25">
        <f t="shared" si="4"/>
        <v>1.5778181818181818</v>
      </c>
      <c r="U19" s="25">
        <f t="shared" si="4"/>
        <v>0.83599999999999997</v>
      </c>
      <c r="V19" s="25">
        <f t="shared" si="4"/>
        <v>1.4385454545454546</v>
      </c>
      <c r="W19" s="25">
        <f t="shared" si="4"/>
        <v>1.974181818181818</v>
      </c>
      <c r="X19" s="25">
        <f t="shared" si="4"/>
        <v>1.1294545454545455</v>
      </c>
      <c r="Y19" s="25">
        <f t="shared" si="4"/>
        <v>1.1858181818181819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0.85112107623318389</v>
      </c>
      <c r="G20" s="25">
        <f t="shared" si="4"/>
        <v>0.25515695067264577</v>
      </c>
      <c r="H20" s="25">
        <f t="shared" si="4"/>
        <v>0</v>
      </c>
      <c r="I20" s="25">
        <f t="shared" si="4"/>
        <v>0.25515695067264577</v>
      </c>
      <c r="J20" s="25">
        <f t="shared" si="4"/>
        <v>0.46816143497757845</v>
      </c>
      <c r="K20" s="25">
        <f t="shared" si="4"/>
        <v>0</v>
      </c>
      <c r="L20" s="25">
        <f t="shared" si="4"/>
        <v>0</v>
      </c>
      <c r="M20" s="25">
        <f t="shared" si="4"/>
        <v>1.4130044843049328</v>
      </c>
      <c r="N20" s="25">
        <f t="shared" si="4"/>
        <v>0.25515695067264577</v>
      </c>
      <c r="O20" s="25">
        <f t="shared" si="4"/>
        <v>1.8816143497757847</v>
      </c>
      <c r="P20" s="25">
        <f t="shared" si="4"/>
        <v>0</v>
      </c>
      <c r="Q20" s="25">
        <f t="shared" si="4"/>
        <v>0.34080717488789236</v>
      </c>
      <c r="R20" s="25">
        <f t="shared" si="4"/>
        <v>0.25515695067264577</v>
      </c>
      <c r="S20" s="25">
        <f t="shared" si="4"/>
        <v>0.66367713004484297</v>
      </c>
      <c r="T20" s="25">
        <f t="shared" si="4"/>
        <v>0.54493273542600895</v>
      </c>
      <c r="U20" s="25">
        <f t="shared" si="4"/>
        <v>0.21677130044843052</v>
      </c>
      <c r="V20" s="25">
        <f t="shared" si="4"/>
        <v>0</v>
      </c>
      <c r="W20" s="25">
        <f t="shared" si="4"/>
        <v>0</v>
      </c>
      <c r="X20" s="25">
        <f t="shared" si="4"/>
        <v>0</v>
      </c>
      <c r="Y20" s="25">
        <f t="shared" si="4"/>
        <v>0.82304932735426006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</v>
      </c>
      <c r="H21" s="25">
        <f t="shared" si="4"/>
        <v>0.29408000000000001</v>
      </c>
      <c r="I21" s="25">
        <f t="shared" si="4"/>
        <v>0</v>
      </c>
      <c r="J21" s="25">
        <f t="shared" si="4"/>
        <v>0.19552000000000003</v>
      </c>
      <c r="K21" s="25">
        <f t="shared" si="4"/>
        <v>0.47919999999999996</v>
      </c>
      <c r="L21" s="25">
        <f t="shared" si="4"/>
        <v>0.47919999999999996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0.87919999999999998</v>
      </c>
      <c r="Q21" s="25">
        <f t="shared" si="4"/>
        <v>0</v>
      </c>
      <c r="R21" s="25">
        <f t="shared" si="4"/>
        <v>0.17776000000000003</v>
      </c>
      <c r="S21" s="25">
        <f t="shared" si="4"/>
        <v>0</v>
      </c>
      <c r="T21" s="25">
        <f t="shared" si="4"/>
        <v>0.47919999999999996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0.44447999999999999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0.76755980861244022</v>
      </c>
      <c r="G22" s="27">
        <f t="shared" si="4"/>
        <v>0.8204306220095694</v>
      </c>
      <c r="H22" s="27">
        <f t="shared" si="4"/>
        <v>0.55827751196172248</v>
      </c>
      <c r="I22" s="27">
        <f t="shared" si="4"/>
        <v>0.47377990430622008</v>
      </c>
      <c r="J22" s="27">
        <f t="shared" si="4"/>
        <v>1.1614832535885167</v>
      </c>
      <c r="K22" s="27">
        <f t="shared" si="4"/>
        <v>0</v>
      </c>
      <c r="L22" s="27">
        <f t="shared" si="4"/>
        <v>0.7876555023923445</v>
      </c>
      <c r="M22" s="27">
        <f t="shared" si="4"/>
        <v>1.0134928229665072</v>
      </c>
      <c r="N22" s="27">
        <f t="shared" si="4"/>
        <v>0.93114832535885173</v>
      </c>
      <c r="O22" s="27">
        <f t="shared" si="4"/>
        <v>0.52846889952153109</v>
      </c>
      <c r="P22" s="27">
        <f t="shared" si="4"/>
        <v>0.74062200956937807</v>
      </c>
      <c r="Q22" s="27">
        <f t="shared" si="4"/>
        <v>0.8049760765550239</v>
      </c>
      <c r="R22" s="27">
        <f t="shared" si="4"/>
        <v>0.36377990430622009</v>
      </c>
      <c r="S22" s="27">
        <f t="shared" si="4"/>
        <v>0.5481818181818181</v>
      </c>
      <c r="T22" s="27">
        <f t="shared" si="4"/>
        <v>1.3015311004784689</v>
      </c>
      <c r="U22" s="27">
        <f t="shared" si="4"/>
        <v>0.76612440191387554</v>
      </c>
      <c r="V22" s="27">
        <f t="shared" si="4"/>
        <v>0.75014354066985645</v>
      </c>
      <c r="W22" s="27">
        <f t="shared" si="4"/>
        <v>0.88033492822966508</v>
      </c>
      <c r="X22" s="27">
        <f t="shared" si="4"/>
        <v>0.7142583732057417</v>
      </c>
      <c r="Y22" s="27">
        <f t="shared" si="4"/>
        <v>1.605311004784689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0.90995515695067264</v>
      </c>
      <c r="G23" s="25">
        <f t="shared" si="4"/>
        <v>0.62244714926329281</v>
      </c>
      <c r="H23" s="25">
        <f t="shared" si="4"/>
        <v>0.59104420243433697</v>
      </c>
      <c r="I23" s="25">
        <f t="shared" si="4"/>
        <v>0.86238308776425365</v>
      </c>
      <c r="J23" s="25">
        <f>(J12-$C12)/$C12+1</f>
        <v>0.72782831518257529</v>
      </c>
      <c r="K23" s="25">
        <f>(K12-$C12)/$C12+1</f>
        <v>0.47628443305573354</v>
      </c>
      <c r="L23" s="25">
        <f>(L12-$C12)/$C12+1</f>
        <v>0.66604740550928887</v>
      </c>
      <c r="M23" s="25">
        <f t="shared" si="4"/>
        <v>1.10791800128123</v>
      </c>
      <c r="N23" s="25">
        <f t="shared" si="4"/>
        <v>1.0383856502242153</v>
      </c>
      <c r="O23" s="25">
        <f t="shared" si="4"/>
        <v>1.1553875720691864</v>
      </c>
      <c r="P23" s="25">
        <f t="shared" si="4"/>
        <v>0.4493786034593209</v>
      </c>
      <c r="Q23" s="25">
        <f t="shared" si="4"/>
        <v>0.5279180012812299</v>
      </c>
      <c r="R23" s="25">
        <f t="shared" si="4"/>
        <v>0.68147341447789878</v>
      </c>
      <c r="S23" s="25">
        <f>(S12-$C12)/$C12+1</f>
        <v>0.85019859064702108</v>
      </c>
      <c r="T23" s="25">
        <f>(T12-$C12)/$C12+1</f>
        <v>0.94090967328635489</v>
      </c>
      <c r="U23" s="25">
        <f>(U12-$C12)/$C12+1</f>
        <v>0.71363228699551562</v>
      </c>
      <c r="V23" s="25">
        <f>(V12-$C12)/$C12+1</f>
        <v>0.85513132607303011</v>
      </c>
      <c r="W23" s="25">
        <f>(W12-$C12)/$C12+1</f>
        <v>0.91427290198590649</v>
      </c>
      <c r="X23" s="25">
        <f t="shared" si="4"/>
        <v>0.74648302370275466</v>
      </c>
      <c r="Y23" s="25">
        <f t="shared" si="4"/>
        <v>1.1008712363869315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22431</v>
      </c>
      <c r="G27" s="23">
        <v>30061</v>
      </c>
      <c r="H27" s="23">
        <v>37966</v>
      </c>
      <c r="I27" s="23">
        <v>67284</v>
      </c>
      <c r="J27" s="23">
        <v>80389</v>
      </c>
      <c r="K27" s="23">
        <v>94593</v>
      </c>
      <c r="L27" s="122">
        <v>106846</v>
      </c>
      <c r="M27" s="122">
        <v>125507</v>
      </c>
      <c r="N27" s="122">
        <v>158262</v>
      </c>
      <c r="O27" s="122">
        <v>181040</v>
      </c>
      <c r="P27" s="122">
        <v>195140</v>
      </c>
      <c r="Q27" s="23">
        <v>204235</v>
      </c>
      <c r="R27" s="23">
        <v>220280</v>
      </c>
      <c r="S27" s="23">
        <v>247196</v>
      </c>
      <c r="T27" s="23">
        <v>247196</v>
      </c>
      <c r="U27" s="23">
        <v>278851</v>
      </c>
      <c r="V27" s="23">
        <v>295816</v>
      </c>
      <c r="W27" s="23">
        <v>308959</v>
      </c>
      <c r="X27" s="23">
        <v>307309</v>
      </c>
      <c r="Y27" s="23">
        <v>322454</v>
      </c>
      <c r="Z27" s="109">
        <f>+Y27/C48</f>
        <v>0.81633924050632911</v>
      </c>
      <c r="AA27" s="134">
        <f t="shared" ref="AA27:AA33" si="8">+Z27-Y$25</f>
        <v>-0.18366075949367089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5390</v>
      </c>
      <c r="G28" s="34">
        <v>10185</v>
      </c>
      <c r="H28" s="34">
        <v>16790</v>
      </c>
      <c r="I28" s="34">
        <v>21585</v>
      </c>
      <c r="J28" s="34">
        <v>24280</v>
      </c>
      <c r="K28" s="34">
        <v>40265</v>
      </c>
      <c r="L28" s="122">
        <v>42960</v>
      </c>
      <c r="M28" s="122">
        <v>66850</v>
      </c>
      <c r="N28" s="122">
        <v>92420</v>
      </c>
      <c r="O28" s="122">
        <v>119695</v>
      </c>
      <c r="P28" s="122">
        <v>119695</v>
      </c>
      <c r="Q28" s="23">
        <v>119695</v>
      </c>
      <c r="R28" s="23">
        <v>129990</v>
      </c>
      <c r="S28" s="23">
        <v>134785</v>
      </c>
      <c r="T28" s="23">
        <v>144375</v>
      </c>
      <c r="U28" s="23">
        <v>144375</v>
      </c>
      <c r="V28" s="121">
        <v>158695</v>
      </c>
      <c r="W28" s="23">
        <v>160985</v>
      </c>
      <c r="X28" s="23">
        <v>171280</v>
      </c>
      <c r="Y28" s="23">
        <v>176670</v>
      </c>
      <c r="Z28" s="109">
        <f>+Y28/C49</f>
        <v>1.4133599999999999</v>
      </c>
      <c r="AA28" s="113">
        <f t="shared" si="8"/>
        <v>0.41335999999999995</v>
      </c>
      <c r="AX28"/>
    </row>
    <row r="29" spans="2:50">
      <c r="B29" s="4" t="str">
        <f>+B19</f>
        <v>Boston</v>
      </c>
      <c r="C29" s="4"/>
      <c r="D29" s="4"/>
      <c r="E29" s="23"/>
      <c r="F29" s="34">
        <v>63115</v>
      </c>
      <c r="G29" s="34">
        <v>74610</v>
      </c>
      <c r="H29" s="34">
        <v>96090</v>
      </c>
      <c r="I29" s="34">
        <v>110550</v>
      </c>
      <c r="J29" s="34">
        <v>119040</v>
      </c>
      <c r="K29" s="34">
        <v>124530</v>
      </c>
      <c r="L29" s="122">
        <v>129525</v>
      </c>
      <c r="M29" s="122">
        <v>132025</v>
      </c>
      <c r="N29" s="122">
        <v>138020</v>
      </c>
      <c r="O29" s="122">
        <v>158305</v>
      </c>
      <c r="P29" s="122">
        <v>158305</v>
      </c>
      <c r="Q29" s="23">
        <v>169790</v>
      </c>
      <c r="R29" s="23">
        <v>174915</v>
      </c>
      <c r="S29" s="23">
        <v>185210</v>
      </c>
      <c r="T29" s="23">
        <v>204915</v>
      </c>
      <c r="U29" s="23">
        <v>213910</v>
      </c>
      <c r="V29" s="121">
        <v>226450</v>
      </c>
      <c r="W29" s="23">
        <v>256345</v>
      </c>
      <c r="X29" s="23">
        <v>275320</v>
      </c>
      <c r="Y29" s="23">
        <v>279645</v>
      </c>
      <c r="Z29" s="109">
        <f>+Y29/C50</f>
        <v>1.0168909090909091</v>
      </c>
      <c r="AA29" s="113">
        <f t="shared" si="8"/>
        <v>1.6890909090909068E-2</v>
      </c>
      <c r="AX29"/>
    </row>
    <row r="30" spans="2:50" s="4" customFormat="1" ht="12.75">
      <c r="B30" s="4" t="str">
        <f>+B20</f>
        <v>Canada</v>
      </c>
      <c r="E30" s="23"/>
      <c r="F30" s="34">
        <v>6455</v>
      </c>
      <c r="G30" s="34">
        <v>15945</v>
      </c>
      <c r="H30" s="34">
        <v>15945</v>
      </c>
      <c r="I30" s="34">
        <v>21636</v>
      </c>
      <c r="J30" s="34">
        <v>21636</v>
      </c>
      <c r="K30" s="34">
        <v>21636</v>
      </c>
      <c r="L30" s="122">
        <v>21636</v>
      </c>
      <c r="M30" s="122">
        <v>21636</v>
      </c>
      <c r="N30" s="122">
        <v>24481</v>
      </c>
      <c r="O30" s="122">
        <v>24481</v>
      </c>
      <c r="P30" s="122">
        <v>56183</v>
      </c>
      <c r="Q30" s="34">
        <v>56183</v>
      </c>
      <c r="R30" s="34">
        <v>59983</v>
      </c>
      <c r="S30" s="34">
        <v>65673</v>
      </c>
      <c r="T30" s="34">
        <v>76304</v>
      </c>
      <c r="U30" s="34">
        <v>78722</v>
      </c>
      <c r="V30" s="121">
        <v>78722</v>
      </c>
      <c r="W30" s="34">
        <v>78722</v>
      </c>
      <c r="X30" s="34">
        <v>78722</v>
      </c>
      <c r="Y30" s="34">
        <v>87253</v>
      </c>
      <c r="Z30" s="109">
        <f>Y30/C51</f>
        <v>0.39126905829596414</v>
      </c>
      <c r="AA30" s="79">
        <f t="shared" si="8"/>
        <v>-0.60873094170403586</v>
      </c>
    </row>
    <row r="31" spans="2:50" s="4" customFormat="1" ht="12.75">
      <c r="B31" s="4" t="s">
        <v>63</v>
      </c>
      <c r="E31" s="23"/>
      <c r="F31" s="34">
        <v>4422</v>
      </c>
      <c r="G31" s="34">
        <v>4422</v>
      </c>
      <c r="H31" s="34">
        <v>6260</v>
      </c>
      <c r="I31" s="34">
        <v>6260</v>
      </c>
      <c r="J31" s="34">
        <v>7482</v>
      </c>
      <c r="K31" s="34">
        <v>10477</v>
      </c>
      <c r="L31" s="122">
        <v>13472</v>
      </c>
      <c r="M31" s="122">
        <v>13472</v>
      </c>
      <c r="N31" s="122">
        <v>13472</v>
      </c>
      <c r="O31" s="122">
        <v>13472</v>
      </c>
      <c r="P31" s="122">
        <v>18967</v>
      </c>
      <c r="Q31" s="34">
        <v>18967</v>
      </c>
      <c r="R31" s="34">
        <v>20078</v>
      </c>
      <c r="S31" s="34">
        <v>20078</v>
      </c>
      <c r="T31" s="34">
        <v>23073</v>
      </c>
      <c r="U31" s="34">
        <v>23073</v>
      </c>
      <c r="V31" s="121">
        <v>23073</v>
      </c>
      <c r="W31" s="34">
        <v>23073</v>
      </c>
      <c r="X31" s="34">
        <v>25851</v>
      </c>
      <c r="Y31" s="34">
        <v>25851</v>
      </c>
      <c r="Z31" s="109">
        <f>Y31/C52</f>
        <v>0.20680799999999999</v>
      </c>
      <c r="AA31" s="79">
        <f t="shared" si="8"/>
        <v>-0.79319200000000001</v>
      </c>
    </row>
    <row r="32" spans="2:50">
      <c r="B32" s="5" t="str">
        <f>+B22</f>
        <v>Norwich</v>
      </c>
      <c r="C32" s="19"/>
      <c r="D32" s="19"/>
      <c r="E32" s="35"/>
      <c r="F32" s="35">
        <v>12054</v>
      </c>
      <c r="G32" s="35">
        <v>32844</v>
      </c>
      <c r="H32" s="35">
        <v>44512</v>
      </c>
      <c r="I32" s="35">
        <v>50177</v>
      </c>
      <c r="J32" s="35">
        <v>69534</v>
      </c>
      <c r="K32" s="35">
        <v>69534</v>
      </c>
      <c r="L32" s="124">
        <v>90915</v>
      </c>
      <c r="M32" s="124">
        <v>109861</v>
      </c>
      <c r="N32" s="124">
        <v>129323</v>
      </c>
      <c r="O32" s="124">
        <v>140369</v>
      </c>
      <c r="P32" s="124">
        <v>155849</v>
      </c>
      <c r="Q32" s="35">
        <v>172673</v>
      </c>
      <c r="R32" s="35">
        <v>176039</v>
      </c>
      <c r="S32" s="35">
        <v>183258</v>
      </c>
      <c r="T32" s="35">
        <v>210461</v>
      </c>
      <c r="U32" s="35">
        <v>226474</v>
      </c>
      <c r="V32" s="35">
        <v>237914</v>
      </c>
      <c r="W32" s="35">
        <v>251748</v>
      </c>
      <c r="X32" s="35">
        <v>260568</v>
      </c>
      <c r="Y32" s="35">
        <v>287857</v>
      </c>
      <c r="Z32" s="110">
        <f>+Y32/C53</f>
        <v>0.68865311004784691</v>
      </c>
      <c r="AA32" s="79">
        <f t="shared" si="8"/>
        <v>-0.31134688995215309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113867</v>
      </c>
      <c r="G33" s="10">
        <f>SUM(G27:G32)</f>
        <v>168067</v>
      </c>
      <c r="H33" s="10">
        <f>SUM(H27:H32)</f>
        <v>217563</v>
      </c>
      <c r="I33" s="10">
        <f>SUM(I27:I32)</f>
        <v>277492</v>
      </c>
      <c r="J33" s="4">
        <f t="shared" ref="J33:Y33" si="9">SUM(J27:J32)</f>
        <v>322361</v>
      </c>
      <c r="K33" s="10">
        <f t="shared" si="9"/>
        <v>361035</v>
      </c>
      <c r="L33" s="10">
        <f t="shared" si="9"/>
        <v>405354</v>
      </c>
      <c r="M33" s="10">
        <f t="shared" si="9"/>
        <v>469351</v>
      </c>
      <c r="N33" s="10">
        <f t="shared" si="9"/>
        <v>555978</v>
      </c>
      <c r="O33" s="4">
        <f>SUM(O27:O32)</f>
        <v>637362</v>
      </c>
      <c r="P33" s="10">
        <f t="shared" si="9"/>
        <v>704139</v>
      </c>
      <c r="Q33" s="10">
        <f t="shared" si="9"/>
        <v>741543</v>
      </c>
      <c r="R33" s="10">
        <f t="shared" si="9"/>
        <v>781285</v>
      </c>
      <c r="S33" s="10">
        <f t="shared" si="9"/>
        <v>836200</v>
      </c>
      <c r="T33" s="4">
        <f t="shared" si="9"/>
        <v>906324</v>
      </c>
      <c r="U33" s="10">
        <f t="shared" si="9"/>
        <v>965405</v>
      </c>
      <c r="V33" s="10">
        <f t="shared" si="9"/>
        <v>1020670</v>
      </c>
      <c r="W33" s="10">
        <f t="shared" si="9"/>
        <v>1079832</v>
      </c>
      <c r="X33" s="10">
        <f t="shared" si="9"/>
        <v>1119050</v>
      </c>
      <c r="Y33" s="10">
        <f t="shared" si="9"/>
        <v>1179730</v>
      </c>
      <c r="Z33" s="111">
        <f>+Y33/C54</f>
        <v>0.75575272261370918</v>
      </c>
      <c r="AA33" s="84">
        <f t="shared" si="8"/>
        <v>-0.24424727738629082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7.2944907110826393E-2</v>
      </c>
      <c r="G34" s="30">
        <f t="shared" si="10"/>
        <v>0.1076662395900064</v>
      </c>
      <c r="H34" s="30">
        <f t="shared" si="10"/>
        <v>0.13937411915438822</v>
      </c>
      <c r="I34" s="30">
        <f t="shared" si="10"/>
        <v>0.17776553491351699</v>
      </c>
      <c r="J34" s="30">
        <f t="shared" si="10"/>
        <v>0.20650928891736067</v>
      </c>
      <c r="K34" s="30">
        <f t="shared" si="10"/>
        <v>0.23128443305573351</v>
      </c>
      <c r="L34" s="30">
        <f t="shared" si="10"/>
        <v>0.25967584881486228</v>
      </c>
      <c r="M34" s="30">
        <f t="shared" si="10"/>
        <v>0.3006732863549007</v>
      </c>
      <c r="N34" s="30">
        <f t="shared" si="10"/>
        <v>0.3561678411274824</v>
      </c>
      <c r="O34" s="30">
        <f>+O33/$C$54</f>
        <v>0.40830365150544523</v>
      </c>
      <c r="P34" s="30">
        <f t="shared" ref="P34:Y34" si="11">+P33/$C$54</f>
        <v>0.45108199871877003</v>
      </c>
      <c r="Q34" s="30">
        <f t="shared" si="11"/>
        <v>0.47504356181934659</v>
      </c>
      <c r="R34" s="30">
        <f t="shared" si="11"/>
        <v>0.5005028827674568</v>
      </c>
      <c r="S34" s="30">
        <f t="shared" si="11"/>
        <v>0.53568225496476618</v>
      </c>
      <c r="T34" s="30">
        <f t="shared" si="11"/>
        <v>0.58060474055092892</v>
      </c>
      <c r="U34" s="30">
        <f t="shared" si="11"/>
        <v>0.6184529147982063</v>
      </c>
      <c r="V34" s="30">
        <f t="shared" si="11"/>
        <v>0.65385650224215242</v>
      </c>
      <c r="W34" s="30">
        <f t="shared" si="11"/>
        <v>0.69175656630365145</v>
      </c>
      <c r="X34" s="30">
        <f t="shared" si="11"/>
        <v>0.71688020499679694</v>
      </c>
      <c r="Y34" s="30">
        <f t="shared" si="11"/>
        <v>0.75575272261370918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1.135746835443038</v>
      </c>
      <c r="G38" s="17">
        <f t="shared" ref="G38:Y38" si="13">(G48/$C$48)</f>
        <v>0.76103797468354428</v>
      </c>
      <c r="H38" s="17">
        <f t="shared" si="13"/>
        <v>0.6407763713080169</v>
      </c>
      <c r="I38" s="17">
        <f t="shared" si="13"/>
        <v>0.85169620253164557</v>
      </c>
      <c r="J38" s="17">
        <f t="shared" si="13"/>
        <v>0.8140658227848101</v>
      </c>
      <c r="K38" s="17">
        <f t="shared" si="13"/>
        <v>0.79825316455696205</v>
      </c>
      <c r="L38" s="17">
        <f t="shared" si="13"/>
        <v>0.7728462929475588</v>
      </c>
      <c r="M38" s="17">
        <f t="shared" si="13"/>
        <v>0.79434810126582278</v>
      </c>
      <c r="N38" s="17">
        <f t="shared" si="13"/>
        <v>0.89036286919831231</v>
      </c>
      <c r="O38" s="17">
        <f t="shared" si="13"/>
        <v>0.91665822784810125</v>
      </c>
      <c r="P38" s="17">
        <f t="shared" si="13"/>
        <v>0.89822784810126577</v>
      </c>
      <c r="Q38" s="17">
        <f t="shared" si="13"/>
        <v>0.86175105485232062</v>
      </c>
      <c r="R38" s="17">
        <f t="shared" si="13"/>
        <v>0.85795520934761427</v>
      </c>
      <c r="S38" s="17">
        <f t="shared" si="13"/>
        <v>0.89401808318264009</v>
      </c>
      <c r="T38" s="17">
        <f t="shared" si="13"/>
        <v>0.8344168776371309</v>
      </c>
      <c r="U38" s="17">
        <f t="shared" si="13"/>
        <v>0.88243987341772157</v>
      </c>
      <c r="V38" s="17">
        <f t="shared" si="13"/>
        <v>0.88106031273268792</v>
      </c>
      <c r="W38" s="17">
        <f t="shared" si="13"/>
        <v>0.86908298171589315</v>
      </c>
      <c r="X38" s="17">
        <f t="shared" si="13"/>
        <v>0.81894470353097937</v>
      </c>
      <c r="Y38" s="17">
        <f t="shared" si="13"/>
        <v>0.81633924050632911</v>
      </c>
      <c r="Z38" s="140" t="s">
        <v>71</v>
      </c>
      <c r="AA38" s="138">
        <v>370</v>
      </c>
      <c r="AX38"/>
    </row>
    <row r="39" spans="2:50">
      <c r="B39" s="4" t="s">
        <v>64</v>
      </c>
      <c r="C39" s="17"/>
      <c r="D39" s="17"/>
      <c r="E39" s="17"/>
      <c r="F39" s="17">
        <f>(F49/$C$49)</f>
        <v>0.86240000000000006</v>
      </c>
      <c r="G39" s="17">
        <f t="shared" ref="G39:Y39" si="14">(G49/$C$49)</f>
        <v>0.81479999999999997</v>
      </c>
      <c r="H39" s="17">
        <f t="shared" si="14"/>
        <v>0.89546666666666674</v>
      </c>
      <c r="I39" s="17">
        <f t="shared" si="14"/>
        <v>0.86339999999999995</v>
      </c>
      <c r="J39" s="17">
        <f t="shared" si="14"/>
        <v>0.77695999999999998</v>
      </c>
      <c r="K39" s="17">
        <f t="shared" si="14"/>
        <v>1.0737333333333332</v>
      </c>
      <c r="L39" s="17">
        <f t="shared" si="14"/>
        <v>0.98194285714285701</v>
      </c>
      <c r="M39" s="17">
        <f t="shared" si="14"/>
        <v>1.337</v>
      </c>
      <c r="N39" s="17">
        <f t="shared" si="14"/>
        <v>1.6430222222222222</v>
      </c>
      <c r="O39" s="17">
        <f t="shared" si="14"/>
        <v>1.9151199999999999</v>
      </c>
      <c r="P39" s="17">
        <f t="shared" si="14"/>
        <v>1.7410181818181816</v>
      </c>
      <c r="Q39" s="17">
        <f t="shared" si="14"/>
        <v>1.5959333333333334</v>
      </c>
      <c r="R39" s="17">
        <f t="shared" si="14"/>
        <v>1.599876923076923</v>
      </c>
      <c r="S39" s="17">
        <f t="shared" si="14"/>
        <v>1.5404</v>
      </c>
      <c r="T39" s="17">
        <f t="shared" si="14"/>
        <v>1.54</v>
      </c>
      <c r="U39" s="17">
        <f t="shared" si="14"/>
        <v>1.4437500000000001</v>
      </c>
      <c r="V39" s="17">
        <f t="shared" si="14"/>
        <v>1.4936</v>
      </c>
      <c r="W39" s="17">
        <f t="shared" si="14"/>
        <v>1.4309777777777777</v>
      </c>
      <c r="X39" s="17">
        <f t="shared" si="14"/>
        <v>1.4423578947368423</v>
      </c>
      <c r="Y39" s="17">
        <f t="shared" si="14"/>
        <v>1.4133599999999999</v>
      </c>
      <c r="Z39" s="140" t="s">
        <v>72</v>
      </c>
      <c r="AA39" s="138">
        <v>150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4.5901818181818186</v>
      </c>
      <c r="G40" s="17">
        <f t="shared" si="15"/>
        <v>2.713090909090909</v>
      </c>
      <c r="H40" s="17">
        <f t="shared" si="15"/>
        <v>2.3294545454545457</v>
      </c>
      <c r="I40" s="17">
        <f t="shared" si="15"/>
        <v>2.0099999999999998</v>
      </c>
      <c r="J40" s="17">
        <f t="shared" si="15"/>
        <v>1.7314909090909092</v>
      </c>
      <c r="K40" s="17">
        <f t="shared" si="15"/>
        <v>1.5094545454545454</v>
      </c>
      <c r="L40" s="17">
        <f t="shared" si="15"/>
        <v>1.3457142857142856</v>
      </c>
      <c r="M40" s="17">
        <f t="shared" si="15"/>
        <v>1.2002272727272727</v>
      </c>
      <c r="N40" s="17">
        <f t="shared" si="15"/>
        <v>1.1153131313131313</v>
      </c>
      <c r="O40" s="17">
        <f t="shared" si="15"/>
        <v>1.1513090909090908</v>
      </c>
      <c r="P40" s="17">
        <f t="shared" si="15"/>
        <v>1.0466446280991735</v>
      </c>
      <c r="Q40" s="17">
        <f t="shared" si="15"/>
        <v>1.029030303030303</v>
      </c>
      <c r="R40" s="17">
        <f t="shared" si="15"/>
        <v>0.9785454545454545</v>
      </c>
      <c r="S40" s="17">
        <f t="shared" si="15"/>
        <v>0.96212987012987006</v>
      </c>
      <c r="T40" s="17">
        <f t="shared" si="15"/>
        <v>0.9935272727272727</v>
      </c>
      <c r="U40" s="17">
        <f t="shared" si="15"/>
        <v>0.97231818181818186</v>
      </c>
      <c r="V40" s="17">
        <f t="shared" si="15"/>
        <v>0.96877005347593581</v>
      </c>
      <c r="W40" s="17">
        <f t="shared" si="15"/>
        <v>1.0357373737373736</v>
      </c>
      <c r="X40" s="17">
        <f t="shared" si="15"/>
        <v>1.0538564593301434</v>
      </c>
      <c r="Y40" s="17">
        <f t="shared" si="15"/>
        <v>1.0168909090909091</v>
      </c>
      <c r="Z40" s="141" t="s">
        <v>73</v>
      </c>
      <c r="AA40" s="138">
        <v>275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0.57892376681614355</v>
      </c>
      <c r="G41" s="17">
        <f t="shared" si="16"/>
        <v>0.71502242152466366</v>
      </c>
      <c r="H41" s="17">
        <f t="shared" si="16"/>
        <v>0.4766816143497758</v>
      </c>
      <c r="I41" s="17">
        <f t="shared" si="16"/>
        <v>0.48511210762331841</v>
      </c>
      <c r="J41" s="17">
        <f t="shared" si="16"/>
        <v>0.38808968609865468</v>
      </c>
      <c r="K41" s="17">
        <f t="shared" si="16"/>
        <v>0.32340807174887892</v>
      </c>
      <c r="L41" s="17">
        <f t="shared" si="16"/>
        <v>0.27720691864189623</v>
      </c>
      <c r="M41" s="17">
        <f t="shared" si="16"/>
        <v>0.24255605381165921</v>
      </c>
      <c r="N41" s="17">
        <f t="shared" si="16"/>
        <v>0.24395615346287994</v>
      </c>
      <c r="O41" s="17">
        <f t="shared" si="16"/>
        <v>0.21956053811659193</v>
      </c>
      <c r="P41" s="17">
        <f t="shared" si="16"/>
        <v>0.45807582551977177</v>
      </c>
      <c r="Q41" s="17">
        <f t="shared" si="16"/>
        <v>0.41990284005979078</v>
      </c>
      <c r="R41" s="17">
        <f t="shared" si="16"/>
        <v>0.41381855812349083</v>
      </c>
      <c r="S41" s="17">
        <f t="shared" si="16"/>
        <v>0.42071108263933377</v>
      </c>
      <c r="T41" s="17">
        <f t="shared" si="16"/>
        <v>0.45622720478325862</v>
      </c>
      <c r="U41" s="17">
        <f t="shared" si="16"/>
        <v>0.44126681614349778</v>
      </c>
      <c r="V41" s="17">
        <f t="shared" si="16"/>
        <v>0.41530994460564497</v>
      </c>
      <c r="W41" s="17">
        <f t="shared" si="16"/>
        <v>0.39223716990533136</v>
      </c>
      <c r="X41" s="17">
        <f t="shared" si="16"/>
        <v>0.3715931083313665</v>
      </c>
      <c r="Y41" s="17">
        <f t="shared" si="16"/>
        <v>0.39126905829596414</v>
      </c>
      <c r="Z41" s="141" t="s">
        <v>74</v>
      </c>
      <c r="AA41" s="138">
        <v>100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0.39659192825112105</v>
      </c>
      <c r="G42" s="17">
        <f t="shared" si="16"/>
        <v>0.19829596412556053</v>
      </c>
      <c r="H42" s="17">
        <f t="shared" si="16"/>
        <v>0.18714499252615843</v>
      </c>
      <c r="I42" s="17">
        <f t="shared" si="16"/>
        <v>0.14035874439461885</v>
      </c>
      <c r="J42" s="17">
        <f t="shared" si="16"/>
        <v>0.13420627802690582</v>
      </c>
      <c r="K42" s="17">
        <f t="shared" si="16"/>
        <v>0.1566068759342302</v>
      </c>
      <c r="L42" s="17">
        <f t="shared" si="16"/>
        <v>0.17260730301089047</v>
      </c>
      <c r="M42" s="17">
        <f t="shared" si="16"/>
        <v>0.15103139013452915</v>
      </c>
      <c r="N42" s="17">
        <f t="shared" si="16"/>
        <v>0.13425012456402591</v>
      </c>
      <c r="O42" s="17">
        <f t="shared" si="16"/>
        <v>0.12082511210762333</v>
      </c>
      <c r="P42" s="17">
        <f t="shared" si="16"/>
        <v>0.15464329392580514</v>
      </c>
      <c r="Q42" s="17">
        <f t="shared" si="16"/>
        <v>0.14175635276532136</v>
      </c>
      <c r="R42" s="17">
        <f t="shared" si="16"/>
        <v>0.13851672990686445</v>
      </c>
      <c r="S42" s="17">
        <f t="shared" si="16"/>
        <v>0.12862267777065983</v>
      </c>
      <c r="T42" s="17">
        <f t="shared" si="16"/>
        <v>0.13795515695067265</v>
      </c>
      <c r="U42" s="17">
        <f t="shared" si="16"/>
        <v>0.1293329596412556</v>
      </c>
      <c r="V42" s="17">
        <f t="shared" si="16"/>
        <v>0.12172513848588763</v>
      </c>
      <c r="W42" s="17">
        <f t="shared" si="16"/>
        <v>0.1149626307922272</v>
      </c>
      <c r="X42" s="17">
        <f t="shared" si="16"/>
        <v>0.12202501770120368</v>
      </c>
      <c r="Y42" s="17">
        <f t="shared" si="16"/>
        <v>0.1159237668161435</v>
      </c>
      <c r="Z42" s="141" t="s">
        <v>75</v>
      </c>
      <c r="AA42" s="138">
        <v>45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0.57674641148325356</v>
      </c>
      <c r="G43" s="18">
        <f t="shared" si="17"/>
        <v>0.78574162679425841</v>
      </c>
      <c r="H43" s="18">
        <f t="shared" si="17"/>
        <v>0.70992025518341317</v>
      </c>
      <c r="I43" s="18">
        <f t="shared" si="17"/>
        <v>0.60020334928229668</v>
      </c>
      <c r="J43" s="18">
        <f t="shared" si="17"/>
        <v>0.66539712918660288</v>
      </c>
      <c r="K43" s="18">
        <f t="shared" si="17"/>
        <v>0.55449760765550238</v>
      </c>
      <c r="L43" s="18">
        <f t="shared" si="17"/>
        <v>0.62142857142857144</v>
      </c>
      <c r="M43" s="18">
        <f t="shared" si="17"/>
        <v>0.6570633971291866</v>
      </c>
      <c r="N43" s="18">
        <f t="shared" si="17"/>
        <v>0.68752259436469965</v>
      </c>
      <c r="O43" s="18">
        <f t="shared" si="17"/>
        <v>0.67162200956937801</v>
      </c>
      <c r="P43" s="18">
        <f t="shared" si="17"/>
        <v>0.67789908655937359</v>
      </c>
      <c r="Q43" s="18">
        <f t="shared" si="17"/>
        <v>0.68848883572567776</v>
      </c>
      <c r="R43" s="18">
        <f t="shared" si="17"/>
        <v>0.64791682002208317</v>
      </c>
      <c r="S43" s="18">
        <f t="shared" si="17"/>
        <v>0.62630895420369104</v>
      </c>
      <c r="T43" s="18">
        <f t="shared" si="17"/>
        <v>0.67132695374800644</v>
      </c>
      <c r="U43" s="18">
        <f t="shared" si="17"/>
        <v>0.67725478468899525</v>
      </c>
      <c r="V43" s="18">
        <f t="shared" si="17"/>
        <v>0.6696144103574444</v>
      </c>
      <c r="W43" s="18">
        <f t="shared" si="17"/>
        <v>0.66918660287081344</v>
      </c>
      <c r="X43" s="18">
        <f t="shared" si="17"/>
        <v>0.65617728531855968</v>
      </c>
      <c r="Y43" s="18">
        <f t="shared" si="17"/>
        <v>0.68865311004784691</v>
      </c>
      <c r="Z43" s="142" t="s">
        <v>76</v>
      </c>
      <c r="AA43" s="138">
        <v>295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1.4588981422165279</v>
      </c>
      <c r="G44" s="17">
        <f t="shared" si="18"/>
        <v>1.0766623959000641</v>
      </c>
      <c r="H44" s="17">
        <f t="shared" si="18"/>
        <v>0.92916079436258814</v>
      </c>
      <c r="I44" s="17">
        <f t="shared" si="18"/>
        <v>0.88882767456758494</v>
      </c>
      <c r="J44" s="17">
        <f t="shared" si="18"/>
        <v>0.82603715566944269</v>
      </c>
      <c r="K44" s="17">
        <f t="shared" si="18"/>
        <v>0.77094811018577836</v>
      </c>
      <c r="L44" s="17">
        <f t="shared" si="18"/>
        <v>0.74193099661389217</v>
      </c>
      <c r="M44" s="17">
        <f t="shared" si="18"/>
        <v>0.75168321588725173</v>
      </c>
      <c r="N44" s="17">
        <f t="shared" si="18"/>
        <v>0.79148409139440534</v>
      </c>
      <c r="O44" s="17">
        <f t="shared" si="18"/>
        <v>0.81660730301089046</v>
      </c>
      <c r="P44" s="17">
        <f t="shared" si="18"/>
        <v>0.82014908857958191</v>
      </c>
      <c r="Q44" s="17">
        <f t="shared" si="18"/>
        <v>0.79173926969891084</v>
      </c>
      <c r="R44" s="17">
        <f t="shared" si="18"/>
        <v>0.77000443502685656</v>
      </c>
      <c r="S44" s="17">
        <f t="shared" si="18"/>
        <v>0.76526036423538024</v>
      </c>
      <c r="T44" s="17">
        <f t="shared" si="18"/>
        <v>0.77413965406790519</v>
      </c>
      <c r="U44" s="17">
        <f t="shared" si="18"/>
        <v>0.77306614349775782</v>
      </c>
      <c r="V44" s="17">
        <f t="shared" si="18"/>
        <v>0.76924294381429703</v>
      </c>
      <c r="W44" s="17">
        <f t="shared" si="18"/>
        <v>0.76861840700405715</v>
      </c>
      <c r="X44" s="17">
        <f t="shared" si="18"/>
        <v>0.7546107421018915</v>
      </c>
      <c r="Y44" s="17">
        <f t="shared" si="18"/>
        <v>0.75575272261370918</v>
      </c>
      <c r="AA44" s="139">
        <f>SUM(AA38:AA43)</f>
        <v>1235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395000</v>
      </c>
      <c r="D48" s="4"/>
      <c r="E48" s="4"/>
      <c r="F48" s="55">
        <f t="shared" ref="F48:Y53" si="20">(F27)/F$1*$Y$1</f>
        <v>448620</v>
      </c>
      <c r="G48" s="55">
        <f t="shared" si="20"/>
        <v>300610</v>
      </c>
      <c r="H48" s="55">
        <f t="shared" si="20"/>
        <v>253106.66666666669</v>
      </c>
      <c r="I48" s="55">
        <f t="shared" si="20"/>
        <v>336420</v>
      </c>
      <c r="J48" s="55">
        <f t="shared" si="20"/>
        <v>321556</v>
      </c>
      <c r="K48" s="55">
        <f t="shared" si="20"/>
        <v>315310</v>
      </c>
      <c r="L48" s="55">
        <f t="shared" si="20"/>
        <v>305274.28571428574</v>
      </c>
      <c r="M48" s="55">
        <f t="shared" si="20"/>
        <v>313767.5</v>
      </c>
      <c r="N48" s="55">
        <f t="shared" si="20"/>
        <v>351693.33333333337</v>
      </c>
      <c r="O48" s="55">
        <f t="shared" si="20"/>
        <v>362080</v>
      </c>
      <c r="P48" s="55">
        <f t="shared" si="20"/>
        <v>354800</v>
      </c>
      <c r="Q48" s="55">
        <f t="shared" si="20"/>
        <v>340391.66666666663</v>
      </c>
      <c r="R48" s="55">
        <f t="shared" si="20"/>
        <v>338892.30769230763</v>
      </c>
      <c r="S48" s="55">
        <f t="shared" si="20"/>
        <v>353137.14285714284</v>
      </c>
      <c r="T48" s="55">
        <f t="shared" si="20"/>
        <v>329594.66666666669</v>
      </c>
      <c r="U48" s="55">
        <f t="shared" si="20"/>
        <v>348563.75</v>
      </c>
      <c r="V48" s="55">
        <f t="shared" si="20"/>
        <v>348018.82352941175</v>
      </c>
      <c r="W48" s="55">
        <f t="shared" si="20"/>
        <v>343287.77777777781</v>
      </c>
      <c r="X48" s="55">
        <f t="shared" si="20"/>
        <v>323483.15789473685</v>
      </c>
      <c r="Y48" s="55">
        <f t="shared" si="20"/>
        <v>322454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0"/>
        <v>107800</v>
      </c>
      <c r="G49" s="55">
        <f t="shared" si="20"/>
        <v>101850</v>
      </c>
      <c r="H49" s="55">
        <f t="shared" si="20"/>
        <v>111933.33333333334</v>
      </c>
      <c r="I49" s="55">
        <f t="shared" si="20"/>
        <v>107925</v>
      </c>
      <c r="J49" s="55">
        <f t="shared" si="20"/>
        <v>97120</v>
      </c>
      <c r="K49" s="55">
        <f t="shared" si="20"/>
        <v>134216.66666666666</v>
      </c>
      <c r="L49" s="55">
        <f t="shared" si="20"/>
        <v>122742.85714285713</v>
      </c>
      <c r="M49" s="55">
        <f t="shared" si="20"/>
        <v>167125</v>
      </c>
      <c r="N49" s="55">
        <f t="shared" si="20"/>
        <v>205377.77777777778</v>
      </c>
      <c r="O49" s="55">
        <f t="shared" si="20"/>
        <v>239390</v>
      </c>
      <c r="P49" s="55">
        <f t="shared" si="20"/>
        <v>217627.27272727271</v>
      </c>
      <c r="Q49" s="55">
        <f t="shared" si="20"/>
        <v>199491.66666666669</v>
      </c>
      <c r="R49" s="55">
        <f t="shared" si="20"/>
        <v>199984.61538461538</v>
      </c>
      <c r="S49" s="55">
        <f t="shared" si="20"/>
        <v>192550</v>
      </c>
      <c r="T49" s="55">
        <f t="shared" si="20"/>
        <v>192500</v>
      </c>
      <c r="U49" s="55">
        <f t="shared" si="20"/>
        <v>180468.75</v>
      </c>
      <c r="V49" s="55">
        <f t="shared" si="20"/>
        <v>186700</v>
      </c>
      <c r="W49" s="55">
        <f t="shared" si="20"/>
        <v>178872.22222222222</v>
      </c>
      <c r="X49" s="55">
        <f t="shared" si="20"/>
        <v>180294.73684210528</v>
      </c>
      <c r="Y49" s="55">
        <f t="shared" si="20"/>
        <v>176670</v>
      </c>
      <c r="AX49"/>
    </row>
    <row r="50" spans="2:50">
      <c r="B50" s="4" t="s">
        <v>1</v>
      </c>
      <c r="C50" s="37">
        <v>275000</v>
      </c>
      <c r="D50" s="4"/>
      <c r="E50" s="4"/>
      <c r="F50" s="55">
        <f t="shared" si="20"/>
        <v>1262300</v>
      </c>
      <c r="G50" s="55">
        <f t="shared" si="20"/>
        <v>746100</v>
      </c>
      <c r="H50" s="55">
        <f t="shared" si="20"/>
        <v>640600</v>
      </c>
      <c r="I50" s="55">
        <f t="shared" si="20"/>
        <v>552750</v>
      </c>
      <c r="J50" s="55">
        <f t="shared" si="20"/>
        <v>476160</v>
      </c>
      <c r="K50" s="55">
        <f t="shared" si="20"/>
        <v>415100</v>
      </c>
      <c r="L50" s="55">
        <f t="shared" si="20"/>
        <v>370071.42857142852</v>
      </c>
      <c r="M50" s="55">
        <f t="shared" si="20"/>
        <v>330062.5</v>
      </c>
      <c r="N50" s="55">
        <f t="shared" si="20"/>
        <v>306711.11111111112</v>
      </c>
      <c r="O50" s="55">
        <f t="shared" si="20"/>
        <v>316610</v>
      </c>
      <c r="P50" s="55">
        <f t="shared" si="20"/>
        <v>287827.27272727271</v>
      </c>
      <c r="Q50" s="55">
        <f t="shared" si="20"/>
        <v>282983.33333333331</v>
      </c>
      <c r="R50" s="55">
        <f t="shared" si="20"/>
        <v>269100</v>
      </c>
      <c r="S50" s="55">
        <f t="shared" si="20"/>
        <v>264585.71428571426</v>
      </c>
      <c r="T50" s="55">
        <f t="shared" si="20"/>
        <v>273220</v>
      </c>
      <c r="U50" s="55">
        <f t="shared" si="20"/>
        <v>267387.5</v>
      </c>
      <c r="V50" s="55">
        <f t="shared" si="20"/>
        <v>266411.76470588235</v>
      </c>
      <c r="W50" s="55">
        <f t="shared" si="20"/>
        <v>284827.77777777775</v>
      </c>
      <c r="X50" s="55">
        <f t="shared" si="20"/>
        <v>289810.52631578944</v>
      </c>
      <c r="Y50" s="55">
        <f t="shared" si="20"/>
        <v>279645</v>
      </c>
      <c r="AX50"/>
    </row>
    <row r="51" spans="2:50">
      <c r="B51" s="4" t="s">
        <v>2</v>
      </c>
      <c r="C51" s="37">
        <v>223000</v>
      </c>
      <c r="D51" s="4"/>
      <c r="E51" s="4"/>
      <c r="F51" s="55">
        <f t="shared" si="20"/>
        <v>129100</v>
      </c>
      <c r="G51" s="55">
        <f t="shared" si="20"/>
        <v>159450</v>
      </c>
      <c r="H51" s="55">
        <f t="shared" si="20"/>
        <v>106300</v>
      </c>
      <c r="I51" s="55">
        <f t="shared" si="20"/>
        <v>108180</v>
      </c>
      <c r="J51" s="55">
        <f t="shared" si="20"/>
        <v>86544</v>
      </c>
      <c r="K51" s="55">
        <f t="shared" si="20"/>
        <v>72120</v>
      </c>
      <c r="L51" s="55">
        <f t="shared" si="20"/>
        <v>61817.142857142855</v>
      </c>
      <c r="M51" s="55">
        <f t="shared" si="20"/>
        <v>54090</v>
      </c>
      <c r="N51" s="55">
        <f t="shared" si="20"/>
        <v>54402.222222222226</v>
      </c>
      <c r="O51" s="55">
        <f t="shared" si="20"/>
        <v>48962</v>
      </c>
      <c r="P51" s="55">
        <f t="shared" si="20"/>
        <v>102150.9090909091</v>
      </c>
      <c r="Q51" s="55">
        <f t="shared" si="20"/>
        <v>93638.333333333343</v>
      </c>
      <c r="R51" s="55">
        <f t="shared" si="20"/>
        <v>92281.538461538454</v>
      </c>
      <c r="S51" s="55">
        <f t="shared" si="20"/>
        <v>93818.571428571435</v>
      </c>
      <c r="T51" s="55">
        <f t="shared" si="20"/>
        <v>101738.66666666667</v>
      </c>
      <c r="U51" s="55">
        <f t="shared" si="20"/>
        <v>98402.5</v>
      </c>
      <c r="V51" s="55">
        <f t="shared" si="20"/>
        <v>92614.117647058825</v>
      </c>
      <c r="W51" s="55">
        <f t="shared" si="20"/>
        <v>87468.888888888891</v>
      </c>
      <c r="X51" s="55">
        <f t="shared" si="20"/>
        <v>82865.263157894733</v>
      </c>
      <c r="Y51" s="55">
        <f t="shared" si="20"/>
        <v>87253</v>
      </c>
      <c r="AA51" s="48"/>
    </row>
    <row r="52" spans="2:50">
      <c r="B52" s="4" t="s">
        <v>63</v>
      </c>
      <c r="C52" s="37">
        <v>125000</v>
      </c>
      <c r="D52" s="4"/>
      <c r="E52" s="4"/>
      <c r="F52" s="55">
        <f t="shared" si="20"/>
        <v>88440</v>
      </c>
      <c r="G52" s="55">
        <f t="shared" si="20"/>
        <v>44220</v>
      </c>
      <c r="H52" s="55">
        <f t="shared" si="20"/>
        <v>41733.333333333328</v>
      </c>
      <c r="I52" s="55">
        <f t="shared" si="20"/>
        <v>31300</v>
      </c>
      <c r="J52" s="55">
        <f t="shared" si="20"/>
        <v>29928</v>
      </c>
      <c r="K52" s="55">
        <f t="shared" si="20"/>
        <v>34923.333333333336</v>
      </c>
      <c r="L52" s="55">
        <f t="shared" si="20"/>
        <v>38491.428571428572</v>
      </c>
      <c r="M52" s="55">
        <f t="shared" si="20"/>
        <v>33680</v>
      </c>
      <c r="N52" s="55">
        <f t="shared" si="20"/>
        <v>29937.777777777777</v>
      </c>
      <c r="O52" s="55">
        <f t="shared" si="20"/>
        <v>26944</v>
      </c>
      <c r="P52" s="55">
        <f t="shared" si="20"/>
        <v>34485.454545454544</v>
      </c>
      <c r="Q52" s="55">
        <f t="shared" si="20"/>
        <v>31611.666666666664</v>
      </c>
      <c r="R52" s="55">
        <f t="shared" si="20"/>
        <v>30889.230769230773</v>
      </c>
      <c r="S52" s="55">
        <f t="shared" si="20"/>
        <v>28682.857142857141</v>
      </c>
      <c r="T52" s="55">
        <f t="shared" si="20"/>
        <v>30764</v>
      </c>
      <c r="U52" s="55">
        <f t="shared" si="20"/>
        <v>28841.25</v>
      </c>
      <c r="V52" s="55">
        <f t="shared" si="20"/>
        <v>27144.705882352941</v>
      </c>
      <c r="W52" s="55">
        <f t="shared" si="20"/>
        <v>25636.666666666664</v>
      </c>
      <c r="X52" s="55">
        <f t="shared" si="20"/>
        <v>27211.57894736842</v>
      </c>
      <c r="Y52" s="55">
        <f t="shared" si="20"/>
        <v>25851</v>
      </c>
      <c r="AA52" s="48"/>
    </row>
    <row r="53" spans="2:50">
      <c r="B53" s="4" t="s">
        <v>3</v>
      </c>
      <c r="C53" s="38">
        <v>418000</v>
      </c>
      <c r="D53" s="19"/>
      <c r="E53" s="19"/>
      <c r="F53" s="98">
        <f t="shared" si="20"/>
        <v>241080</v>
      </c>
      <c r="G53" s="98">
        <f t="shared" si="20"/>
        <v>328440</v>
      </c>
      <c r="H53" s="98">
        <f t="shared" si="20"/>
        <v>296746.66666666669</v>
      </c>
      <c r="I53" s="98">
        <f t="shared" si="20"/>
        <v>250885</v>
      </c>
      <c r="J53" s="98">
        <f t="shared" si="20"/>
        <v>278136</v>
      </c>
      <c r="K53" s="98">
        <f t="shared" si="20"/>
        <v>231780</v>
      </c>
      <c r="L53" s="98">
        <f t="shared" si="20"/>
        <v>259757.14285714287</v>
      </c>
      <c r="M53" s="98">
        <f t="shared" si="20"/>
        <v>274652.5</v>
      </c>
      <c r="N53" s="98">
        <f t="shared" si="20"/>
        <v>287384.44444444444</v>
      </c>
      <c r="O53" s="98">
        <f t="shared" si="20"/>
        <v>280738</v>
      </c>
      <c r="P53" s="98">
        <f t="shared" si="20"/>
        <v>283361.81818181818</v>
      </c>
      <c r="Q53" s="98">
        <f t="shared" si="20"/>
        <v>287788.33333333331</v>
      </c>
      <c r="R53" s="98">
        <f t="shared" si="20"/>
        <v>270829.23076923075</v>
      </c>
      <c r="S53" s="98">
        <f t="shared" si="20"/>
        <v>261797.14285714287</v>
      </c>
      <c r="T53" s="98">
        <f t="shared" si="20"/>
        <v>280614.66666666669</v>
      </c>
      <c r="U53" s="98">
        <f t="shared" si="20"/>
        <v>283092.5</v>
      </c>
      <c r="V53" s="98">
        <f t="shared" si="20"/>
        <v>279898.82352941175</v>
      </c>
      <c r="W53" s="98">
        <f t="shared" si="20"/>
        <v>279720</v>
      </c>
      <c r="X53" s="98">
        <f t="shared" si="20"/>
        <v>274282.10526315792</v>
      </c>
      <c r="Y53" s="98">
        <f t="shared" si="20"/>
        <v>287857</v>
      </c>
    </row>
    <row r="54" spans="2:50">
      <c r="B54" s="14" t="s">
        <v>27</v>
      </c>
      <c r="C54" s="39">
        <f>SUM(C48:C53)</f>
        <v>1561000</v>
      </c>
      <c r="D54" s="10">
        <f>SUM(D48:D53)</f>
        <v>0</v>
      </c>
      <c r="E54" s="10"/>
      <c r="F54" s="10">
        <f t="shared" ref="F54:Y54" si="21">SUM(F48:F53)</f>
        <v>2277340</v>
      </c>
      <c r="G54" s="10">
        <f t="shared" si="21"/>
        <v>1680670</v>
      </c>
      <c r="H54" s="10">
        <f t="shared" si="21"/>
        <v>1450420</v>
      </c>
      <c r="I54" s="10">
        <f t="shared" si="21"/>
        <v>1387460</v>
      </c>
      <c r="J54" s="10">
        <f t="shared" si="21"/>
        <v>1289444</v>
      </c>
      <c r="K54" s="10">
        <f t="shared" si="21"/>
        <v>1203450</v>
      </c>
      <c r="L54" s="10">
        <f t="shared" si="21"/>
        <v>1158154.2857142857</v>
      </c>
      <c r="M54" s="10">
        <f t="shared" si="21"/>
        <v>1173377.5</v>
      </c>
      <c r="N54" s="10">
        <f t="shared" si="21"/>
        <v>1235506.6666666667</v>
      </c>
      <c r="O54" s="10">
        <f t="shared" si="21"/>
        <v>1274724</v>
      </c>
      <c r="P54" s="10">
        <f t="shared" si="21"/>
        <v>1280252.7272727273</v>
      </c>
      <c r="Q54" s="10">
        <f t="shared" si="21"/>
        <v>1235904.9999999998</v>
      </c>
      <c r="R54" s="10">
        <f t="shared" si="21"/>
        <v>1201976.923076923</v>
      </c>
      <c r="S54" s="10">
        <f t="shared" si="21"/>
        <v>1194571.4285714286</v>
      </c>
      <c r="T54" s="10">
        <f t="shared" si="21"/>
        <v>1208432</v>
      </c>
      <c r="U54" s="10">
        <f t="shared" si="21"/>
        <v>1206756.25</v>
      </c>
      <c r="V54" s="10">
        <f t="shared" si="21"/>
        <v>1200788.2352941176</v>
      </c>
      <c r="W54" s="10">
        <f t="shared" si="21"/>
        <v>1199813.3333333333</v>
      </c>
      <c r="X54" s="10">
        <f t="shared" si="21"/>
        <v>1177947.3684210526</v>
      </c>
      <c r="Y54" s="10">
        <f t="shared" si="21"/>
        <v>1179730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>
      <selection activeCell="E38" sqref="E38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88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60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19750</v>
      </c>
      <c r="D6" s="10"/>
      <c r="E6" s="11">
        <v>36520</v>
      </c>
      <c r="F6" s="122">
        <v>16980</v>
      </c>
      <c r="G6" s="122">
        <v>17490</v>
      </c>
      <c r="H6" s="122">
        <v>17490</v>
      </c>
      <c r="I6" s="122">
        <v>15440</v>
      </c>
      <c r="J6" s="122">
        <v>13370</v>
      </c>
      <c r="K6" s="122">
        <v>15335</v>
      </c>
      <c r="L6" s="122">
        <v>13655</v>
      </c>
      <c r="M6" s="122">
        <v>25180</v>
      </c>
      <c r="N6" s="122">
        <v>11005</v>
      </c>
      <c r="O6" s="122">
        <v>18985</v>
      </c>
      <c r="P6" s="122">
        <v>10490</v>
      </c>
      <c r="Q6" s="34">
        <v>8995</v>
      </c>
      <c r="R6" s="34">
        <v>16485</v>
      </c>
      <c r="S6" s="34">
        <v>7995</v>
      </c>
      <c r="T6" s="34">
        <v>16485</v>
      </c>
      <c r="U6" s="34">
        <v>13985</v>
      </c>
      <c r="V6" s="34">
        <v>10990</v>
      </c>
      <c r="W6" s="34">
        <v>8055</v>
      </c>
      <c r="X6" s="34">
        <v>8985</v>
      </c>
      <c r="Y6" s="34">
        <v>30906</v>
      </c>
      <c r="Z6" s="69">
        <f t="shared" ref="Z6:Z11" si="1">(SUM(F6:Y6)/(COUNT(F6:Y6)))</f>
        <v>14915.05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0</v>
      </c>
      <c r="F7" s="122">
        <v>4795</v>
      </c>
      <c r="G7" s="122">
        <v>10445</v>
      </c>
      <c r="H7" s="122">
        <v>12585</v>
      </c>
      <c r="I7" s="122">
        <v>12185</v>
      </c>
      <c r="J7" s="122">
        <v>11980</v>
      </c>
      <c r="K7" s="122">
        <v>8595</v>
      </c>
      <c r="L7" s="122">
        <v>3800</v>
      </c>
      <c r="M7" s="122">
        <v>10495</v>
      </c>
      <c r="N7" s="122">
        <v>4795</v>
      </c>
      <c r="O7" s="122">
        <v>2695</v>
      </c>
      <c r="P7" s="122">
        <v>17090</v>
      </c>
      <c r="Q7" s="34">
        <v>2695</v>
      </c>
      <c r="R7" s="34">
        <v>8995</v>
      </c>
      <c r="S7" s="34">
        <v>2200</v>
      </c>
      <c r="T7" s="34">
        <v>0</v>
      </c>
      <c r="U7" s="34">
        <v>0</v>
      </c>
      <c r="V7" s="34">
        <v>7300</v>
      </c>
      <c r="W7" s="34">
        <v>11390</v>
      </c>
      <c r="X7" s="34">
        <v>0</v>
      </c>
      <c r="Y7" s="34">
        <v>2290</v>
      </c>
      <c r="Z7" s="115">
        <f t="shared" si="1"/>
        <v>6716.5</v>
      </c>
      <c r="AA7" s="103"/>
      <c r="AX7"/>
    </row>
    <row r="8" spans="1:50">
      <c r="B8" s="4" t="s">
        <v>1</v>
      </c>
      <c r="C8" s="20">
        <f t="shared" si="0"/>
        <v>15000</v>
      </c>
      <c r="D8" s="10"/>
      <c r="E8" s="11">
        <v>11660</v>
      </c>
      <c r="F8" s="122">
        <v>18700</v>
      </c>
      <c r="G8" s="122">
        <v>19520</v>
      </c>
      <c r="H8" s="122">
        <v>14490</v>
      </c>
      <c r="I8" s="122">
        <v>12045</v>
      </c>
      <c r="J8" s="122">
        <v>17090</v>
      </c>
      <c r="K8" s="122">
        <v>13490</v>
      </c>
      <c r="L8" s="122">
        <v>15785</v>
      </c>
      <c r="M8" s="122">
        <v>21485</v>
      </c>
      <c r="N8" s="122">
        <v>10995</v>
      </c>
      <c r="O8" s="122">
        <v>27475</v>
      </c>
      <c r="P8" s="122">
        <v>25455</v>
      </c>
      <c r="Q8" s="34">
        <v>30525</v>
      </c>
      <c r="R8" s="34">
        <v>24530</v>
      </c>
      <c r="S8" s="34">
        <v>20480</v>
      </c>
      <c r="T8" s="34">
        <v>19980</v>
      </c>
      <c r="U8" s="34">
        <v>2545</v>
      </c>
      <c r="V8" s="34">
        <v>15485</v>
      </c>
      <c r="W8" s="34">
        <v>19580</v>
      </c>
      <c r="X8" s="34">
        <v>13540</v>
      </c>
      <c r="Y8" s="34">
        <v>11890</v>
      </c>
      <c r="Z8" s="115">
        <f t="shared" si="1"/>
        <v>17754.25</v>
      </c>
      <c r="AA8" s="103"/>
      <c r="AX8"/>
    </row>
    <row r="9" spans="1:50">
      <c r="B9" s="4" t="s">
        <v>2</v>
      </c>
      <c r="C9" s="20">
        <f t="shared" si="0"/>
        <v>12112.5</v>
      </c>
      <c r="D9" s="10"/>
      <c r="E9" s="11">
        <v>4436</v>
      </c>
      <c r="F9" s="122">
        <v>3790</v>
      </c>
      <c r="G9" s="122">
        <v>2995</v>
      </c>
      <c r="H9" s="122">
        <v>2995</v>
      </c>
      <c r="I9" s="122">
        <v>4990</v>
      </c>
      <c r="J9" s="122">
        <v>0</v>
      </c>
      <c r="K9" s="122">
        <v>0</v>
      </c>
      <c r="L9" s="122">
        <v>11908</v>
      </c>
      <c r="M9" s="122">
        <v>8065</v>
      </c>
      <c r="N9" s="122">
        <v>5220</v>
      </c>
      <c r="O9" s="122">
        <v>0</v>
      </c>
      <c r="P9" s="122">
        <v>9542</v>
      </c>
      <c r="Q9" s="34">
        <v>0</v>
      </c>
      <c r="R9" s="34">
        <v>0</v>
      </c>
      <c r="S9" s="34">
        <v>7168</v>
      </c>
      <c r="T9" s="34">
        <v>8065</v>
      </c>
      <c r="U9" s="81">
        <v>0</v>
      </c>
      <c r="V9" s="34">
        <v>2845</v>
      </c>
      <c r="W9" s="34">
        <v>10241</v>
      </c>
      <c r="X9" s="34">
        <v>2417</v>
      </c>
      <c r="Y9" s="34">
        <v>1900</v>
      </c>
      <c r="Z9" s="69">
        <f t="shared" si="1"/>
        <v>4107.05</v>
      </c>
      <c r="AA9" s="103"/>
      <c r="AX9"/>
    </row>
    <row r="10" spans="1:50">
      <c r="B10" s="4" t="s">
        <v>63</v>
      </c>
      <c r="C10" s="20">
        <f t="shared" si="0"/>
        <v>6250</v>
      </c>
      <c r="D10" s="10"/>
      <c r="E10" s="11">
        <v>0</v>
      </c>
      <c r="F10" s="122">
        <v>0</v>
      </c>
      <c r="G10" s="122">
        <v>0</v>
      </c>
      <c r="H10" s="122">
        <v>0</v>
      </c>
      <c r="I10" s="122">
        <v>2995</v>
      </c>
      <c r="J10" s="122">
        <v>0</v>
      </c>
      <c r="K10" s="122">
        <v>0</v>
      </c>
      <c r="L10" s="122">
        <v>0</v>
      </c>
      <c r="M10" s="122">
        <v>2222</v>
      </c>
      <c r="N10" s="122">
        <v>4000</v>
      </c>
      <c r="O10" s="122">
        <v>0</v>
      </c>
      <c r="P10" s="122">
        <v>0</v>
      </c>
      <c r="Q10" s="34">
        <v>0</v>
      </c>
      <c r="R10" s="34">
        <v>6795</v>
      </c>
      <c r="S10" s="81">
        <v>0</v>
      </c>
      <c r="T10" s="34">
        <v>2100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69">
        <f t="shared" si="1"/>
        <v>905.6</v>
      </c>
      <c r="AA10" s="103"/>
      <c r="AX10"/>
    </row>
    <row r="11" spans="1:50">
      <c r="B11" s="4" t="s">
        <v>3</v>
      </c>
      <c r="C11" s="21">
        <f t="shared" si="0"/>
        <v>20910</v>
      </c>
      <c r="D11" s="13"/>
      <c r="E11" s="40">
        <v>34356</v>
      </c>
      <c r="F11" s="124">
        <v>19209</v>
      </c>
      <c r="G11" s="124">
        <v>16524</v>
      </c>
      <c r="H11" s="124">
        <v>12436</v>
      </c>
      <c r="I11" s="124">
        <v>12734</v>
      </c>
      <c r="J11" s="124">
        <v>15365</v>
      </c>
      <c r="K11" s="124">
        <v>16526</v>
      </c>
      <c r="L11" s="124">
        <v>13477</v>
      </c>
      <c r="M11" s="124">
        <v>9902</v>
      </c>
      <c r="N11" s="124">
        <v>14502</v>
      </c>
      <c r="O11" s="124">
        <v>17142</v>
      </c>
      <c r="P11" s="124">
        <v>21503</v>
      </c>
      <c r="Q11" s="35">
        <v>13256</v>
      </c>
      <c r="R11" s="35">
        <v>10264</v>
      </c>
      <c r="S11" s="35">
        <v>15035</v>
      </c>
      <c r="T11" s="35">
        <v>15694</v>
      </c>
      <c r="U11" s="35">
        <v>10797</v>
      </c>
      <c r="V11" s="35">
        <v>15083</v>
      </c>
      <c r="W11" s="35">
        <v>13182</v>
      </c>
      <c r="X11" s="35">
        <v>21059</v>
      </c>
      <c r="Y11" s="35">
        <v>15197</v>
      </c>
      <c r="Z11" s="69">
        <f t="shared" si="1"/>
        <v>14944.35</v>
      </c>
      <c r="AA11" s="103"/>
      <c r="AX11"/>
    </row>
    <row r="12" spans="1:50" ht="15.75" thickBot="1">
      <c r="B12" s="14" t="s">
        <v>27</v>
      </c>
      <c r="C12" s="20">
        <f>SUM(C6:C11)</f>
        <v>80272.5</v>
      </c>
      <c r="D12" s="10"/>
      <c r="E12" s="11">
        <f t="shared" ref="E12:Y12" si="2">SUM(E6:E11)</f>
        <v>86972</v>
      </c>
      <c r="F12" s="10">
        <f t="shared" si="2"/>
        <v>63474</v>
      </c>
      <c r="G12" s="10">
        <f t="shared" si="2"/>
        <v>66974</v>
      </c>
      <c r="H12" s="10">
        <f t="shared" si="2"/>
        <v>59996</v>
      </c>
      <c r="I12" s="10">
        <f t="shared" si="2"/>
        <v>60389</v>
      </c>
      <c r="J12" s="10">
        <f t="shared" si="2"/>
        <v>57805</v>
      </c>
      <c r="K12" s="10">
        <f t="shared" si="2"/>
        <v>53946</v>
      </c>
      <c r="L12" s="10">
        <f t="shared" si="2"/>
        <v>58625</v>
      </c>
      <c r="M12" s="10">
        <f t="shared" si="2"/>
        <v>77349</v>
      </c>
      <c r="N12" s="10">
        <f t="shared" si="2"/>
        <v>50517</v>
      </c>
      <c r="O12" s="10">
        <f t="shared" si="2"/>
        <v>66297</v>
      </c>
      <c r="P12" s="10">
        <f t="shared" si="2"/>
        <v>84080</v>
      </c>
      <c r="Q12" s="10">
        <f t="shared" si="2"/>
        <v>55471</v>
      </c>
      <c r="R12" s="10">
        <f t="shared" si="2"/>
        <v>67069</v>
      </c>
      <c r="S12" s="10">
        <f t="shared" si="2"/>
        <v>52878</v>
      </c>
      <c r="T12" s="10">
        <f t="shared" si="2"/>
        <v>62324</v>
      </c>
      <c r="U12" s="10">
        <f t="shared" si="2"/>
        <v>27327</v>
      </c>
      <c r="V12" s="10">
        <f t="shared" si="2"/>
        <v>51703</v>
      </c>
      <c r="W12" s="10">
        <f t="shared" si="2"/>
        <v>62448</v>
      </c>
      <c r="X12" s="10">
        <f t="shared" si="2"/>
        <v>46001</v>
      </c>
      <c r="Y12" s="10">
        <f t="shared" si="2"/>
        <v>62183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59342.8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0.85974683544303798</v>
      </c>
      <c r="G17" s="25">
        <f t="shared" si="4"/>
        <v>0.88556962025316455</v>
      </c>
      <c r="H17" s="25">
        <f t="shared" si="4"/>
        <v>0.88556962025316455</v>
      </c>
      <c r="I17" s="25">
        <f t="shared" si="4"/>
        <v>0.78177215189873417</v>
      </c>
      <c r="J17" s="25">
        <f t="shared" si="4"/>
        <v>0.67696202531645566</v>
      </c>
      <c r="K17" s="25">
        <f t="shared" si="4"/>
        <v>0.77645569620253163</v>
      </c>
      <c r="L17" s="25">
        <f t="shared" si="4"/>
        <v>0.69139240506329114</v>
      </c>
      <c r="M17" s="25">
        <f t="shared" si="4"/>
        <v>1.2749367088607595</v>
      </c>
      <c r="N17" s="25">
        <f t="shared" si="4"/>
        <v>0.55721518987341767</v>
      </c>
      <c r="O17" s="25">
        <f t="shared" si="4"/>
        <v>0.9612658227848101</v>
      </c>
      <c r="P17" s="25">
        <f t="shared" si="4"/>
        <v>0.5311392405063291</v>
      </c>
      <c r="Q17" s="25">
        <f t="shared" si="4"/>
        <v>0.45544303797468355</v>
      </c>
      <c r="R17" s="25">
        <f t="shared" si="4"/>
        <v>0.83468354430379743</v>
      </c>
      <c r="S17" s="25">
        <f t="shared" si="4"/>
        <v>0.40481012658227844</v>
      </c>
      <c r="T17" s="25">
        <f t="shared" si="4"/>
        <v>0.83468354430379743</v>
      </c>
      <c r="U17" s="25">
        <f t="shared" si="4"/>
        <v>0.70810126582278476</v>
      </c>
      <c r="V17" s="25">
        <f t="shared" si="4"/>
        <v>0.55645569620253166</v>
      </c>
      <c r="W17" s="25">
        <f t="shared" si="4"/>
        <v>0.40784810126582283</v>
      </c>
      <c r="X17" s="25">
        <f t="shared" si="4"/>
        <v>0.45493670886075954</v>
      </c>
      <c r="Y17" s="25">
        <f t="shared" si="4"/>
        <v>1.564860759493671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0.76719999999999999</v>
      </c>
      <c r="G18" s="25">
        <f t="shared" si="4"/>
        <v>1.6712</v>
      </c>
      <c r="H18" s="25">
        <f t="shared" si="4"/>
        <v>2.0136000000000003</v>
      </c>
      <c r="I18" s="25">
        <f t="shared" si="4"/>
        <v>1.9496</v>
      </c>
      <c r="J18" s="25">
        <f t="shared" si="4"/>
        <v>1.9167999999999998</v>
      </c>
      <c r="K18" s="25">
        <f t="shared" si="4"/>
        <v>1.3752</v>
      </c>
      <c r="L18" s="25">
        <f t="shared" si="4"/>
        <v>0.60799999999999998</v>
      </c>
      <c r="M18" s="25">
        <f t="shared" si="4"/>
        <v>1.6792</v>
      </c>
      <c r="N18" s="25">
        <f t="shared" si="4"/>
        <v>0.76719999999999999</v>
      </c>
      <c r="O18" s="25">
        <f t="shared" si="4"/>
        <v>0.43120000000000003</v>
      </c>
      <c r="P18" s="25">
        <f t="shared" si="4"/>
        <v>2.7343999999999999</v>
      </c>
      <c r="Q18" s="25">
        <f t="shared" si="4"/>
        <v>0.43120000000000003</v>
      </c>
      <c r="R18" s="25">
        <f t="shared" si="4"/>
        <v>1.4392</v>
      </c>
      <c r="S18" s="25">
        <f t="shared" si="4"/>
        <v>0.35199999999999998</v>
      </c>
      <c r="T18" s="25">
        <f t="shared" si="4"/>
        <v>0</v>
      </c>
      <c r="U18" s="25">
        <f t="shared" si="4"/>
        <v>0</v>
      </c>
      <c r="V18" s="25">
        <f t="shared" si="4"/>
        <v>1.1679999999999999</v>
      </c>
      <c r="W18" s="25">
        <f t="shared" si="4"/>
        <v>1.8224</v>
      </c>
      <c r="X18" s="25">
        <f t="shared" si="4"/>
        <v>0</v>
      </c>
      <c r="Y18" s="25">
        <f t="shared" si="4"/>
        <v>0.36639999999999995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1.2466666666666666</v>
      </c>
      <c r="G19" s="25">
        <f t="shared" si="4"/>
        <v>1.3013333333333335</v>
      </c>
      <c r="H19" s="25">
        <f t="shared" si="4"/>
        <v>0.96599999999999997</v>
      </c>
      <c r="I19" s="25">
        <f t="shared" si="4"/>
        <v>0.80299999999999994</v>
      </c>
      <c r="J19" s="25">
        <f t="shared" si="4"/>
        <v>1.1393333333333333</v>
      </c>
      <c r="K19" s="25">
        <f t="shared" si="4"/>
        <v>0.89933333333333332</v>
      </c>
      <c r="L19" s="25">
        <f t="shared" si="4"/>
        <v>1.0523333333333333</v>
      </c>
      <c r="M19" s="25">
        <f t="shared" si="4"/>
        <v>1.4323333333333332</v>
      </c>
      <c r="N19" s="25">
        <f t="shared" si="4"/>
        <v>0.73299999999999998</v>
      </c>
      <c r="O19" s="25">
        <f t="shared" si="4"/>
        <v>1.8316666666666666</v>
      </c>
      <c r="P19" s="25">
        <f t="shared" si="4"/>
        <v>1.6970000000000001</v>
      </c>
      <c r="Q19" s="25">
        <f t="shared" si="4"/>
        <v>2.0350000000000001</v>
      </c>
      <c r="R19" s="25">
        <f t="shared" si="4"/>
        <v>1.6353333333333333</v>
      </c>
      <c r="S19" s="25">
        <f t="shared" si="4"/>
        <v>1.3653333333333333</v>
      </c>
      <c r="T19" s="25">
        <f t="shared" si="4"/>
        <v>1.3320000000000001</v>
      </c>
      <c r="U19" s="25">
        <f t="shared" si="4"/>
        <v>0.16966666666666663</v>
      </c>
      <c r="V19" s="25">
        <f t="shared" si="4"/>
        <v>1.0323333333333333</v>
      </c>
      <c r="W19" s="25">
        <f t="shared" si="4"/>
        <v>1.3053333333333335</v>
      </c>
      <c r="X19" s="25">
        <f t="shared" si="4"/>
        <v>0.90266666666666673</v>
      </c>
      <c r="Y19" s="25">
        <f t="shared" si="4"/>
        <v>0.79266666666666663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0.31289989680082564</v>
      </c>
      <c r="G20" s="25">
        <f t="shared" si="4"/>
        <v>0.24726522187822497</v>
      </c>
      <c r="H20" s="25">
        <f t="shared" si="4"/>
        <v>0.24726522187822497</v>
      </c>
      <c r="I20" s="25">
        <f t="shared" si="4"/>
        <v>0.41197110423116612</v>
      </c>
      <c r="J20" s="25">
        <f t="shared" si="4"/>
        <v>0</v>
      </c>
      <c r="K20" s="25">
        <f t="shared" si="4"/>
        <v>0</v>
      </c>
      <c r="L20" s="25">
        <f t="shared" si="4"/>
        <v>0.98311661506707948</v>
      </c>
      <c r="M20" s="25">
        <f t="shared" si="4"/>
        <v>0.66584107327141384</v>
      </c>
      <c r="N20" s="25">
        <f t="shared" si="4"/>
        <v>0.43095975232198147</v>
      </c>
      <c r="O20" s="25">
        <f t="shared" si="4"/>
        <v>0</v>
      </c>
      <c r="P20" s="25">
        <f t="shared" si="4"/>
        <v>0.787781217750258</v>
      </c>
      <c r="Q20" s="25">
        <f t="shared" si="4"/>
        <v>0</v>
      </c>
      <c r="R20" s="25">
        <f t="shared" si="4"/>
        <v>0</v>
      </c>
      <c r="S20" s="25">
        <f t="shared" si="4"/>
        <v>0.59178534571723418</v>
      </c>
      <c r="T20" s="25">
        <f t="shared" si="4"/>
        <v>0.66584107327141384</v>
      </c>
      <c r="U20" s="25">
        <f t="shared" si="4"/>
        <v>0</v>
      </c>
      <c r="V20" s="25">
        <f t="shared" si="4"/>
        <v>0.23488132094943237</v>
      </c>
      <c r="W20" s="25">
        <f t="shared" si="4"/>
        <v>0.84549019607843134</v>
      </c>
      <c r="X20" s="25">
        <f t="shared" si="4"/>
        <v>0.19954592363261092</v>
      </c>
      <c r="Y20" s="25">
        <f t="shared" si="4"/>
        <v>0.15686274509803921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</v>
      </c>
      <c r="H21" s="25">
        <f t="shared" si="4"/>
        <v>0</v>
      </c>
      <c r="I21" s="25">
        <f t="shared" si="4"/>
        <v>0.47919999999999996</v>
      </c>
      <c r="J21" s="25">
        <f t="shared" si="4"/>
        <v>0</v>
      </c>
      <c r="K21" s="25">
        <f t="shared" si="4"/>
        <v>0</v>
      </c>
      <c r="L21" s="25">
        <f t="shared" si="4"/>
        <v>0</v>
      </c>
      <c r="M21" s="25">
        <f t="shared" si="4"/>
        <v>0.35551999999999995</v>
      </c>
      <c r="N21" s="25">
        <f t="shared" si="4"/>
        <v>0.64</v>
      </c>
      <c r="O21" s="25">
        <f t="shared" si="4"/>
        <v>0</v>
      </c>
      <c r="P21" s="25">
        <f t="shared" si="4"/>
        <v>0</v>
      </c>
      <c r="Q21" s="25">
        <f t="shared" si="4"/>
        <v>0</v>
      </c>
      <c r="R21" s="25">
        <f t="shared" si="4"/>
        <v>1.0871999999999999</v>
      </c>
      <c r="S21" s="25">
        <f t="shared" si="4"/>
        <v>0</v>
      </c>
      <c r="T21" s="25">
        <f t="shared" si="4"/>
        <v>0.33599999999999997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0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0.91865136298421812</v>
      </c>
      <c r="G22" s="27">
        <f t="shared" si="4"/>
        <v>0.79024390243902443</v>
      </c>
      <c r="H22" s="27">
        <f t="shared" si="4"/>
        <v>0.59473935915829745</v>
      </c>
      <c r="I22" s="27">
        <f t="shared" si="4"/>
        <v>0.60899091343854617</v>
      </c>
      <c r="J22" s="27">
        <f t="shared" si="4"/>
        <v>0.73481587757054045</v>
      </c>
      <c r="K22" s="27">
        <f t="shared" si="4"/>
        <v>0.79033955045432802</v>
      </c>
      <c r="L22" s="27">
        <f t="shared" si="4"/>
        <v>0.64452415112386419</v>
      </c>
      <c r="M22" s="27">
        <f t="shared" si="4"/>
        <v>0.47355332376853176</v>
      </c>
      <c r="N22" s="27">
        <f t="shared" si="4"/>
        <v>0.69354375896700149</v>
      </c>
      <c r="O22" s="27">
        <f t="shared" si="4"/>
        <v>0.81979913916786229</v>
      </c>
      <c r="P22" s="27">
        <f t="shared" si="4"/>
        <v>1.0283596365375418</v>
      </c>
      <c r="Q22" s="27">
        <f t="shared" si="4"/>
        <v>0.63395504543280734</v>
      </c>
      <c r="R22" s="27">
        <f t="shared" si="4"/>
        <v>0.49086561453849831</v>
      </c>
      <c r="S22" s="27">
        <f t="shared" si="4"/>
        <v>0.71903395504543277</v>
      </c>
      <c r="T22" s="27">
        <f t="shared" si="4"/>
        <v>0.75054997608799612</v>
      </c>
      <c r="U22" s="27">
        <f t="shared" si="4"/>
        <v>0.5163558106169297</v>
      </c>
      <c r="V22" s="27">
        <f t="shared" si="4"/>
        <v>0.72132950741272117</v>
      </c>
      <c r="W22" s="27">
        <f t="shared" si="4"/>
        <v>0.63041606886657098</v>
      </c>
      <c r="X22" s="27">
        <f t="shared" si="4"/>
        <v>1.0071257771401243</v>
      </c>
      <c r="Y22" s="27">
        <f t="shared" si="4"/>
        <v>0.72678144428503111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0.79073157058768573</v>
      </c>
      <c r="G23" s="25">
        <f t="shared" si="4"/>
        <v>0.83433305303808902</v>
      </c>
      <c r="H23" s="25">
        <f t="shared" si="4"/>
        <v>0.74740415459839915</v>
      </c>
      <c r="I23" s="25">
        <f t="shared" si="4"/>
        <v>0.75229997819925876</v>
      </c>
      <c r="J23" s="25">
        <f>(J12-$C12)/$C12+1</f>
        <v>0.72010962658444666</v>
      </c>
      <c r="K23" s="25">
        <f>(K12-$C12)/$C12+1</f>
        <v>0.67203587779127349</v>
      </c>
      <c r="L23" s="25">
        <f>(L12-$C12)/$C12+1</f>
        <v>0.7303248310442555</v>
      </c>
      <c r="M23" s="25">
        <f t="shared" si="4"/>
        <v>0.96358030458749888</v>
      </c>
      <c r="N23" s="25">
        <f t="shared" si="4"/>
        <v>0.62931888255629265</v>
      </c>
      <c r="O23" s="25">
        <f t="shared" si="4"/>
        <v>0.82589928057553963</v>
      </c>
      <c r="P23" s="25">
        <f t="shared" si="4"/>
        <v>1.0474321841228316</v>
      </c>
      <c r="Q23" s="25">
        <f t="shared" si="4"/>
        <v>0.69103366657323484</v>
      </c>
      <c r="R23" s="25">
        <f t="shared" si="4"/>
        <v>0.83551652184745706</v>
      </c>
      <c r="S23" s="25">
        <f>(S12-$C12)/$C12+1</f>
        <v>0.65873119686069326</v>
      </c>
      <c r="T23" s="25">
        <f>(T12-$C12)/$C12+1</f>
        <v>0.77640536921112457</v>
      </c>
      <c r="U23" s="25">
        <f>(U12-$C12)/$C12+1</f>
        <v>0.34042791740633471</v>
      </c>
      <c r="V23" s="25">
        <f>(V12-$C12)/$C12+1</f>
        <v>0.64409355632377219</v>
      </c>
      <c r="W23" s="25">
        <f>(W12-$C12)/$C12+1</f>
        <v>0.77795010744651028</v>
      </c>
      <c r="X23" s="25">
        <f t="shared" si="4"/>
        <v>0.57306051262885793</v>
      </c>
      <c r="Y23" s="25">
        <f t="shared" si="4"/>
        <v>0.77464885234669412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36520</v>
      </c>
      <c r="G27" s="23">
        <v>54010</v>
      </c>
      <c r="H27" s="23">
        <v>86940</v>
      </c>
      <c r="I27" s="23">
        <v>100310</v>
      </c>
      <c r="J27" s="23">
        <v>100310</v>
      </c>
      <c r="K27" s="23">
        <v>115645</v>
      </c>
      <c r="L27" s="122">
        <v>129300</v>
      </c>
      <c r="M27" s="122">
        <v>154480</v>
      </c>
      <c r="N27" s="122">
        <v>165485</v>
      </c>
      <c r="O27" s="122">
        <v>184470</v>
      </c>
      <c r="P27" s="122">
        <v>194960</v>
      </c>
      <c r="Q27" s="23">
        <v>203955</v>
      </c>
      <c r="R27" s="23">
        <v>220440</v>
      </c>
      <c r="S27" s="23">
        <v>225860</v>
      </c>
      <c r="T27" s="23">
        <v>233490</v>
      </c>
      <c r="U27" s="23">
        <v>241980</v>
      </c>
      <c r="V27" s="23">
        <v>247475</v>
      </c>
      <c r="W27" s="23">
        <v>258030</v>
      </c>
      <c r="X27" s="23">
        <v>270010</v>
      </c>
      <c r="Y27" s="23">
        <v>287199</v>
      </c>
      <c r="Z27" s="109">
        <f>+Y27/C48</f>
        <v>0.72708607594936714</v>
      </c>
      <c r="AA27" s="134">
        <f t="shared" ref="AA27:AA32" si="8">+Z27-Y$25</f>
        <v>-0.27291392405063286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13190</v>
      </c>
      <c r="H28" s="34">
        <v>23775</v>
      </c>
      <c r="I28" s="34">
        <v>35960</v>
      </c>
      <c r="J28" s="34">
        <v>49940</v>
      </c>
      <c r="K28" s="34">
        <v>58535</v>
      </c>
      <c r="L28" s="122">
        <v>62355</v>
      </c>
      <c r="M28" s="122">
        <v>72830</v>
      </c>
      <c r="N28" s="122">
        <v>77625</v>
      </c>
      <c r="O28" s="122">
        <v>80320</v>
      </c>
      <c r="P28" s="122">
        <v>97410</v>
      </c>
      <c r="Q28" s="23">
        <v>100105</v>
      </c>
      <c r="R28" s="23">
        <v>109100</v>
      </c>
      <c r="S28" s="23">
        <v>111300</v>
      </c>
      <c r="T28" s="23">
        <v>111300</v>
      </c>
      <c r="U28" s="23">
        <v>111300</v>
      </c>
      <c r="V28" s="121">
        <v>112800</v>
      </c>
      <c r="W28" s="23">
        <v>124190</v>
      </c>
      <c r="X28" s="23">
        <v>124190</v>
      </c>
      <c r="Y28" s="23">
        <v>128975</v>
      </c>
      <c r="Z28" s="109">
        <f>+Y28/C49</f>
        <v>1.0318000000000001</v>
      </c>
      <c r="AA28" s="113">
        <f t="shared" si="8"/>
        <v>3.180000000000005E-2</v>
      </c>
      <c r="AX28"/>
    </row>
    <row r="29" spans="2:50">
      <c r="B29" s="4" t="str">
        <f>+B19</f>
        <v>Boston</v>
      </c>
      <c r="C29" s="4"/>
      <c r="D29" s="4"/>
      <c r="E29" s="23"/>
      <c r="F29" s="34">
        <v>11600</v>
      </c>
      <c r="G29" s="34">
        <v>22145</v>
      </c>
      <c r="H29" s="34">
        <v>23160</v>
      </c>
      <c r="I29" s="34">
        <v>30985</v>
      </c>
      <c r="J29" s="34">
        <v>54620</v>
      </c>
      <c r="K29" s="34">
        <v>69605</v>
      </c>
      <c r="L29" s="122">
        <v>75600</v>
      </c>
      <c r="M29" s="122">
        <v>89595</v>
      </c>
      <c r="N29" s="122">
        <v>99095</v>
      </c>
      <c r="O29" s="122">
        <v>126570</v>
      </c>
      <c r="P29" s="122">
        <v>152025</v>
      </c>
      <c r="Q29" s="23">
        <v>182550</v>
      </c>
      <c r="R29" s="23">
        <v>201540</v>
      </c>
      <c r="S29" s="23">
        <v>224415</v>
      </c>
      <c r="T29" s="23">
        <v>238400</v>
      </c>
      <c r="U29" s="23">
        <v>238400</v>
      </c>
      <c r="V29" s="121">
        <v>254930</v>
      </c>
      <c r="W29" s="23">
        <v>270515</v>
      </c>
      <c r="X29" s="23">
        <v>277060</v>
      </c>
      <c r="Y29" s="23">
        <v>302985</v>
      </c>
      <c r="Z29" s="109">
        <f>+Y29/C50</f>
        <v>1.0099499999999999</v>
      </c>
      <c r="AA29" s="113">
        <f t="shared" si="8"/>
        <v>9.9499999999999034E-3</v>
      </c>
      <c r="AX29"/>
    </row>
    <row r="30" spans="2:50" s="4" customFormat="1" ht="12.75">
      <c r="B30" s="4" t="str">
        <f>+B20</f>
        <v>Canada</v>
      </c>
      <c r="E30" s="23"/>
      <c r="F30" s="34">
        <v>4436</v>
      </c>
      <c r="G30" s="34">
        <v>7665</v>
      </c>
      <c r="H30" s="34">
        <v>7665</v>
      </c>
      <c r="I30" s="34">
        <v>13655</v>
      </c>
      <c r="J30" s="34">
        <v>13655</v>
      </c>
      <c r="K30" s="34">
        <v>16762</v>
      </c>
      <c r="L30" s="122">
        <v>26775</v>
      </c>
      <c r="M30" s="122">
        <v>34841</v>
      </c>
      <c r="N30" s="122">
        <v>40061</v>
      </c>
      <c r="O30" s="122">
        <v>40061</v>
      </c>
      <c r="P30" s="122">
        <v>49604</v>
      </c>
      <c r="Q30" s="34">
        <v>49604</v>
      </c>
      <c r="R30" s="34">
        <v>49604</v>
      </c>
      <c r="S30" s="34">
        <v>56772</v>
      </c>
      <c r="T30" s="34">
        <v>61595</v>
      </c>
      <c r="U30" s="34">
        <v>61595</v>
      </c>
      <c r="V30" s="121">
        <v>67682</v>
      </c>
      <c r="W30" s="34">
        <v>75078</v>
      </c>
      <c r="X30" s="34">
        <v>75791</v>
      </c>
      <c r="Y30" s="34">
        <v>77691</v>
      </c>
      <c r="Z30" s="109">
        <f>Y30/C51</f>
        <v>0.32070588235294117</v>
      </c>
      <c r="AA30" s="79">
        <f t="shared" si="8"/>
        <v>-0.67929411764705883</v>
      </c>
    </row>
    <row r="31" spans="2:50" s="4" customFormat="1" ht="12.75">
      <c r="B31" s="4" t="s">
        <v>63</v>
      </c>
      <c r="E31" s="23"/>
      <c r="F31" s="34">
        <v>0</v>
      </c>
      <c r="G31" s="34">
        <v>0</v>
      </c>
      <c r="H31" s="34">
        <v>0</v>
      </c>
      <c r="I31" s="34">
        <v>2995</v>
      </c>
      <c r="J31" s="34">
        <v>2995</v>
      </c>
      <c r="K31" s="34">
        <v>2995</v>
      </c>
      <c r="L31" s="122">
        <v>2995</v>
      </c>
      <c r="M31" s="122">
        <v>5217</v>
      </c>
      <c r="N31" s="122">
        <v>9217</v>
      </c>
      <c r="O31" s="122">
        <v>9217</v>
      </c>
      <c r="P31" s="122">
        <v>9217</v>
      </c>
      <c r="Q31" s="34">
        <v>9217</v>
      </c>
      <c r="R31" s="34">
        <v>13017</v>
      </c>
      <c r="S31" s="34">
        <v>13017</v>
      </c>
      <c r="T31" s="34">
        <v>15117</v>
      </c>
      <c r="U31" s="34">
        <v>15117</v>
      </c>
      <c r="V31" s="121">
        <v>15117</v>
      </c>
      <c r="W31" s="34">
        <v>15117</v>
      </c>
      <c r="X31" s="34">
        <v>15117</v>
      </c>
      <c r="Y31" s="34">
        <v>15117</v>
      </c>
      <c r="Z31" s="109">
        <f>Y31/C52</f>
        <v>0.120936</v>
      </c>
      <c r="AA31" s="79">
        <f t="shared" si="8"/>
        <v>-0.87906399999999996</v>
      </c>
    </row>
    <row r="32" spans="2:50">
      <c r="B32" s="5" t="str">
        <f>+B22</f>
        <v>Norwich</v>
      </c>
      <c r="C32" s="19"/>
      <c r="D32" s="19"/>
      <c r="E32" s="35"/>
      <c r="F32" s="35">
        <v>34356</v>
      </c>
      <c r="G32" s="35">
        <v>46643</v>
      </c>
      <c r="H32" s="35">
        <v>56097</v>
      </c>
      <c r="I32" s="35">
        <v>65850</v>
      </c>
      <c r="J32" s="35">
        <v>81217</v>
      </c>
      <c r="K32" s="35">
        <v>95694</v>
      </c>
      <c r="L32" s="124">
        <v>109171</v>
      </c>
      <c r="M32" s="124">
        <v>111854</v>
      </c>
      <c r="N32" s="124">
        <v>124420</v>
      </c>
      <c r="O32" s="124">
        <v>138283</v>
      </c>
      <c r="P32" s="124">
        <v>159786</v>
      </c>
      <c r="Q32" s="35">
        <v>169987</v>
      </c>
      <c r="R32" s="35">
        <v>176014</v>
      </c>
      <c r="S32" s="35">
        <v>191050</v>
      </c>
      <c r="T32" s="35">
        <v>206744</v>
      </c>
      <c r="U32" s="35">
        <v>217542</v>
      </c>
      <c r="V32" s="35">
        <v>223474</v>
      </c>
      <c r="W32" s="35">
        <v>240842</v>
      </c>
      <c r="X32" s="35">
        <v>251087</v>
      </c>
      <c r="Y32" s="35">
        <v>249035</v>
      </c>
      <c r="Z32" s="110">
        <f>+Y32/C53</f>
        <v>0.59549258727881393</v>
      </c>
      <c r="AA32" s="79">
        <f t="shared" si="8"/>
        <v>-0.40450741272118607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86912</v>
      </c>
      <c r="G33" s="10">
        <f>SUM(G27:G32)</f>
        <v>143653</v>
      </c>
      <c r="H33" s="10">
        <f>SUM(H27:H32)</f>
        <v>197637</v>
      </c>
      <c r="I33" s="10">
        <f>SUM(I27:I32)</f>
        <v>249755</v>
      </c>
      <c r="J33" s="4">
        <f t="shared" ref="J33:Y33" si="9">SUM(J27:J32)</f>
        <v>302737</v>
      </c>
      <c r="K33" s="10">
        <f t="shared" si="9"/>
        <v>359236</v>
      </c>
      <c r="L33" s="10">
        <f t="shared" si="9"/>
        <v>406196</v>
      </c>
      <c r="M33" s="10">
        <f t="shared" si="9"/>
        <v>468817</v>
      </c>
      <c r="N33" s="10">
        <f t="shared" si="9"/>
        <v>515903</v>
      </c>
      <c r="O33" s="4">
        <f>SUM(O27:O32)</f>
        <v>578921</v>
      </c>
      <c r="P33" s="10">
        <f t="shared" si="9"/>
        <v>663002</v>
      </c>
      <c r="Q33" s="10">
        <f t="shared" si="9"/>
        <v>715418</v>
      </c>
      <c r="R33" s="10">
        <f t="shared" si="9"/>
        <v>769715</v>
      </c>
      <c r="S33" s="10">
        <f t="shared" si="9"/>
        <v>822414</v>
      </c>
      <c r="T33" s="4">
        <f t="shared" si="9"/>
        <v>866646</v>
      </c>
      <c r="U33" s="10">
        <f t="shared" si="9"/>
        <v>885934</v>
      </c>
      <c r="V33" s="10">
        <f t="shared" si="9"/>
        <v>921478</v>
      </c>
      <c r="W33" s="10">
        <f t="shared" si="9"/>
        <v>983772</v>
      </c>
      <c r="X33" s="10">
        <f t="shared" si="9"/>
        <v>1013255</v>
      </c>
      <c r="Y33" s="10">
        <f t="shared" si="9"/>
        <v>1061002</v>
      </c>
      <c r="Z33" s="111">
        <f>+V33/C54</f>
        <v>0.57396866922046774</v>
      </c>
      <c r="AA33" s="84">
        <f>+Z33-V$25</f>
        <v>-0.27603133077953224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5.4135600610420755E-2</v>
      </c>
      <c r="G34" s="30">
        <f t="shared" si="10"/>
        <v>8.9478339406396962E-2</v>
      </c>
      <c r="H34" s="30">
        <f t="shared" si="10"/>
        <v>0.123103802672148</v>
      </c>
      <c r="I34" s="30">
        <f t="shared" si="10"/>
        <v>0.15556697499143543</v>
      </c>
      <c r="J34" s="30">
        <f t="shared" si="10"/>
        <v>0.18856831417982498</v>
      </c>
      <c r="K34" s="30">
        <f t="shared" si="10"/>
        <v>0.22376031642218694</v>
      </c>
      <c r="L34" s="30">
        <f t="shared" si="10"/>
        <v>0.25301068236320035</v>
      </c>
      <c r="M34" s="30">
        <f t="shared" si="10"/>
        <v>0.29201594568501044</v>
      </c>
      <c r="N34" s="30">
        <f t="shared" si="10"/>
        <v>0.32134479429443458</v>
      </c>
      <c r="O34" s="30">
        <f>+O33/$C$54</f>
        <v>0.36059734030957052</v>
      </c>
      <c r="P34" s="30">
        <f t="shared" ref="P34:Y34" si="11">+P33/$C$54</f>
        <v>0.41296957239403281</v>
      </c>
      <c r="Q34" s="30">
        <f t="shared" si="11"/>
        <v>0.44561836245289482</v>
      </c>
      <c r="R34" s="30">
        <f t="shared" si="11"/>
        <v>0.47943878663303124</v>
      </c>
      <c r="S34" s="30">
        <f t="shared" si="11"/>
        <v>0.51226385125665697</v>
      </c>
      <c r="T34" s="30">
        <f t="shared" si="11"/>
        <v>0.53981500513874614</v>
      </c>
      <c r="U34" s="30">
        <f t="shared" si="11"/>
        <v>0.55182908218879445</v>
      </c>
      <c r="V34" s="30">
        <f t="shared" si="11"/>
        <v>0.57396866922046774</v>
      </c>
      <c r="W34" s="30">
        <f t="shared" si="11"/>
        <v>0.61277025133140239</v>
      </c>
      <c r="X34" s="30">
        <f t="shared" si="11"/>
        <v>0.63113457286119157</v>
      </c>
      <c r="Y34" s="30">
        <f t="shared" si="11"/>
        <v>0.66087514404061165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1.8491139240506329</v>
      </c>
      <c r="G38" s="17">
        <f t="shared" ref="G38:Y38" si="13">(G48/$C$48)</f>
        <v>1.3673417721518988</v>
      </c>
      <c r="H38" s="17">
        <f t="shared" si="13"/>
        <v>1.4673417721518986</v>
      </c>
      <c r="I38" s="17">
        <f t="shared" si="13"/>
        <v>1.2697468354430379</v>
      </c>
      <c r="J38" s="17">
        <f t="shared" si="13"/>
        <v>1.0157974683544304</v>
      </c>
      <c r="K38" s="17">
        <f t="shared" si="13"/>
        <v>0.97590717299578067</v>
      </c>
      <c r="L38" s="17">
        <f t="shared" si="13"/>
        <v>0.93526220614828226</v>
      </c>
      <c r="M38" s="17">
        <f t="shared" si="13"/>
        <v>0.97772151898734172</v>
      </c>
      <c r="N38" s="17">
        <f t="shared" si="13"/>
        <v>0.93099859353023906</v>
      </c>
      <c r="O38" s="17">
        <f t="shared" si="13"/>
        <v>0.9340253164556962</v>
      </c>
      <c r="P38" s="17">
        <f t="shared" si="13"/>
        <v>0.89739930955120839</v>
      </c>
      <c r="Q38" s="17">
        <f t="shared" si="13"/>
        <v>0.86056962025316452</v>
      </c>
      <c r="R38" s="17">
        <f t="shared" si="13"/>
        <v>0.85857838364167482</v>
      </c>
      <c r="S38" s="17">
        <f t="shared" si="13"/>
        <v>0.8168535262206148</v>
      </c>
      <c r="T38" s="17">
        <f t="shared" si="13"/>
        <v>0.78815189873417724</v>
      </c>
      <c r="U38" s="17">
        <f t="shared" si="13"/>
        <v>0.76575949367088603</v>
      </c>
      <c r="V38" s="17">
        <f t="shared" si="13"/>
        <v>0.73708116157855541</v>
      </c>
      <c r="W38" s="17">
        <f t="shared" si="13"/>
        <v>0.72582278481012663</v>
      </c>
      <c r="X38" s="17">
        <f t="shared" si="13"/>
        <v>0.71954696868754164</v>
      </c>
      <c r="Y38" s="17">
        <f t="shared" si="13"/>
        <v>0.72708607594936714</v>
      </c>
      <c r="Z38" s="140" t="s">
        <v>71</v>
      </c>
      <c r="AA38" s="138">
        <v>395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1.0551999999999999</v>
      </c>
      <c r="H39" s="17">
        <f t="shared" si="14"/>
        <v>1.268</v>
      </c>
      <c r="I39" s="17">
        <f t="shared" si="14"/>
        <v>1.4383999999999999</v>
      </c>
      <c r="J39" s="17">
        <f t="shared" si="14"/>
        <v>1.5980799999999999</v>
      </c>
      <c r="K39" s="17">
        <f t="shared" si="14"/>
        <v>1.5609333333333335</v>
      </c>
      <c r="L39" s="17">
        <f t="shared" si="14"/>
        <v>1.425257142857143</v>
      </c>
      <c r="M39" s="17">
        <f t="shared" si="14"/>
        <v>1.4565999999999999</v>
      </c>
      <c r="N39" s="17">
        <f t="shared" si="14"/>
        <v>1.38</v>
      </c>
      <c r="O39" s="17">
        <f t="shared" si="14"/>
        <v>1.28512</v>
      </c>
      <c r="P39" s="17">
        <f t="shared" si="14"/>
        <v>1.4168727272727273</v>
      </c>
      <c r="Q39" s="17">
        <f t="shared" si="14"/>
        <v>1.3347333333333335</v>
      </c>
      <c r="R39" s="17">
        <f t="shared" si="14"/>
        <v>1.3427692307692305</v>
      </c>
      <c r="S39" s="17">
        <f t="shared" si="14"/>
        <v>1.272</v>
      </c>
      <c r="T39" s="17">
        <f t="shared" si="14"/>
        <v>1.1872</v>
      </c>
      <c r="U39" s="17">
        <f t="shared" si="14"/>
        <v>1.113</v>
      </c>
      <c r="V39" s="17">
        <f t="shared" si="14"/>
        <v>1.0616470588235294</v>
      </c>
      <c r="W39" s="17">
        <f t="shared" si="14"/>
        <v>1.1039111111111111</v>
      </c>
      <c r="X39" s="17">
        <f t="shared" si="14"/>
        <v>1.0458105263157895</v>
      </c>
      <c r="Y39" s="17">
        <f t="shared" si="14"/>
        <v>1.0318000000000001</v>
      </c>
      <c r="Z39" s="140" t="s">
        <v>72</v>
      </c>
      <c r="AA39" s="138">
        <v>150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0.77333333333333332</v>
      </c>
      <c r="G40" s="17">
        <f t="shared" si="15"/>
        <v>0.73816666666666664</v>
      </c>
      <c r="H40" s="17">
        <f t="shared" si="15"/>
        <v>0.51466666666666672</v>
      </c>
      <c r="I40" s="17">
        <f t="shared" si="15"/>
        <v>0.51641666666666663</v>
      </c>
      <c r="J40" s="17">
        <f t="shared" si="15"/>
        <v>0.72826666666666662</v>
      </c>
      <c r="K40" s="17">
        <f t="shared" si="15"/>
        <v>0.7733888888888889</v>
      </c>
      <c r="L40" s="17">
        <f t="shared" si="15"/>
        <v>0.72</v>
      </c>
      <c r="M40" s="17">
        <f t="shared" si="15"/>
        <v>0.74662499999999998</v>
      </c>
      <c r="N40" s="17">
        <f t="shared" si="15"/>
        <v>0.73403703703703693</v>
      </c>
      <c r="O40" s="17">
        <f t="shared" si="15"/>
        <v>0.84379999999999999</v>
      </c>
      <c r="P40" s="17">
        <f t="shared" si="15"/>
        <v>0.9213636363636365</v>
      </c>
      <c r="Q40" s="17">
        <f t="shared" si="15"/>
        <v>1.0141666666666667</v>
      </c>
      <c r="R40" s="17">
        <f t="shared" si="15"/>
        <v>1.0335384615384617</v>
      </c>
      <c r="S40" s="17">
        <f t="shared" si="15"/>
        <v>1.0686428571428572</v>
      </c>
      <c r="T40" s="17">
        <f t="shared" si="15"/>
        <v>1.0595555555555556</v>
      </c>
      <c r="U40" s="17">
        <f t="shared" si="15"/>
        <v>0.99333333333333329</v>
      </c>
      <c r="V40" s="17">
        <f t="shared" si="15"/>
        <v>0.99972549019607848</v>
      </c>
      <c r="W40" s="17">
        <f t="shared" si="15"/>
        <v>1.0019074074074075</v>
      </c>
      <c r="X40" s="17">
        <f t="shared" si="15"/>
        <v>0.97214035087719308</v>
      </c>
      <c r="Y40" s="17">
        <f t="shared" si="15"/>
        <v>1.0099499999999999</v>
      </c>
      <c r="Z40" s="141" t="s">
        <v>73</v>
      </c>
      <c r="AA40" s="138">
        <v>300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0.36623323013415893</v>
      </c>
      <c r="G41" s="17">
        <f t="shared" si="16"/>
        <v>0.31640866873065016</v>
      </c>
      <c r="H41" s="17">
        <f t="shared" si="16"/>
        <v>0.21093911248710009</v>
      </c>
      <c r="I41" s="17">
        <f t="shared" si="16"/>
        <v>0.28183694530443759</v>
      </c>
      <c r="J41" s="17">
        <f t="shared" si="16"/>
        <v>0.22546955624355006</v>
      </c>
      <c r="K41" s="17">
        <f t="shared" si="16"/>
        <v>0.23064327485380115</v>
      </c>
      <c r="L41" s="17">
        <f t="shared" si="16"/>
        <v>0.31578947368421051</v>
      </c>
      <c r="M41" s="17">
        <f t="shared" si="16"/>
        <v>0.35955624355005161</v>
      </c>
      <c r="N41" s="17">
        <f t="shared" si="16"/>
        <v>0.36748996674693274</v>
      </c>
      <c r="O41" s="17">
        <f t="shared" si="16"/>
        <v>0.3307409700722394</v>
      </c>
      <c r="P41" s="17">
        <f t="shared" si="16"/>
        <v>0.37229758889201608</v>
      </c>
      <c r="Q41" s="17">
        <f t="shared" si="16"/>
        <v>0.3412727898176815</v>
      </c>
      <c r="R41" s="17">
        <f t="shared" si="16"/>
        <v>0.31502103675478288</v>
      </c>
      <c r="S41" s="17">
        <f t="shared" si="16"/>
        <v>0.33478991596638658</v>
      </c>
      <c r="T41" s="17">
        <f t="shared" si="16"/>
        <v>0.33901616787065697</v>
      </c>
      <c r="U41" s="17">
        <f t="shared" si="16"/>
        <v>0.31782765737874097</v>
      </c>
      <c r="V41" s="17">
        <f t="shared" si="16"/>
        <v>0.32869301280883872</v>
      </c>
      <c r="W41" s="17">
        <f t="shared" si="16"/>
        <v>0.3443550051599587</v>
      </c>
      <c r="X41" s="17">
        <f t="shared" si="16"/>
        <v>0.32932920536635707</v>
      </c>
      <c r="Y41" s="17">
        <f t="shared" si="16"/>
        <v>0.32070588235294117</v>
      </c>
      <c r="Z41" s="141" t="s">
        <v>74</v>
      </c>
      <c r="AA41" s="138">
        <v>90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</v>
      </c>
      <c r="H42" s="17">
        <f t="shared" si="16"/>
        <v>0</v>
      </c>
      <c r="I42" s="17">
        <f t="shared" si="16"/>
        <v>6.1816305469556243E-2</v>
      </c>
      <c r="J42" s="17">
        <f t="shared" si="16"/>
        <v>4.9453044375644996E-2</v>
      </c>
      <c r="K42" s="17">
        <f t="shared" si="16"/>
        <v>4.1210870313037495E-2</v>
      </c>
      <c r="L42" s="17">
        <f t="shared" si="16"/>
        <v>3.5323603125460706E-2</v>
      </c>
      <c r="M42" s="17">
        <f t="shared" si="16"/>
        <v>5.3839009287925697E-2</v>
      </c>
      <c r="N42" s="17">
        <f t="shared" si="16"/>
        <v>8.454993693383786E-2</v>
      </c>
      <c r="O42" s="17">
        <f t="shared" si="16"/>
        <v>7.6094943240454072E-2</v>
      </c>
      <c r="P42" s="17">
        <f t="shared" si="16"/>
        <v>6.9177221127685512E-2</v>
      </c>
      <c r="Q42" s="17">
        <f t="shared" si="16"/>
        <v>6.3412452700378402E-2</v>
      </c>
      <c r="R42" s="17">
        <f t="shared" si="16"/>
        <v>8.2667301738509155E-2</v>
      </c>
      <c r="S42" s="17">
        <f t="shared" si="16"/>
        <v>7.6762494471472806E-2</v>
      </c>
      <c r="T42" s="17">
        <f t="shared" si="16"/>
        <v>8.3203302373581006E-2</v>
      </c>
      <c r="U42" s="17">
        <f t="shared" si="16"/>
        <v>7.8003095975232195E-2</v>
      </c>
      <c r="V42" s="17">
        <f t="shared" si="16"/>
        <v>7.3414678564924424E-2</v>
      </c>
      <c r="W42" s="17">
        <f t="shared" si="16"/>
        <v>6.9336085311317519E-2</v>
      </c>
      <c r="X42" s="17">
        <f t="shared" si="16"/>
        <v>6.5686817663353436E-2</v>
      </c>
      <c r="Y42" s="17">
        <f t="shared" si="16"/>
        <v>6.2402476780185762E-2</v>
      </c>
      <c r="Z42" s="141" t="s">
        <v>75</v>
      </c>
      <c r="AA42" s="138">
        <v>30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1.6430416068866571</v>
      </c>
      <c r="G43" s="18">
        <f t="shared" si="17"/>
        <v>1.115327594452415</v>
      </c>
      <c r="H43" s="18">
        <f t="shared" si="17"/>
        <v>0.89426111908177908</v>
      </c>
      <c r="I43" s="18">
        <f t="shared" si="17"/>
        <v>0.7873027259684362</v>
      </c>
      <c r="J43" s="18">
        <f t="shared" si="17"/>
        <v>0.77682448589191777</v>
      </c>
      <c r="K43" s="18">
        <f t="shared" si="17"/>
        <v>0.76274509803921564</v>
      </c>
      <c r="L43" s="18">
        <f t="shared" si="17"/>
        <v>0.74585639133702253</v>
      </c>
      <c r="M43" s="18">
        <f t="shared" si="17"/>
        <v>0.66866331898613107</v>
      </c>
      <c r="N43" s="18">
        <f t="shared" si="17"/>
        <v>0.66114033689356499</v>
      </c>
      <c r="O43" s="18">
        <f t="shared" si="17"/>
        <v>0.66132472501195605</v>
      </c>
      <c r="P43" s="18">
        <f t="shared" si="17"/>
        <v>0.69469153515064563</v>
      </c>
      <c r="Q43" s="18">
        <f t="shared" si="17"/>
        <v>0.67745496572612784</v>
      </c>
      <c r="R43" s="18">
        <f t="shared" si="17"/>
        <v>0.64751499098701404</v>
      </c>
      <c r="S43" s="18">
        <f t="shared" si="17"/>
        <v>0.65262690442030469</v>
      </c>
      <c r="T43" s="18">
        <f t="shared" si="17"/>
        <v>0.65915510919815068</v>
      </c>
      <c r="U43" s="18">
        <f t="shared" si="17"/>
        <v>0.65023314203730276</v>
      </c>
      <c r="V43" s="18">
        <f t="shared" si="17"/>
        <v>0.62867189917573907</v>
      </c>
      <c r="W43" s="18">
        <f t="shared" si="17"/>
        <v>0.63989053616026359</v>
      </c>
      <c r="X43" s="18">
        <f t="shared" si="17"/>
        <v>0.63199929522515041</v>
      </c>
      <c r="Y43" s="18">
        <f t="shared" si="17"/>
        <v>0.59549258727881393</v>
      </c>
      <c r="Z43" s="142" t="s">
        <v>76</v>
      </c>
      <c r="AA43" s="138">
        <v>328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1.0827120122084151</v>
      </c>
      <c r="G44" s="17">
        <f t="shared" si="18"/>
        <v>0.89478339406396956</v>
      </c>
      <c r="H44" s="17">
        <f t="shared" si="18"/>
        <v>0.82069201781432</v>
      </c>
      <c r="I44" s="17">
        <f t="shared" si="18"/>
        <v>0.77783487495717707</v>
      </c>
      <c r="J44" s="17">
        <f t="shared" si="18"/>
        <v>0.7542732567192999</v>
      </c>
      <c r="K44" s="17">
        <f t="shared" si="18"/>
        <v>0.74586772140728985</v>
      </c>
      <c r="L44" s="17">
        <f t="shared" si="18"/>
        <v>0.72288766389485815</v>
      </c>
      <c r="M44" s="17">
        <f t="shared" si="18"/>
        <v>0.73003986421252609</v>
      </c>
      <c r="N44" s="17">
        <f t="shared" si="18"/>
        <v>0.71409954287652133</v>
      </c>
      <c r="O44" s="17">
        <f t="shared" si="18"/>
        <v>0.72119468061914105</v>
      </c>
      <c r="P44" s="17">
        <f t="shared" si="18"/>
        <v>0.7508537679891506</v>
      </c>
      <c r="Q44" s="17">
        <f t="shared" si="18"/>
        <v>0.74269727075482483</v>
      </c>
      <c r="R44" s="17">
        <f t="shared" si="18"/>
        <v>0.73759813328158652</v>
      </c>
      <c r="S44" s="17">
        <f t="shared" si="18"/>
        <v>0.73180550179522441</v>
      </c>
      <c r="T44" s="17">
        <f t="shared" si="18"/>
        <v>0.71975334018499482</v>
      </c>
      <c r="U44" s="17">
        <f t="shared" si="18"/>
        <v>0.68978635273599298</v>
      </c>
      <c r="V44" s="17">
        <f t="shared" si="18"/>
        <v>0.67525725790643276</v>
      </c>
      <c r="W44" s="17">
        <f t="shared" si="18"/>
        <v>0.68085583481266931</v>
      </c>
      <c r="X44" s="17">
        <f t="shared" si="18"/>
        <v>0.66435218195914914</v>
      </c>
      <c r="Y44" s="17">
        <f t="shared" si="18"/>
        <v>0.66087514404061165</v>
      </c>
      <c r="AA44" s="139">
        <f>SUM(AA38:AA43)</f>
        <v>1293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395000</v>
      </c>
      <c r="D48" s="4"/>
      <c r="E48" s="4"/>
      <c r="F48" s="55">
        <f t="shared" ref="F48:Y53" si="20">(F27)/F$1*$Y$1</f>
        <v>730400</v>
      </c>
      <c r="G48" s="55">
        <f t="shared" si="20"/>
        <v>540100</v>
      </c>
      <c r="H48" s="55">
        <f t="shared" si="20"/>
        <v>579600</v>
      </c>
      <c r="I48" s="55">
        <f t="shared" si="20"/>
        <v>501550</v>
      </c>
      <c r="J48" s="55">
        <f t="shared" si="20"/>
        <v>401240</v>
      </c>
      <c r="K48" s="55">
        <f t="shared" si="20"/>
        <v>385483.33333333337</v>
      </c>
      <c r="L48" s="55">
        <f t="shared" si="20"/>
        <v>369428.57142857148</v>
      </c>
      <c r="M48" s="55">
        <f t="shared" si="20"/>
        <v>386200</v>
      </c>
      <c r="N48" s="55">
        <f t="shared" si="20"/>
        <v>367744.44444444444</v>
      </c>
      <c r="O48" s="55">
        <f t="shared" si="20"/>
        <v>368940</v>
      </c>
      <c r="P48" s="55">
        <f t="shared" si="20"/>
        <v>354472.72727272729</v>
      </c>
      <c r="Q48" s="55">
        <f t="shared" si="20"/>
        <v>339925</v>
      </c>
      <c r="R48" s="55">
        <f t="shared" si="20"/>
        <v>339138.46153846156</v>
      </c>
      <c r="S48" s="55">
        <f t="shared" si="20"/>
        <v>322657.14285714284</v>
      </c>
      <c r="T48" s="55">
        <f t="shared" si="20"/>
        <v>311320</v>
      </c>
      <c r="U48" s="55">
        <f t="shared" si="20"/>
        <v>302475</v>
      </c>
      <c r="V48" s="55">
        <f t="shared" si="20"/>
        <v>291147.0588235294</v>
      </c>
      <c r="W48" s="55">
        <f t="shared" si="20"/>
        <v>286700</v>
      </c>
      <c r="X48" s="55">
        <f t="shared" si="20"/>
        <v>284221.05263157893</v>
      </c>
      <c r="Y48" s="55">
        <f t="shared" si="20"/>
        <v>287199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0"/>
        <v>0</v>
      </c>
      <c r="G49" s="55">
        <f t="shared" si="20"/>
        <v>131900</v>
      </c>
      <c r="H49" s="55">
        <f t="shared" si="20"/>
        <v>158500</v>
      </c>
      <c r="I49" s="55">
        <f t="shared" si="20"/>
        <v>179800</v>
      </c>
      <c r="J49" s="55">
        <f t="shared" si="20"/>
        <v>199760</v>
      </c>
      <c r="K49" s="55">
        <f t="shared" si="20"/>
        <v>195116.66666666669</v>
      </c>
      <c r="L49" s="55">
        <f t="shared" si="20"/>
        <v>178157.14285714287</v>
      </c>
      <c r="M49" s="55">
        <f t="shared" si="20"/>
        <v>182075</v>
      </c>
      <c r="N49" s="55">
        <f t="shared" si="20"/>
        <v>172500</v>
      </c>
      <c r="O49" s="55">
        <f t="shared" si="20"/>
        <v>160640</v>
      </c>
      <c r="P49" s="55">
        <f t="shared" si="20"/>
        <v>177109.09090909091</v>
      </c>
      <c r="Q49" s="55">
        <f t="shared" si="20"/>
        <v>166841.66666666669</v>
      </c>
      <c r="R49" s="55">
        <f t="shared" si="20"/>
        <v>167846.15384615381</v>
      </c>
      <c r="S49" s="55">
        <f t="shared" si="20"/>
        <v>159000</v>
      </c>
      <c r="T49" s="55">
        <f t="shared" si="20"/>
        <v>148400</v>
      </c>
      <c r="U49" s="55">
        <f t="shared" si="20"/>
        <v>139125</v>
      </c>
      <c r="V49" s="55">
        <f t="shared" si="20"/>
        <v>132705.88235294117</v>
      </c>
      <c r="W49" s="55">
        <f t="shared" si="20"/>
        <v>137988.88888888888</v>
      </c>
      <c r="X49" s="55">
        <f t="shared" si="20"/>
        <v>130726.31578947368</v>
      </c>
      <c r="Y49" s="55">
        <f t="shared" si="20"/>
        <v>128975</v>
      </c>
      <c r="AX49"/>
    </row>
    <row r="50" spans="2:50">
      <c r="B50" s="4" t="s">
        <v>1</v>
      </c>
      <c r="C50" s="37">
        <v>300000</v>
      </c>
      <c r="D50" s="4"/>
      <c r="E50" s="4"/>
      <c r="F50" s="55">
        <f t="shared" si="20"/>
        <v>232000</v>
      </c>
      <c r="G50" s="55">
        <f t="shared" si="20"/>
        <v>221450</v>
      </c>
      <c r="H50" s="55">
        <f t="shared" si="20"/>
        <v>154400</v>
      </c>
      <c r="I50" s="55">
        <f t="shared" si="20"/>
        <v>154925</v>
      </c>
      <c r="J50" s="55">
        <f t="shared" si="20"/>
        <v>218480</v>
      </c>
      <c r="K50" s="55">
        <f t="shared" si="20"/>
        <v>232016.66666666669</v>
      </c>
      <c r="L50" s="55">
        <f t="shared" si="20"/>
        <v>216000</v>
      </c>
      <c r="M50" s="55">
        <f t="shared" si="20"/>
        <v>223987.5</v>
      </c>
      <c r="N50" s="55">
        <f t="shared" si="20"/>
        <v>220211.11111111109</v>
      </c>
      <c r="O50" s="55">
        <f t="shared" si="20"/>
        <v>253140</v>
      </c>
      <c r="P50" s="55">
        <f t="shared" si="20"/>
        <v>276409.09090909094</v>
      </c>
      <c r="Q50" s="55">
        <f t="shared" si="20"/>
        <v>304250</v>
      </c>
      <c r="R50" s="55">
        <f t="shared" si="20"/>
        <v>310061.5384615385</v>
      </c>
      <c r="S50" s="55">
        <f t="shared" si="20"/>
        <v>320592.85714285716</v>
      </c>
      <c r="T50" s="55">
        <f t="shared" si="20"/>
        <v>317866.66666666669</v>
      </c>
      <c r="U50" s="55">
        <f t="shared" si="20"/>
        <v>298000</v>
      </c>
      <c r="V50" s="55">
        <f t="shared" si="20"/>
        <v>299917.64705882355</v>
      </c>
      <c r="W50" s="55">
        <f t="shared" si="20"/>
        <v>300572.22222222225</v>
      </c>
      <c r="X50" s="55">
        <f t="shared" si="20"/>
        <v>291642.10526315792</v>
      </c>
      <c r="Y50" s="55">
        <f t="shared" si="20"/>
        <v>302985</v>
      </c>
      <c r="AX50"/>
    </row>
    <row r="51" spans="2:50">
      <c r="B51" s="4" t="s">
        <v>2</v>
      </c>
      <c r="C51" s="37">
        <v>242250</v>
      </c>
      <c r="D51" s="4"/>
      <c r="E51" s="4"/>
      <c r="F51" s="55">
        <f t="shared" si="20"/>
        <v>88720</v>
      </c>
      <c r="G51" s="55">
        <f t="shared" si="20"/>
        <v>76650</v>
      </c>
      <c r="H51" s="55">
        <f t="shared" si="20"/>
        <v>51100</v>
      </c>
      <c r="I51" s="55">
        <f t="shared" si="20"/>
        <v>68275</v>
      </c>
      <c r="J51" s="55">
        <f t="shared" si="20"/>
        <v>54620</v>
      </c>
      <c r="K51" s="55">
        <f t="shared" si="20"/>
        <v>55873.333333333328</v>
      </c>
      <c r="L51" s="55">
        <f t="shared" si="20"/>
        <v>76500</v>
      </c>
      <c r="M51" s="55">
        <f t="shared" si="20"/>
        <v>87102.5</v>
      </c>
      <c r="N51" s="55">
        <f t="shared" si="20"/>
        <v>89024.444444444453</v>
      </c>
      <c r="O51" s="55">
        <f t="shared" si="20"/>
        <v>80122</v>
      </c>
      <c r="P51" s="55">
        <f t="shared" si="20"/>
        <v>90189.090909090897</v>
      </c>
      <c r="Q51" s="55">
        <f t="shared" si="20"/>
        <v>82673.333333333343</v>
      </c>
      <c r="R51" s="55">
        <f t="shared" si="20"/>
        <v>76313.846153846156</v>
      </c>
      <c r="S51" s="55">
        <f t="shared" si="20"/>
        <v>81102.857142857145</v>
      </c>
      <c r="T51" s="55">
        <f t="shared" si="20"/>
        <v>82126.666666666657</v>
      </c>
      <c r="U51" s="55">
        <f t="shared" si="20"/>
        <v>76993.75</v>
      </c>
      <c r="V51" s="55">
        <f t="shared" si="20"/>
        <v>79625.882352941175</v>
      </c>
      <c r="W51" s="55">
        <f t="shared" si="20"/>
        <v>83420</v>
      </c>
      <c r="X51" s="55">
        <f t="shared" si="20"/>
        <v>79780</v>
      </c>
      <c r="Y51" s="55">
        <f t="shared" si="20"/>
        <v>77691</v>
      </c>
      <c r="AA51" s="48"/>
    </row>
    <row r="52" spans="2:50">
      <c r="B52" s="4" t="s">
        <v>63</v>
      </c>
      <c r="C52" s="37">
        <v>125000</v>
      </c>
      <c r="D52" s="4"/>
      <c r="E52" s="4"/>
      <c r="F52" s="55">
        <f t="shared" si="20"/>
        <v>0</v>
      </c>
      <c r="G52" s="55">
        <f t="shared" si="20"/>
        <v>0</v>
      </c>
      <c r="H52" s="55">
        <f t="shared" si="20"/>
        <v>0</v>
      </c>
      <c r="I52" s="55">
        <f t="shared" si="20"/>
        <v>14975</v>
      </c>
      <c r="J52" s="55">
        <f t="shared" si="20"/>
        <v>11980</v>
      </c>
      <c r="K52" s="55">
        <f t="shared" si="20"/>
        <v>9983.3333333333339</v>
      </c>
      <c r="L52" s="55">
        <f t="shared" si="20"/>
        <v>8557.1428571428569</v>
      </c>
      <c r="M52" s="55">
        <f t="shared" si="20"/>
        <v>13042.5</v>
      </c>
      <c r="N52" s="55">
        <f t="shared" si="20"/>
        <v>20482.222222222223</v>
      </c>
      <c r="O52" s="55">
        <f t="shared" si="20"/>
        <v>18434</v>
      </c>
      <c r="P52" s="55">
        <f t="shared" si="20"/>
        <v>16758.181818181816</v>
      </c>
      <c r="Q52" s="55">
        <f t="shared" si="20"/>
        <v>15361.666666666668</v>
      </c>
      <c r="R52" s="55">
        <f t="shared" si="20"/>
        <v>20026.153846153844</v>
      </c>
      <c r="S52" s="55">
        <f t="shared" si="20"/>
        <v>18595.714285714286</v>
      </c>
      <c r="T52" s="55">
        <f t="shared" si="20"/>
        <v>20156</v>
      </c>
      <c r="U52" s="55">
        <f t="shared" si="20"/>
        <v>18896.25</v>
      </c>
      <c r="V52" s="55">
        <f t="shared" si="20"/>
        <v>17784.705882352941</v>
      </c>
      <c r="W52" s="55">
        <f t="shared" si="20"/>
        <v>16796.666666666668</v>
      </c>
      <c r="X52" s="55">
        <f t="shared" si="20"/>
        <v>15912.631578947368</v>
      </c>
      <c r="Y52" s="55">
        <f t="shared" si="20"/>
        <v>15117</v>
      </c>
      <c r="AA52" s="48"/>
    </row>
    <row r="53" spans="2:50">
      <c r="B53" s="4" t="s">
        <v>3</v>
      </c>
      <c r="C53" s="38">
        <v>418200</v>
      </c>
      <c r="D53" s="19"/>
      <c r="E53" s="19"/>
      <c r="F53" s="98">
        <f t="shared" si="20"/>
        <v>687120</v>
      </c>
      <c r="G53" s="98">
        <f t="shared" si="20"/>
        <v>466430</v>
      </c>
      <c r="H53" s="98">
        <f t="shared" si="20"/>
        <v>373980</v>
      </c>
      <c r="I53" s="98">
        <f t="shared" si="20"/>
        <v>329250</v>
      </c>
      <c r="J53" s="98">
        <f t="shared" si="20"/>
        <v>324868</v>
      </c>
      <c r="K53" s="98">
        <f t="shared" si="20"/>
        <v>318980</v>
      </c>
      <c r="L53" s="98">
        <f t="shared" si="20"/>
        <v>311917.14285714284</v>
      </c>
      <c r="M53" s="98">
        <f t="shared" si="20"/>
        <v>279635</v>
      </c>
      <c r="N53" s="98">
        <f t="shared" si="20"/>
        <v>276488.88888888888</v>
      </c>
      <c r="O53" s="98">
        <f t="shared" si="20"/>
        <v>276566</v>
      </c>
      <c r="P53" s="98">
        <f t="shared" si="20"/>
        <v>290520</v>
      </c>
      <c r="Q53" s="98">
        <f t="shared" si="20"/>
        <v>283311.66666666669</v>
      </c>
      <c r="R53" s="98">
        <f t="shared" si="20"/>
        <v>270790.76923076925</v>
      </c>
      <c r="S53" s="98">
        <f t="shared" si="20"/>
        <v>272928.57142857142</v>
      </c>
      <c r="T53" s="98">
        <f t="shared" si="20"/>
        <v>275658.66666666663</v>
      </c>
      <c r="U53" s="98">
        <f t="shared" si="20"/>
        <v>271927.5</v>
      </c>
      <c r="V53" s="98">
        <f t="shared" si="20"/>
        <v>262910.5882352941</v>
      </c>
      <c r="W53" s="98">
        <f t="shared" si="20"/>
        <v>267602.22222222225</v>
      </c>
      <c r="X53" s="98">
        <f t="shared" si="20"/>
        <v>264302.10526315792</v>
      </c>
      <c r="Y53" s="98">
        <f t="shared" si="20"/>
        <v>249035</v>
      </c>
    </row>
    <row r="54" spans="2:50">
      <c r="B54" s="14" t="s">
        <v>27</v>
      </c>
      <c r="C54" s="39">
        <f>SUM(C48:C53)</f>
        <v>1605450</v>
      </c>
      <c r="D54" s="10">
        <f>SUM(D48:D53)</f>
        <v>0</v>
      </c>
      <c r="E54" s="10"/>
      <c r="F54" s="10">
        <f t="shared" ref="F54:Y54" si="21">SUM(F48:F53)</f>
        <v>1738240</v>
      </c>
      <c r="G54" s="10">
        <f t="shared" si="21"/>
        <v>1436530</v>
      </c>
      <c r="H54" s="10">
        <f t="shared" si="21"/>
        <v>1317580</v>
      </c>
      <c r="I54" s="10">
        <f t="shared" si="21"/>
        <v>1248775</v>
      </c>
      <c r="J54" s="10">
        <f t="shared" si="21"/>
        <v>1210948</v>
      </c>
      <c r="K54" s="10">
        <f t="shared" si="21"/>
        <v>1197453.3333333335</v>
      </c>
      <c r="L54" s="10">
        <f t="shared" si="21"/>
        <v>1160560</v>
      </c>
      <c r="M54" s="10">
        <f t="shared" si="21"/>
        <v>1172042.5</v>
      </c>
      <c r="N54" s="10">
        <f t="shared" si="21"/>
        <v>1146451.1111111112</v>
      </c>
      <c r="O54" s="10">
        <f t="shared" si="21"/>
        <v>1157842</v>
      </c>
      <c r="P54" s="10">
        <f t="shared" si="21"/>
        <v>1205458.1818181819</v>
      </c>
      <c r="Q54" s="10">
        <f t="shared" si="21"/>
        <v>1192363.3333333335</v>
      </c>
      <c r="R54" s="10">
        <f t="shared" si="21"/>
        <v>1184176.923076923</v>
      </c>
      <c r="S54" s="10">
        <f t="shared" si="21"/>
        <v>1174877.142857143</v>
      </c>
      <c r="T54" s="10">
        <f t="shared" si="21"/>
        <v>1155528</v>
      </c>
      <c r="U54" s="10">
        <f t="shared" si="21"/>
        <v>1107417.5</v>
      </c>
      <c r="V54" s="10">
        <f t="shared" si="21"/>
        <v>1084091.7647058824</v>
      </c>
      <c r="W54" s="10">
        <f t="shared" si="21"/>
        <v>1093080</v>
      </c>
      <c r="X54" s="10">
        <f t="shared" si="21"/>
        <v>1066584.210526316</v>
      </c>
      <c r="Y54" s="10">
        <f t="shared" si="21"/>
        <v>1061002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>
      <selection activeCell="B47" sqref="B47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78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62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19750</v>
      </c>
      <c r="D6" s="10"/>
      <c r="E6" s="11">
        <v>33013</v>
      </c>
      <c r="F6" s="122">
        <v>19296</v>
      </c>
      <c r="G6" s="122">
        <v>5723</v>
      </c>
      <c r="H6" s="122">
        <v>20123</v>
      </c>
      <c r="I6" s="122">
        <v>14446</v>
      </c>
      <c r="J6" s="122">
        <v>31141</v>
      </c>
      <c r="K6" s="122">
        <v>8788</v>
      </c>
      <c r="L6" s="122">
        <v>19658</v>
      </c>
      <c r="M6" s="122">
        <v>25630</v>
      </c>
      <c r="N6" s="122">
        <v>17784</v>
      </c>
      <c r="O6" s="122">
        <v>8425</v>
      </c>
      <c r="P6" s="122">
        <v>12256</v>
      </c>
      <c r="Q6" s="34">
        <v>18592</v>
      </c>
      <c r="R6" s="34">
        <v>8530</v>
      </c>
      <c r="S6" s="34">
        <v>18122</v>
      </c>
      <c r="T6" s="34">
        <v>19376</v>
      </c>
      <c r="U6" s="34">
        <v>16603</v>
      </c>
      <c r="V6" s="34">
        <v>9345</v>
      </c>
      <c r="W6" s="34">
        <v>22642</v>
      </c>
      <c r="X6" s="34">
        <v>17036</v>
      </c>
      <c r="Y6" s="34">
        <v>8877</v>
      </c>
      <c r="Z6" s="69">
        <f t="shared" ref="Z6:Z11" si="1">(SUM(F6:Y6)/(COUNT(F6:Y6)))</f>
        <v>16119.65</v>
      </c>
      <c r="AA6" s="103"/>
      <c r="AX6"/>
    </row>
    <row r="7" spans="1:50">
      <c r="B7" s="4" t="s">
        <v>64</v>
      </c>
      <c r="C7" s="20">
        <f t="shared" si="0"/>
        <v>6250</v>
      </c>
      <c r="D7" s="10"/>
      <c r="E7" s="11">
        <v>0</v>
      </c>
      <c r="F7" s="122">
        <v>2495</v>
      </c>
      <c r="G7" s="122">
        <v>4985</v>
      </c>
      <c r="H7" s="122">
        <v>2695</v>
      </c>
      <c r="I7" s="122">
        <v>0</v>
      </c>
      <c r="J7" s="122">
        <v>0</v>
      </c>
      <c r="K7" s="122">
        <v>0</v>
      </c>
      <c r="L7" s="122">
        <v>15185</v>
      </c>
      <c r="M7" s="122">
        <v>0</v>
      </c>
      <c r="N7" s="122">
        <v>2695</v>
      </c>
      <c r="O7" s="122">
        <v>8085</v>
      </c>
      <c r="P7" s="122">
        <v>27135</v>
      </c>
      <c r="Q7" s="34">
        <v>2695</v>
      </c>
      <c r="R7" s="34">
        <v>2695</v>
      </c>
      <c r="S7" s="34">
        <v>8295</v>
      </c>
      <c r="T7" s="34">
        <v>2695</v>
      </c>
      <c r="U7" s="34">
        <v>0</v>
      </c>
      <c r="V7" s="34">
        <v>6995</v>
      </c>
      <c r="W7" s="34">
        <v>4395</v>
      </c>
      <c r="X7" s="34">
        <v>0</v>
      </c>
      <c r="Y7" s="34">
        <v>2695</v>
      </c>
      <c r="Z7" s="69">
        <f t="shared" si="1"/>
        <v>4687</v>
      </c>
      <c r="AA7" s="103"/>
      <c r="AX7"/>
    </row>
    <row r="8" spans="1:50">
      <c r="B8" s="4" t="s">
        <v>1</v>
      </c>
      <c r="C8" s="20">
        <f t="shared" si="0"/>
        <v>15000</v>
      </c>
      <c r="D8" s="10"/>
      <c r="E8" s="11">
        <v>4495</v>
      </c>
      <c r="F8" s="122">
        <v>11485</v>
      </c>
      <c r="G8" s="122">
        <v>15485</v>
      </c>
      <c r="H8" s="122">
        <v>13490</v>
      </c>
      <c r="I8" s="122">
        <v>9995</v>
      </c>
      <c r="J8" s="122">
        <v>10995</v>
      </c>
      <c r="K8" s="122">
        <v>10485</v>
      </c>
      <c r="L8" s="122">
        <v>2506</v>
      </c>
      <c r="M8" s="122">
        <v>17240</v>
      </c>
      <c r="N8" s="122">
        <v>17285</v>
      </c>
      <c r="O8" s="122">
        <v>17030</v>
      </c>
      <c r="P8" s="122">
        <v>20980</v>
      </c>
      <c r="Q8" s="34">
        <v>13030</v>
      </c>
      <c r="R8" s="34">
        <v>13985</v>
      </c>
      <c r="S8" s="34">
        <v>31970</v>
      </c>
      <c r="T8" s="34">
        <v>21485</v>
      </c>
      <c r="U8" s="34">
        <v>15985</v>
      </c>
      <c r="V8" s="34">
        <v>12515</v>
      </c>
      <c r="W8" s="34">
        <v>17485</v>
      </c>
      <c r="X8" s="34">
        <v>11990</v>
      </c>
      <c r="Y8" s="34">
        <v>10990</v>
      </c>
      <c r="Z8" s="69">
        <f t="shared" si="1"/>
        <v>14820.55</v>
      </c>
      <c r="AA8" s="103"/>
      <c r="AX8"/>
    </row>
    <row r="9" spans="1:50">
      <c r="B9" s="4" t="s">
        <v>2</v>
      </c>
      <c r="C9" s="20">
        <f t="shared" si="0"/>
        <v>12100</v>
      </c>
      <c r="D9" s="10"/>
      <c r="E9" s="11">
        <v>4550</v>
      </c>
      <c r="F9" s="122">
        <v>0</v>
      </c>
      <c r="G9" s="122">
        <v>5263</v>
      </c>
      <c r="H9" s="122">
        <v>5690</v>
      </c>
      <c r="I9" s="122">
        <v>2845</v>
      </c>
      <c r="J9" s="122">
        <v>10440</v>
      </c>
      <c r="K9" s="122">
        <v>10953</v>
      </c>
      <c r="L9" s="122">
        <v>2845</v>
      </c>
      <c r="M9" s="122">
        <v>0</v>
      </c>
      <c r="N9" s="122">
        <v>2995</v>
      </c>
      <c r="O9" s="122">
        <v>2845</v>
      </c>
      <c r="P9" s="122">
        <v>0</v>
      </c>
      <c r="Q9" s="34">
        <v>0</v>
      </c>
      <c r="R9" s="34">
        <v>4313</v>
      </c>
      <c r="S9" s="34">
        <v>2845</v>
      </c>
      <c r="T9" s="34">
        <v>2845</v>
      </c>
      <c r="U9" s="34">
        <v>8535</v>
      </c>
      <c r="V9" s="34">
        <v>1895</v>
      </c>
      <c r="W9" s="34">
        <v>8065</v>
      </c>
      <c r="X9" s="34">
        <v>8655</v>
      </c>
      <c r="Y9" s="34">
        <v>8065</v>
      </c>
      <c r="Z9" s="69">
        <f t="shared" si="1"/>
        <v>4454.7</v>
      </c>
      <c r="AA9" s="103"/>
      <c r="AX9"/>
    </row>
    <row r="10" spans="1:50">
      <c r="B10" s="4" t="s">
        <v>63</v>
      </c>
      <c r="C10" s="20">
        <f t="shared" si="0"/>
        <v>5000</v>
      </c>
      <c r="D10" s="10"/>
      <c r="E10" s="11">
        <v>0</v>
      </c>
      <c r="F10" s="122">
        <v>0</v>
      </c>
      <c r="G10" s="122">
        <v>2995</v>
      </c>
      <c r="H10" s="122">
        <v>0</v>
      </c>
      <c r="I10" s="122">
        <v>0</v>
      </c>
      <c r="J10" s="122">
        <v>4444</v>
      </c>
      <c r="K10" s="122">
        <v>2995</v>
      </c>
      <c r="L10" s="81">
        <v>0</v>
      </c>
      <c r="M10" s="81">
        <v>0</v>
      </c>
      <c r="N10" s="81">
        <v>0</v>
      </c>
      <c r="O10" s="122">
        <v>0</v>
      </c>
      <c r="P10" s="122">
        <v>0</v>
      </c>
      <c r="Q10" s="34">
        <v>0</v>
      </c>
      <c r="R10" s="34">
        <v>1500</v>
      </c>
      <c r="S10" s="34">
        <v>0</v>
      </c>
      <c r="T10" s="34">
        <v>1111</v>
      </c>
      <c r="U10" s="34">
        <v>0</v>
      </c>
      <c r="V10" s="34">
        <v>0</v>
      </c>
      <c r="W10" s="34">
        <v>0</v>
      </c>
      <c r="X10" s="34">
        <v>5555</v>
      </c>
      <c r="Y10" s="34">
        <v>2500</v>
      </c>
      <c r="Z10" s="69">
        <f t="shared" si="1"/>
        <v>1055</v>
      </c>
      <c r="AA10" s="103"/>
      <c r="AX10"/>
    </row>
    <row r="11" spans="1:50">
      <c r="B11" s="4" t="s">
        <v>3</v>
      </c>
      <c r="C11" s="21">
        <f t="shared" si="0"/>
        <v>20900</v>
      </c>
      <c r="D11" s="13"/>
      <c r="E11" s="40">
        <v>47113</v>
      </c>
      <c r="F11" s="124">
        <v>18653</v>
      </c>
      <c r="G11" s="124">
        <v>18315</v>
      </c>
      <c r="H11" s="124">
        <v>9902</v>
      </c>
      <c r="I11" s="124">
        <v>15747</v>
      </c>
      <c r="J11" s="124">
        <v>19786</v>
      </c>
      <c r="K11" s="124">
        <v>13116</v>
      </c>
      <c r="L11" s="124">
        <v>15844</v>
      </c>
      <c r="M11" s="124">
        <v>12713</v>
      </c>
      <c r="N11" s="124">
        <v>17346</v>
      </c>
      <c r="O11" s="124">
        <v>16472</v>
      </c>
      <c r="P11" s="124">
        <v>25085</v>
      </c>
      <c r="Q11" s="35">
        <v>12075</v>
      </c>
      <c r="R11" s="35">
        <v>8531</v>
      </c>
      <c r="S11" s="35">
        <v>20388</v>
      </c>
      <c r="T11" s="35">
        <v>24019</v>
      </c>
      <c r="U11" s="35">
        <v>12436</v>
      </c>
      <c r="V11" s="35">
        <v>11091</v>
      </c>
      <c r="W11" s="35">
        <v>4621</v>
      </c>
      <c r="X11" s="35">
        <v>11693</v>
      </c>
      <c r="Y11" s="35">
        <v>11420</v>
      </c>
      <c r="Z11" s="69">
        <f t="shared" si="1"/>
        <v>14962.65</v>
      </c>
      <c r="AA11" s="103"/>
      <c r="AX11"/>
    </row>
    <row r="12" spans="1:50" ht="15.75" thickBot="1">
      <c r="B12" s="14" t="s">
        <v>27</v>
      </c>
      <c r="C12" s="20">
        <f>SUM(C6:C11)</f>
        <v>79000</v>
      </c>
      <c r="D12" s="10"/>
      <c r="E12" s="11">
        <f t="shared" ref="E12:Y12" si="2">SUM(E6:E11)</f>
        <v>89171</v>
      </c>
      <c r="F12" s="10">
        <f t="shared" si="2"/>
        <v>51929</v>
      </c>
      <c r="G12" s="10">
        <f t="shared" si="2"/>
        <v>52766</v>
      </c>
      <c r="H12" s="10">
        <f t="shared" si="2"/>
        <v>51900</v>
      </c>
      <c r="I12" s="10">
        <f t="shared" si="2"/>
        <v>43033</v>
      </c>
      <c r="J12" s="10">
        <f t="shared" si="2"/>
        <v>76806</v>
      </c>
      <c r="K12" s="10">
        <f t="shared" si="2"/>
        <v>46337</v>
      </c>
      <c r="L12" s="10">
        <f t="shared" si="2"/>
        <v>56038</v>
      </c>
      <c r="M12" s="10">
        <f t="shared" si="2"/>
        <v>55583</v>
      </c>
      <c r="N12" s="10">
        <f t="shared" si="2"/>
        <v>58105</v>
      </c>
      <c r="O12" s="10">
        <f t="shared" si="2"/>
        <v>52857</v>
      </c>
      <c r="P12" s="10">
        <f t="shared" si="2"/>
        <v>85456</v>
      </c>
      <c r="Q12" s="10">
        <f t="shared" si="2"/>
        <v>46392</v>
      </c>
      <c r="R12" s="10">
        <f t="shared" si="2"/>
        <v>39554</v>
      </c>
      <c r="S12" s="10">
        <f t="shared" si="2"/>
        <v>81620</v>
      </c>
      <c r="T12" s="10">
        <f t="shared" si="2"/>
        <v>71531</v>
      </c>
      <c r="U12" s="10">
        <f t="shared" si="2"/>
        <v>53559</v>
      </c>
      <c r="V12" s="10">
        <f t="shared" si="2"/>
        <v>41841</v>
      </c>
      <c r="W12" s="10">
        <f t="shared" si="2"/>
        <v>57208</v>
      </c>
      <c r="X12" s="10">
        <f t="shared" si="2"/>
        <v>54929</v>
      </c>
      <c r="Y12" s="10">
        <f t="shared" si="2"/>
        <v>44547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56099.55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0.97701265822784811</v>
      </c>
      <c r="G17" s="25">
        <f t="shared" si="4"/>
        <v>0.28977215189873418</v>
      </c>
      <c r="H17" s="25">
        <f t="shared" si="4"/>
        <v>1.018886075949367</v>
      </c>
      <c r="I17" s="25">
        <f t="shared" si="4"/>
        <v>0.73144303797468346</v>
      </c>
      <c r="J17" s="25">
        <f t="shared" si="4"/>
        <v>1.576759493670886</v>
      </c>
      <c r="K17" s="25">
        <f t="shared" si="4"/>
        <v>0.44496202531645568</v>
      </c>
      <c r="L17" s="25">
        <f t="shared" si="4"/>
        <v>0.99534177215189878</v>
      </c>
      <c r="M17" s="25">
        <f t="shared" si="4"/>
        <v>1.2977215189873417</v>
      </c>
      <c r="N17" s="25">
        <f t="shared" si="4"/>
        <v>0.90045569620253163</v>
      </c>
      <c r="O17" s="25">
        <f t="shared" si="4"/>
        <v>0.42658227848101271</v>
      </c>
      <c r="P17" s="25">
        <f t="shared" si="4"/>
        <v>0.62055696202531641</v>
      </c>
      <c r="Q17" s="25">
        <f t="shared" si="4"/>
        <v>0.94136708860759488</v>
      </c>
      <c r="R17" s="25">
        <f t="shared" si="4"/>
        <v>0.43189873417721514</v>
      </c>
      <c r="S17" s="25">
        <f t="shared" si="4"/>
        <v>0.91756962025316458</v>
      </c>
      <c r="T17" s="25">
        <f t="shared" si="4"/>
        <v>0.98106329113924051</v>
      </c>
      <c r="U17" s="25">
        <f t="shared" si="4"/>
        <v>0.84065822784810129</v>
      </c>
      <c r="V17" s="25">
        <f t="shared" si="4"/>
        <v>0.47316455696202531</v>
      </c>
      <c r="W17" s="25">
        <f t="shared" si="4"/>
        <v>1.1464303797468354</v>
      </c>
      <c r="X17" s="25">
        <f t="shared" si="4"/>
        <v>0.86258227848101265</v>
      </c>
      <c r="Y17" s="25">
        <f t="shared" si="4"/>
        <v>0.4494683544303798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0.3992</v>
      </c>
      <c r="G18" s="25">
        <f t="shared" si="4"/>
        <v>0.79759999999999998</v>
      </c>
      <c r="H18" s="25">
        <f t="shared" si="4"/>
        <v>0.43120000000000003</v>
      </c>
      <c r="I18" s="25">
        <f t="shared" si="4"/>
        <v>0</v>
      </c>
      <c r="J18" s="25">
        <f t="shared" si="4"/>
        <v>0</v>
      </c>
      <c r="K18" s="25">
        <f t="shared" si="4"/>
        <v>0</v>
      </c>
      <c r="L18" s="25">
        <f t="shared" si="4"/>
        <v>2.4295999999999998</v>
      </c>
      <c r="M18" s="25">
        <f t="shared" si="4"/>
        <v>0</v>
      </c>
      <c r="N18" s="25">
        <f t="shared" si="4"/>
        <v>0.43120000000000003</v>
      </c>
      <c r="O18" s="25">
        <f t="shared" si="4"/>
        <v>1.2936000000000001</v>
      </c>
      <c r="P18" s="25">
        <f t="shared" si="4"/>
        <v>4.3415999999999997</v>
      </c>
      <c r="Q18" s="25">
        <f t="shared" si="4"/>
        <v>0.43120000000000003</v>
      </c>
      <c r="R18" s="25">
        <f t="shared" si="4"/>
        <v>0.43120000000000003</v>
      </c>
      <c r="S18" s="25">
        <f t="shared" si="4"/>
        <v>1.3271999999999999</v>
      </c>
      <c r="T18" s="25">
        <f t="shared" si="4"/>
        <v>0.43120000000000003</v>
      </c>
      <c r="U18" s="25">
        <f t="shared" si="4"/>
        <v>0</v>
      </c>
      <c r="V18" s="25">
        <f t="shared" si="4"/>
        <v>1.1192</v>
      </c>
      <c r="W18" s="25">
        <f t="shared" si="4"/>
        <v>0.70320000000000005</v>
      </c>
      <c r="X18" s="25">
        <f t="shared" si="4"/>
        <v>0</v>
      </c>
      <c r="Y18" s="25">
        <f t="shared" si="4"/>
        <v>0.43120000000000003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0.76566666666666672</v>
      </c>
      <c r="G19" s="25">
        <f t="shared" si="4"/>
        <v>1.0323333333333333</v>
      </c>
      <c r="H19" s="25">
        <f t="shared" si="4"/>
        <v>0.89933333333333332</v>
      </c>
      <c r="I19" s="25">
        <f t="shared" si="4"/>
        <v>0.66633333333333333</v>
      </c>
      <c r="J19" s="25">
        <f t="shared" si="4"/>
        <v>0.73299999999999998</v>
      </c>
      <c r="K19" s="25">
        <f t="shared" si="4"/>
        <v>0.69900000000000007</v>
      </c>
      <c r="L19" s="25">
        <f t="shared" si="4"/>
        <v>0.1670666666666667</v>
      </c>
      <c r="M19" s="25">
        <f t="shared" si="4"/>
        <v>1.1493333333333333</v>
      </c>
      <c r="N19" s="25">
        <f t="shared" si="4"/>
        <v>1.1523333333333334</v>
      </c>
      <c r="O19" s="25">
        <f t="shared" si="4"/>
        <v>1.1353333333333333</v>
      </c>
      <c r="P19" s="25">
        <f t="shared" si="4"/>
        <v>1.3986666666666667</v>
      </c>
      <c r="Q19" s="25">
        <f t="shared" si="4"/>
        <v>0.8686666666666667</v>
      </c>
      <c r="R19" s="25">
        <f t="shared" si="4"/>
        <v>0.93233333333333335</v>
      </c>
      <c r="S19" s="25">
        <f t="shared" si="4"/>
        <v>2.1313333333333331</v>
      </c>
      <c r="T19" s="25">
        <f t="shared" si="4"/>
        <v>1.4323333333333332</v>
      </c>
      <c r="U19" s="25">
        <f t="shared" si="4"/>
        <v>1.0656666666666668</v>
      </c>
      <c r="V19" s="25">
        <f t="shared" si="4"/>
        <v>0.83433333333333337</v>
      </c>
      <c r="W19" s="25">
        <f t="shared" si="4"/>
        <v>1.1656666666666666</v>
      </c>
      <c r="X19" s="25">
        <f t="shared" si="4"/>
        <v>0.79933333333333334</v>
      </c>
      <c r="Y19" s="25">
        <f t="shared" si="4"/>
        <v>0.73266666666666669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</v>
      </c>
      <c r="G20" s="25">
        <f t="shared" si="4"/>
        <v>0.43495867768595042</v>
      </c>
      <c r="H20" s="25">
        <f t="shared" si="4"/>
        <v>0.47024793388429753</v>
      </c>
      <c r="I20" s="25">
        <f t="shared" si="4"/>
        <v>0.23512396694214877</v>
      </c>
      <c r="J20" s="25">
        <f t="shared" si="4"/>
        <v>0.86280991735537194</v>
      </c>
      <c r="K20" s="25">
        <f t="shared" si="4"/>
        <v>0.90520661157024795</v>
      </c>
      <c r="L20" s="25">
        <f t="shared" si="4"/>
        <v>0.23512396694214877</v>
      </c>
      <c r="M20" s="25">
        <f t="shared" si="4"/>
        <v>0</v>
      </c>
      <c r="N20" s="25">
        <f t="shared" si="4"/>
        <v>0.24752066115702476</v>
      </c>
      <c r="O20" s="25">
        <f t="shared" si="4"/>
        <v>0.23512396694214877</v>
      </c>
      <c r="P20" s="25">
        <f t="shared" si="4"/>
        <v>0</v>
      </c>
      <c r="Q20" s="25">
        <f t="shared" si="4"/>
        <v>0</v>
      </c>
      <c r="R20" s="25">
        <f t="shared" si="4"/>
        <v>0.35644628099173559</v>
      </c>
      <c r="S20" s="25">
        <f t="shared" si="4"/>
        <v>0.23512396694214877</v>
      </c>
      <c r="T20" s="25">
        <f t="shared" si="4"/>
        <v>0.23512396694214877</v>
      </c>
      <c r="U20" s="25">
        <f t="shared" si="4"/>
        <v>0.7053719008264463</v>
      </c>
      <c r="V20" s="25">
        <f t="shared" si="4"/>
        <v>0.15661157024793393</v>
      </c>
      <c r="W20" s="25">
        <f t="shared" si="4"/>
        <v>0.66652892561983479</v>
      </c>
      <c r="X20" s="25">
        <f t="shared" si="4"/>
        <v>0.71528925619834705</v>
      </c>
      <c r="Y20" s="25">
        <f t="shared" si="4"/>
        <v>0.66652892561983479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0.59899999999999998</v>
      </c>
      <c r="H21" s="25">
        <f t="shared" si="4"/>
        <v>0</v>
      </c>
      <c r="I21" s="25">
        <f t="shared" si="4"/>
        <v>0</v>
      </c>
      <c r="J21" s="25">
        <f t="shared" si="4"/>
        <v>0.88880000000000003</v>
      </c>
      <c r="K21" s="25">
        <f t="shared" si="4"/>
        <v>0.59899999999999998</v>
      </c>
      <c r="L21" s="25">
        <f t="shared" si="4"/>
        <v>0</v>
      </c>
      <c r="M21" s="25">
        <f t="shared" si="4"/>
        <v>0</v>
      </c>
      <c r="N21" s="25">
        <f t="shared" si="4"/>
        <v>0</v>
      </c>
      <c r="O21" s="25">
        <f t="shared" si="4"/>
        <v>0</v>
      </c>
      <c r="P21" s="25">
        <f t="shared" si="4"/>
        <v>0</v>
      </c>
      <c r="Q21" s="25">
        <f t="shared" si="4"/>
        <v>0</v>
      </c>
      <c r="R21" s="25">
        <f t="shared" si="4"/>
        <v>0.30000000000000004</v>
      </c>
      <c r="S21" s="25">
        <f t="shared" si="4"/>
        <v>0</v>
      </c>
      <c r="T21" s="25">
        <f t="shared" si="4"/>
        <v>0.22219999999999995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1.111</v>
      </c>
      <c r="Y21" s="25">
        <f t="shared" si="4"/>
        <v>0.5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0.892488038277512</v>
      </c>
      <c r="G22" s="27">
        <f t="shared" si="4"/>
        <v>0.87631578947368416</v>
      </c>
      <c r="H22" s="27">
        <f t="shared" si="4"/>
        <v>0.47377990430622008</v>
      </c>
      <c r="I22" s="27">
        <f t="shared" si="4"/>
        <v>0.75344497607655503</v>
      </c>
      <c r="J22" s="27">
        <f t="shared" si="4"/>
        <v>0.94669856459330148</v>
      </c>
      <c r="K22" s="27">
        <f t="shared" si="4"/>
        <v>0.62755980861244021</v>
      </c>
      <c r="L22" s="27">
        <f t="shared" si="4"/>
        <v>0.75808612440191392</v>
      </c>
      <c r="M22" s="27">
        <f t="shared" si="4"/>
        <v>0.60827751196172253</v>
      </c>
      <c r="N22" s="27">
        <f t="shared" si="4"/>
        <v>0.82995215311004789</v>
      </c>
      <c r="O22" s="27">
        <f t="shared" si="4"/>
        <v>0.78813397129186602</v>
      </c>
      <c r="P22" s="27">
        <f t="shared" si="4"/>
        <v>1.2002392344497608</v>
      </c>
      <c r="Q22" s="27">
        <f t="shared" si="4"/>
        <v>0.57775119617224879</v>
      </c>
      <c r="R22" s="27">
        <f t="shared" si="4"/>
        <v>0.4081818181818182</v>
      </c>
      <c r="S22" s="27">
        <f t="shared" si="4"/>
        <v>0.97550239234449765</v>
      </c>
      <c r="T22" s="27">
        <f t="shared" si="4"/>
        <v>1.1492344497607656</v>
      </c>
      <c r="U22" s="27">
        <f t="shared" si="4"/>
        <v>0.59502392344497612</v>
      </c>
      <c r="V22" s="27">
        <f t="shared" si="4"/>
        <v>0.53066985645933018</v>
      </c>
      <c r="W22" s="27">
        <f t="shared" si="4"/>
        <v>0.22110047846889958</v>
      </c>
      <c r="X22" s="27">
        <f t="shared" si="4"/>
        <v>0.55947368421052635</v>
      </c>
      <c r="Y22" s="27">
        <f t="shared" si="4"/>
        <v>0.54641148325358846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0.65732911392405069</v>
      </c>
      <c r="G23" s="25">
        <f t="shared" si="4"/>
        <v>0.66792405063291138</v>
      </c>
      <c r="H23" s="25">
        <f t="shared" si="4"/>
        <v>0.65696202531645564</v>
      </c>
      <c r="I23" s="25">
        <f t="shared" si="4"/>
        <v>0.54472151898734178</v>
      </c>
      <c r="J23" s="25">
        <f>(J12-$C12)/$C12+1</f>
        <v>0.97222784810126583</v>
      </c>
      <c r="K23" s="25">
        <f>(K12-$C12)/$C12+1</f>
        <v>0.58654430379746836</v>
      </c>
      <c r="L23" s="25">
        <f>(L12-$C12)/$C12+1</f>
        <v>0.70934177215189875</v>
      </c>
      <c r="M23" s="25">
        <f t="shared" si="4"/>
        <v>0.70358227848101262</v>
      </c>
      <c r="N23" s="25">
        <f t="shared" si="4"/>
        <v>0.73550632911392411</v>
      </c>
      <c r="O23" s="25">
        <f t="shared" si="4"/>
        <v>0.66907594936708858</v>
      </c>
      <c r="P23" s="25">
        <f t="shared" si="4"/>
        <v>1.0817215189873417</v>
      </c>
      <c r="Q23" s="25">
        <f t="shared" si="4"/>
        <v>0.58724050632911395</v>
      </c>
      <c r="R23" s="25">
        <f t="shared" si="4"/>
        <v>0.50068354430379747</v>
      </c>
      <c r="S23" s="25">
        <f>(S12-$C12)/$C12+1</f>
        <v>1.0331645569620254</v>
      </c>
      <c r="T23" s="25">
        <f>(T12-$C12)/$C12+1</f>
        <v>0.90545569620253163</v>
      </c>
      <c r="U23" s="25">
        <f>(U12-$C12)/$C12+1</f>
        <v>0.67796202531645577</v>
      </c>
      <c r="V23" s="25">
        <f>(V12-$C12)/$C12+1</f>
        <v>0.52963291139240498</v>
      </c>
      <c r="W23" s="25">
        <f>(W12-$C12)/$C12+1</f>
        <v>0.72415189873417729</v>
      </c>
      <c r="X23" s="25">
        <f t="shared" si="4"/>
        <v>0.69530379746835447</v>
      </c>
      <c r="Y23" s="25">
        <f t="shared" si="4"/>
        <v>0.56388607594936713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33013</v>
      </c>
      <c r="G27" s="23">
        <v>38736</v>
      </c>
      <c r="H27" s="23">
        <v>58895</v>
      </c>
      <c r="I27" s="23">
        <v>73305</v>
      </c>
      <c r="J27" s="23">
        <v>104446</v>
      </c>
      <c r="K27" s="23">
        <v>113234</v>
      </c>
      <c r="L27" s="122">
        <v>132892</v>
      </c>
      <c r="M27" s="122">
        <v>158522</v>
      </c>
      <c r="N27" s="122">
        <v>176306</v>
      </c>
      <c r="O27" s="122">
        <v>184556</v>
      </c>
      <c r="P27" s="122">
        <v>196812</v>
      </c>
      <c r="Q27" s="23">
        <v>215579</v>
      </c>
      <c r="R27" s="23">
        <v>218614</v>
      </c>
      <c r="S27" s="23">
        <v>233697</v>
      </c>
      <c r="T27" s="23">
        <v>253073</v>
      </c>
      <c r="U27" s="23">
        <v>269676</v>
      </c>
      <c r="V27" s="23">
        <v>279021</v>
      </c>
      <c r="W27" s="23">
        <v>301663</v>
      </c>
      <c r="X27" s="23">
        <v>318699</v>
      </c>
      <c r="Y27" s="23">
        <v>318574</v>
      </c>
      <c r="Z27" s="109">
        <f>+Y27/C48</f>
        <v>0.80651645569620256</v>
      </c>
      <c r="AA27" s="134">
        <f t="shared" ref="AA27:AA33" si="8">+Z27-Y$25</f>
        <v>-0.19348354430379744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4985</v>
      </c>
      <c r="H28" s="34">
        <v>7680</v>
      </c>
      <c r="I28" s="34">
        <v>7680</v>
      </c>
      <c r="J28" s="34">
        <v>7680</v>
      </c>
      <c r="K28" s="34">
        <v>7680</v>
      </c>
      <c r="L28" s="122">
        <v>22865</v>
      </c>
      <c r="M28" s="122">
        <v>22865</v>
      </c>
      <c r="N28" s="122">
        <v>32760</v>
      </c>
      <c r="O28" s="122">
        <v>40845</v>
      </c>
      <c r="P28" s="122">
        <v>67980</v>
      </c>
      <c r="Q28" s="23">
        <v>70675</v>
      </c>
      <c r="R28" s="23">
        <v>73370</v>
      </c>
      <c r="S28" s="23">
        <v>76870</v>
      </c>
      <c r="T28" s="23">
        <v>74770</v>
      </c>
      <c r="U28" s="23">
        <v>74770</v>
      </c>
      <c r="V28" s="121">
        <v>81765</v>
      </c>
      <c r="W28" s="23">
        <v>86160</v>
      </c>
      <c r="X28" s="23">
        <v>86160</v>
      </c>
      <c r="Y28" s="23">
        <v>93591</v>
      </c>
      <c r="Z28" s="109">
        <f>+Y28/C49</f>
        <v>0.74872799999999995</v>
      </c>
      <c r="AA28" s="79">
        <f t="shared" si="8"/>
        <v>-0.25127200000000005</v>
      </c>
      <c r="AX28"/>
    </row>
    <row r="29" spans="2:50">
      <c r="B29" s="4" t="str">
        <f>+B19</f>
        <v>Boston</v>
      </c>
      <c r="C29" s="4"/>
      <c r="D29" s="4"/>
      <c r="E29" s="23"/>
      <c r="F29" s="34">
        <v>4495</v>
      </c>
      <c r="G29" s="34">
        <v>1545</v>
      </c>
      <c r="H29" s="34">
        <v>6045</v>
      </c>
      <c r="I29" s="34">
        <v>6045</v>
      </c>
      <c r="J29" s="34">
        <v>6045</v>
      </c>
      <c r="K29" s="34">
        <v>10540</v>
      </c>
      <c r="L29" s="122">
        <v>13040</v>
      </c>
      <c r="M29" s="122">
        <v>25780</v>
      </c>
      <c r="N29" s="122">
        <v>38075</v>
      </c>
      <c r="O29" s="122">
        <v>44070</v>
      </c>
      <c r="P29" s="122">
        <v>63595</v>
      </c>
      <c r="Q29" s="23">
        <v>79080</v>
      </c>
      <c r="R29" s="23">
        <v>90370</v>
      </c>
      <c r="S29" s="23">
        <v>119540</v>
      </c>
      <c r="T29" s="23">
        <v>134530</v>
      </c>
      <c r="U29" s="23">
        <v>147520</v>
      </c>
      <c r="V29" s="121">
        <v>161035</v>
      </c>
      <c r="W29" s="23">
        <v>166030</v>
      </c>
      <c r="X29" s="23">
        <v>174035</v>
      </c>
      <c r="Y29" s="23">
        <v>176995</v>
      </c>
      <c r="Z29" s="109">
        <f>+Y29/C50</f>
        <v>0.5899833333333333</v>
      </c>
      <c r="AA29" s="79">
        <f t="shared" si="8"/>
        <v>-0.4100166666666667</v>
      </c>
      <c r="AX29"/>
    </row>
    <row r="30" spans="2:50" s="4" customFormat="1" ht="12.75">
      <c r="B30" s="4" t="str">
        <f>+B20</f>
        <v>Canada</v>
      </c>
      <c r="E30" s="23"/>
      <c r="F30" s="34">
        <v>4550</v>
      </c>
      <c r="G30" s="34">
        <v>9813</v>
      </c>
      <c r="H30" s="34">
        <v>15504</v>
      </c>
      <c r="I30" s="34">
        <v>18349</v>
      </c>
      <c r="J30" s="34">
        <v>23569</v>
      </c>
      <c r="K30" s="34">
        <v>39743</v>
      </c>
      <c r="L30" s="122">
        <v>42588</v>
      </c>
      <c r="M30" s="122">
        <v>42588</v>
      </c>
      <c r="N30" s="122">
        <v>45433</v>
      </c>
      <c r="O30" s="122">
        <v>45433</v>
      </c>
      <c r="P30" s="122">
        <v>45433</v>
      </c>
      <c r="Q30" s="34">
        <v>47329</v>
      </c>
      <c r="R30" s="34">
        <v>40746</v>
      </c>
      <c r="S30" s="34">
        <v>52592</v>
      </c>
      <c r="T30" s="34">
        <v>55437</v>
      </c>
      <c r="U30" s="34">
        <v>63973</v>
      </c>
      <c r="V30" s="121">
        <v>65868</v>
      </c>
      <c r="W30" s="34">
        <v>68713</v>
      </c>
      <c r="X30" s="34">
        <v>80693</v>
      </c>
      <c r="Y30" s="34">
        <v>87520</v>
      </c>
      <c r="Z30" s="109">
        <f>Y30/C51</f>
        <v>0.36165289256198346</v>
      </c>
      <c r="AA30" s="79">
        <f t="shared" si="8"/>
        <v>-0.63834710743801648</v>
      </c>
    </row>
    <row r="31" spans="2:50" s="4" customFormat="1" ht="12.75">
      <c r="B31" s="4" t="s">
        <v>63</v>
      </c>
      <c r="E31" s="23"/>
      <c r="F31" s="34">
        <v>0</v>
      </c>
      <c r="G31" s="34">
        <v>2995</v>
      </c>
      <c r="H31" s="34">
        <v>2995</v>
      </c>
      <c r="I31" s="34">
        <v>2995</v>
      </c>
      <c r="J31" s="34">
        <v>7439</v>
      </c>
      <c r="K31" s="34">
        <v>10434</v>
      </c>
      <c r="L31" s="122">
        <v>10434</v>
      </c>
      <c r="M31" s="122">
        <v>10434</v>
      </c>
      <c r="N31" s="122">
        <v>10434</v>
      </c>
      <c r="O31" s="122">
        <v>10434</v>
      </c>
      <c r="P31" s="122">
        <v>10434</v>
      </c>
      <c r="Q31" s="34">
        <v>10434</v>
      </c>
      <c r="R31" s="34">
        <v>11934</v>
      </c>
      <c r="S31" s="34">
        <v>11934</v>
      </c>
      <c r="T31" s="34">
        <v>13045</v>
      </c>
      <c r="U31" s="34">
        <v>13045</v>
      </c>
      <c r="V31" s="121">
        <v>13045</v>
      </c>
      <c r="W31" s="34">
        <v>13045</v>
      </c>
      <c r="X31" s="34">
        <v>18600</v>
      </c>
      <c r="Y31" s="34">
        <v>21100</v>
      </c>
      <c r="Z31" s="109">
        <f>Y31/C52</f>
        <v>0.21099999999999999</v>
      </c>
      <c r="AA31" s="79">
        <f t="shared" si="8"/>
        <v>-0.78900000000000003</v>
      </c>
    </row>
    <row r="32" spans="2:50">
      <c r="B32" s="5" t="str">
        <f>+B22</f>
        <v>Norwich</v>
      </c>
      <c r="C32" s="19"/>
      <c r="D32" s="19"/>
      <c r="E32" s="35"/>
      <c r="F32" s="35">
        <v>47113</v>
      </c>
      <c r="G32" s="35">
        <v>62502</v>
      </c>
      <c r="H32" s="35">
        <v>72404</v>
      </c>
      <c r="I32" s="35">
        <v>84543</v>
      </c>
      <c r="J32" s="35">
        <v>100753</v>
      </c>
      <c r="K32" s="35">
        <v>106565</v>
      </c>
      <c r="L32" s="124">
        <v>120790</v>
      </c>
      <c r="M32" s="124">
        <v>134760</v>
      </c>
      <c r="N32" s="124">
        <v>152110</v>
      </c>
      <c r="O32" s="124">
        <v>165005</v>
      </c>
      <c r="P32" s="124">
        <v>190090</v>
      </c>
      <c r="Q32" s="35">
        <v>197544</v>
      </c>
      <c r="R32" s="35">
        <v>207715</v>
      </c>
      <c r="S32" s="35">
        <v>228104</v>
      </c>
      <c r="T32" s="35">
        <v>252123</v>
      </c>
      <c r="U32" s="35">
        <v>258819</v>
      </c>
      <c r="V32" s="35">
        <v>266929</v>
      </c>
      <c r="W32" s="35">
        <v>263292</v>
      </c>
      <c r="X32" s="35">
        <v>266788</v>
      </c>
      <c r="Y32" s="35">
        <v>284825</v>
      </c>
      <c r="Z32" s="110">
        <f>+Y32/C53</f>
        <v>0.6813995215311005</v>
      </c>
      <c r="AA32" s="79">
        <f t="shared" si="8"/>
        <v>-0.3186004784688995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89171</v>
      </c>
      <c r="G33" s="10">
        <f>SUM(G27:G32)</f>
        <v>120576</v>
      </c>
      <c r="H33" s="10">
        <f>SUM(H27:H32)</f>
        <v>163523</v>
      </c>
      <c r="I33" s="10">
        <f>SUM(I27:I32)</f>
        <v>192917</v>
      </c>
      <c r="J33" s="4">
        <f t="shared" ref="J33:Y33" si="9">SUM(J27:J32)</f>
        <v>249932</v>
      </c>
      <c r="K33" s="10">
        <f t="shared" si="9"/>
        <v>288196</v>
      </c>
      <c r="L33" s="10">
        <f t="shared" si="9"/>
        <v>342609</v>
      </c>
      <c r="M33" s="10">
        <f t="shared" si="9"/>
        <v>394949</v>
      </c>
      <c r="N33" s="10">
        <f t="shared" si="9"/>
        <v>455118</v>
      </c>
      <c r="O33" s="4">
        <f>SUM(O27:O32)</f>
        <v>490343</v>
      </c>
      <c r="P33" s="10">
        <f t="shared" si="9"/>
        <v>574344</v>
      </c>
      <c r="Q33" s="10">
        <f t="shared" si="9"/>
        <v>620641</v>
      </c>
      <c r="R33" s="10">
        <f t="shared" si="9"/>
        <v>642749</v>
      </c>
      <c r="S33" s="10">
        <f t="shared" si="9"/>
        <v>722737</v>
      </c>
      <c r="T33" s="4">
        <f t="shared" si="9"/>
        <v>782978</v>
      </c>
      <c r="U33" s="10">
        <f t="shared" si="9"/>
        <v>827803</v>
      </c>
      <c r="V33" s="10">
        <f t="shared" si="9"/>
        <v>867663</v>
      </c>
      <c r="W33" s="10">
        <f t="shared" si="9"/>
        <v>898903</v>
      </c>
      <c r="X33" s="10">
        <f t="shared" si="9"/>
        <v>944975</v>
      </c>
      <c r="Y33" s="10">
        <f t="shared" si="9"/>
        <v>982605</v>
      </c>
      <c r="Z33" s="111">
        <f>+Y33/C54</f>
        <v>0.62190189873417723</v>
      </c>
      <c r="AA33" s="84">
        <f t="shared" si="8"/>
        <v>-0.37809810126582277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5.64373417721519E-2</v>
      </c>
      <c r="G34" s="30">
        <f t="shared" si="10"/>
        <v>7.6313924050632906E-2</v>
      </c>
      <c r="H34" s="30">
        <f t="shared" si="10"/>
        <v>0.10349556962025316</v>
      </c>
      <c r="I34" s="30">
        <f t="shared" si="10"/>
        <v>0.12209936708860759</v>
      </c>
      <c r="J34" s="30">
        <f t="shared" si="10"/>
        <v>0.15818481012658228</v>
      </c>
      <c r="K34" s="30">
        <f t="shared" si="10"/>
        <v>0.18240253164556963</v>
      </c>
      <c r="L34" s="30">
        <f t="shared" si="10"/>
        <v>0.21684113924050633</v>
      </c>
      <c r="M34" s="30">
        <f t="shared" si="10"/>
        <v>0.24996772151898733</v>
      </c>
      <c r="N34" s="30">
        <f t="shared" si="10"/>
        <v>0.28804936708860762</v>
      </c>
      <c r="O34" s="30">
        <f>+O33/$C$54</f>
        <v>0.31034367088607595</v>
      </c>
      <c r="P34" s="30">
        <f t="shared" ref="P34:Y34" si="11">+P33/$C$54</f>
        <v>0.36350886075949368</v>
      </c>
      <c r="Q34" s="30">
        <f t="shared" si="11"/>
        <v>0.39281075949367089</v>
      </c>
      <c r="R34" s="30">
        <f t="shared" si="11"/>
        <v>0.40680316455696203</v>
      </c>
      <c r="S34" s="30">
        <f t="shared" si="11"/>
        <v>0.45742848101265821</v>
      </c>
      <c r="T34" s="30">
        <f t="shared" si="11"/>
        <v>0.49555569620253165</v>
      </c>
      <c r="U34" s="30">
        <f t="shared" si="11"/>
        <v>0.52392594936708858</v>
      </c>
      <c r="V34" s="30">
        <f t="shared" si="11"/>
        <v>0.54915379746835447</v>
      </c>
      <c r="W34" s="30">
        <f t="shared" si="11"/>
        <v>0.56892594936708862</v>
      </c>
      <c r="X34" s="30">
        <f t="shared" si="11"/>
        <v>0.59808544303797473</v>
      </c>
      <c r="Y34" s="30">
        <f t="shared" si="11"/>
        <v>0.62190189873417723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1.6715443037974684</v>
      </c>
      <c r="G38" s="17">
        <f t="shared" ref="G38:Y38" si="13">(G48/$C$48)</f>
        <v>0.9806582278481013</v>
      </c>
      <c r="H38" s="17">
        <f t="shared" si="13"/>
        <v>0.99400843881856549</v>
      </c>
      <c r="I38" s="17">
        <f t="shared" si="13"/>
        <v>0.92791139240506326</v>
      </c>
      <c r="J38" s="17">
        <f t="shared" si="13"/>
        <v>1.0576810126582279</v>
      </c>
      <c r="K38" s="17">
        <f t="shared" si="13"/>
        <v>0.95556118143459901</v>
      </c>
      <c r="L38" s="17">
        <f t="shared" si="13"/>
        <v>0.96124412296564188</v>
      </c>
      <c r="M38" s="17">
        <f t="shared" si="13"/>
        <v>1.0033037974683545</v>
      </c>
      <c r="N38" s="17">
        <f t="shared" si="13"/>
        <v>0.9918762306610408</v>
      </c>
      <c r="O38" s="17">
        <f t="shared" si="13"/>
        <v>0.93446075949367091</v>
      </c>
      <c r="P38" s="17">
        <f t="shared" si="13"/>
        <v>0.90592405063291137</v>
      </c>
      <c r="Q38" s="17">
        <f t="shared" si="13"/>
        <v>0.90961603375527433</v>
      </c>
      <c r="R38" s="17">
        <f t="shared" si="13"/>
        <v>0.85146640701071075</v>
      </c>
      <c r="S38" s="17">
        <f t="shared" si="13"/>
        <v>0.84519710669077763</v>
      </c>
      <c r="T38" s="17">
        <f t="shared" si="13"/>
        <v>0.854254852320675</v>
      </c>
      <c r="U38" s="17">
        <f t="shared" si="13"/>
        <v>0.85340506329113919</v>
      </c>
      <c r="V38" s="17">
        <f t="shared" si="13"/>
        <v>0.83103797468354434</v>
      </c>
      <c r="W38" s="17">
        <f t="shared" si="13"/>
        <v>0.84855977496483825</v>
      </c>
      <c r="X38" s="17">
        <f t="shared" si="13"/>
        <v>0.84929780146568967</v>
      </c>
      <c r="Y38" s="17">
        <f t="shared" si="13"/>
        <v>0.80651645569620256</v>
      </c>
      <c r="Z38" s="140" t="s">
        <v>71</v>
      </c>
      <c r="AA38" s="138">
        <v>325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0.39879999999999999</v>
      </c>
      <c r="H39" s="17">
        <f t="shared" si="14"/>
        <v>0.40960000000000002</v>
      </c>
      <c r="I39" s="17">
        <f t="shared" si="14"/>
        <v>0.30719999999999997</v>
      </c>
      <c r="J39" s="17">
        <f t="shared" si="14"/>
        <v>0.24576000000000001</v>
      </c>
      <c r="K39" s="17">
        <f t="shared" si="14"/>
        <v>0.20480000000000001</v>
      </c>
      <c r="L39" s="17">
        <f t="shared" si="14"/>
        <v>0.52262857142857144</v>
      </c>
      <c r="M39" s="17">
        <f t="shared" si="14"/>
        <v>0.45729999999999998</v>
      </c>
      <c r="N39" s="17">
        <f t="shared" si="14"/>
        <v>0.58240000000000003</v>
      </c>
      <c r="O39" s="17">
        <f t="shared" si="14"/>
        <v>0.65351999999999999</v>
      </c>
      <c r="P39" s="17">
        <f t="shared" si="14"/>
        <v>0.98880000000000001</v>
      </c>
      <c r="Q39" s="17">
        <f t="shared" si="14"/>
        <v>0.94233333333333325</v>
      </c>
      <c r="R39" s="17">
        <f t="shared" si="14"/>
        <v>0.90301538461538478</v>
      </c>
      <c r="S39" s="17">
        <f t="shared" si="14"/>
        <v>0.87851428571428569</v>
      </c>
      <c r="T39" s="17">
        <f t="shared" si="14"/>
        <v>0.79754666666666674</v>
      </c>
      <c r="U39" s="17">
        <f t="shared" si="14"/>
        <v>0.74770000000000003</v>
      </c>
      <c r="V39" s="17">
        <f t="shared" si="14"/>
        <v>0.76955294117647055</v>
      </c>
      <c r="W39" s="17">
        <f t="shared" si="14"/>
        <v>0.7658666666666667</v>
      </c>
      <c r="X39" s="17">
        <f t="shared" si="14"/>
        <v>0.72555789473684218</v>
      </c>
      <c r="Y39" s="17">
        <f t="shared" si="14"/>
        <v>0.74872799999999995</v>
      </c>
      <c r="Z39" s="140" t="s">
        <v>72</v>
      </c>
      <c r="AA39" s="138">
        <v>125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0.29966666666666669</v>
      </c>
      <c r="G40" s="17">
        <f t="shared" si="15"/>
        <v>5.1499999999999997E-2</v>
      </c>
      <c r="H40" s="17">
        <f t="shared" si="15"/>
        <v>0.13433333333333333</v>
      </c>
      <c r="I40" s="17">
        <f t="shared" si="15"/>
        <v>0.10075000000000001</v>
      </c>
      <c r="J40" s="17">
        <f t="shared" si="15"/>
        <v>8.0600000000000005E-2</v>
      </c>
      <c r="K40" s="17">
        <f t="shared" si="15"/>
        <v>0.11711111111111112</v>
      </c>
      <c r="L40" s="17">
        <f t="shared" si="15"/>
        <v>0.12419047619047618</v>
      </c>
      <c r="M40" s="17">
        <f t="shared" si="15"/>
        <v>0.21483333333333332</v>
      </c>
      <c r="N40" s="17">
        <f t="shared" si="15"/>
        <v>0.28203703703703703</v>
      </c>
      <c r="O40" s="17">
        <f t="shared" si="15"/>
        <v>0.29380000000000001</v>
      </c>
      <c r="P40" s="17">
        <f t="shared" si="15"/>
        <v>0.38542424242424239</v>
      </c>
      <c r="Q40" s="17">
        <f t="shared" si="15"/>
        <v>0.43933333333333335</v>
      </c>
      <c r="R40" s="17">
        <f t="shared" si="15"/>
        <v>0.46343589743589747</v>
      </c>
      <c r="S40" s="17">
        <f t="shared" si="15"/>
        <v>0.56923809523809532</v>
      </c>
      <c r="T40" s="17">
        <f t="shared" si="15"/>
        <v>0.59791111111111106</v>
      </c>
      <c r="U40" s="17">
        <f t="shared" si="15"/>
        <v>0.61466666666666669</v>
      </c>
      <c r="V40" s="17">
        <f t="shared" si="15"/>
        <v>0.63150980392156864</v>
      </c>
      <c r="W40" s="17">
        <f t="shared" si="15"/>
        <v>0.61492592592592599</v>
      </c>
      <c r="X40" s="17">
        <f t="shared" si="15"/>
        <v>0.61064912280701755</v>
      </c>
      <c r="Y40" s="17">
        <f t="shared" si="15"/>
        <v>0.5899833333333333</v>
      </c>
      <c r="Z40" s="141" t="s">
        <v>73</v>
      </c>
      <c r="AA40" s="138">
        <v>225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0.37603305785123969</v>
      </c>
      <c r="G41" s="17">
        <f t="shared" si="16"/>
        <v>0.40549586776859503</v>
      </c>
      <c r="H41" s="17">
        <f t="shared" si="16"/>
        <v>0.42710743801652895</v>
      </c>
      <c r="I41" s="17">
        <f t="shared" si="16"/>
        <v>0.3791115702479339</v>
      </c>
      <c r="J41" s="17">
        <f t="shared" si="16"/>
        <v>0.38957024793388428</v>
      </c>
      <c r="K41" s="17">
        <f t="shared" si="16"/>
        <v>0.54742424242424237</v>
      </c>
      <c r="L41" s="17">
        <f t="shared" si="16"/>
        <v>0.50280991735537195</v>
      </c>
      <c r="M41" s="17">
        <f t="shared" si="16"/>
        <v>0.43995867768595043</v>
      </c>
      <c r="N41" s="17">
        <f t="shared" si="16"/>
        <v>0.41719926538108354</v>
      </c>
      <c r="O41" s="17">
        <f t="shared" si="16"/>
        <v>0.37547933884297519</v>
      </c>
      <c r="P41" s="17">
        <f t="shared" si="16"/>
        <v>0.34134485349361382</v>
      </c>
      <c r="Q41" s="17">
        <f t="shared" si="16"/>
        <v>0.32595730027548209</v>
      </c>
      <c r="R41" s="17">
        <f t="shared" si="16"/>
        <v>0.25903369357914813</v>
      </c>
      <c r="S41" s="17">
        <f t="shared" si="16"/>
        <v>0.3104604486422668</v>
      </c>
      <c r="T41" s="17">
        <f t="shared" si="16"/>
        <v>0.3054380165289256</v>
      </c>
      <c r="U41" s="17">
        <f t="shared" si="16"/>
        <v>0.33043904958677683</v>
      </c>
      <c r="V41" s="17">
        <f t="shared" si="16"/>
        <v>0.32021390374331549</v>
      </c>
      <c r="W41" s="17">
        <f t="shared" si="16"/>
        <v>0.31548668503213961</v>
      </c>
      <c r="X41" s="17">
        <f t="shared" si="16"/>
        <v>0.3509917355371901</v>
      </c>
      <c r="Y41" s="17">
        <f t="shared" si="16"/>
        <v>0.36165289256198346</v>
      </c>
      <c r="Z41" s="141" t="s">
        <v>74</v>
      </c>
      <c r="AA41" s="138">
        <v>80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0.12376033057851239</v>
      </c>
      <c r="H42" s="17">
        <f t="shared" si="16"/>
        <v>8.2506887052341604E-2</v>
      </c>
      <c r="I42" s="17">
        <f t="shared" si="16"/>
        <v>6.1880165289256196E-2</v>
      </c>
      <c r="J42" s="17">
        <f t="shared" si="16"/>
        <v>0.12295867768595041</v>
      </c>
      <c r="K42" s="17">
        <f t="shared" si="16"/>
        <v>0.14371900826446282</v>
      </c>
      <c r="L42" s="17">
        <f t="shared" si="16"/>
        <v>0.12318772136953955</v>
      </c>
      <c r="M42" s="17">
        <f t="shared" si="16"/>
        <v>0.1077892561983471</v>
      </c>
      <c r="N42" s="17">
        <f t="shared" si="16"/>
        <v>9.5812672176308525E-2</v>
      </c>
      <c r="O42" s="17">
        <f t="shared" si="16"/>
        <v>8.623140495867769E-2</v>
      </c>
      <c r="P42" s="17">
        <f t="shared" si="16"/>
        <v>7.8392186326070618E-2</v>
      </c>
      <c r="Q42" s="17">
        <f t="shared" si="16"/>
        <v>7.1859504132231411E-2</v>
      </c>
      <c r="R42" s="17">
        <f t="shared" si="16"/>
        <v>7.5867768595041324E-2</v>
      </c>
      <c r="S42" s="17">
        <f t="shared" si="16"/>
        <v>7.0448642266824082E-2</v>
      </c>
      <c r="T42" s="17">
        <f t="shared" si="16"/>
        <v>7.1873278236914598E-2</v>
      </c>
      <c r="U42" s="17">
        <f t="shared" si="16"/>
        <v>6.7381198347107443E-2</v>
      </c>
      <c r="V42" s="17">
        <f t="shared" si="16"/>
        <v>6.341759844433642E-2</v>
      </c>
      <c r="W42" s="17">
        <f t="shared" si="16"/>
        <v>5.9894398530762165E-2</v>
      </c>
      <c r="X42" s="17">
        <f t="shared" si="16"/>
        <v>8.0904741191822532E-2</v>
      </c>
      <c r="Y42" s="17">
        <f t="shared" si="16"/>
        <v>8.7190082644628103E-2</v>
      </c>
      <c r="Z42" s="141" t="s">
        <v>75</v>
      </c>
      <c r="AA42" s="138">
        <v>30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2.2542105263157897</v>
      </c>
      <c r="G43" s="18">
        <f t="shared" si="17"/>
        <v>1.4952631578947368</v>
      </c>
      <c r="H43" s="18">
        <f t="shared" si="17"/>
        <v>1.154768740031898</v>
      </c>
      <c r="I43" s="18">
        <f t="shared" si="17"/>
        <v>1.0112799043062202</v>
      </c>
      <c r="J43" s="18">
        <f t="shared" si="17"/>
        <v>0.96414354066985641</v>
      </c>
      <c r="K43" s="18">
        <f t="shared" si="17"/>
        <v>0.84980063795853256</v>
      </c>
      <c r="L43" s="18">
        <f t="shared" si="17"/>
        <v>0.82563226247436783</v>
      </c>
      <c r="M43" s="18">
        <f t="shared" si="17"/>
        <v>0.80598086124401913</v>
      </c>
      <c r="N43" s="18">
        <f t="shared" si="17"/>
        <v>0.80866560340244542</v>
      </c>
      <c r="O43" s="18">
        <f t="shared" si="17"/>
        <v>0.78949760765550236</v>
      </c>
      <c r="P43" s="18">
        <f t="shared" si="17"/>
        <v>0.82683775554588956</v>
      </c>
      <c r="Q43" s="18">
        <f t="shared" si="17"/>
        <v>0.7876555023923445</v>
      </c>
      <c r="R43" s="18">
        <f t="shared" si="17"/>
        <v>0.76450128818549878</v>
      </c>
      <c r="S43" s="18">
        <f t="shared" si="17"/>
        <v>0.77957621326042381</v>
      </c>
      <c r="T43" s="18">
        <f t="shared" si="17"/>
        <v>0.80422009569377995</v>
      </c>
      <c r="U43" s="18">
        <f t="shared" si="17"/>
        <v>0.7739802631578947</v>
      </c>
      <c r="V43" s="18">
        <f t="shared" si="17"/>
        <v>0.75127779341401624</v>
      </c>
      <c r="W43" s="18">
        <f t="shared" si="17"/>
        <v>0.69987240829346098</v>
      </c>
      <c r="X43" s="18">
        <f t="shared" si="17"/>
        <v>0.67184084613447503</v>
      </c>
      <c r="Y43" s="18">
        <f t="shared" si="17"/>
        <v>0.6813995215311005</v>
      </c>
      <c r="Z43" s="142" t="s">
        <v>76</v>
      </c>
      <c r="AA43" s="138">
        <v>311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1.1287468354430379</v>
      </c>
      <c r="G44" s="17">
        <f t="shared" si="18"/>
        <v>0.76313924050632909</v>
      </c>
      <c r="H44" s="17">
        <f t="shared" si="18"/>
        <v>0.68997046413502117</v>
      </c>
      <c r="I44" s="17">
        <f t="shared" si="18"/>
        <v>0.61049683544303801</v>
      </c>
      <c r="J44" s="17">
        <f t="shared" si="18"/>
        <v>0.63273924050632913</v>
      </c>
      <c r="K44" s="17">
        <f t="shared" si="18"/>
        <v>0.60800843881856537</v>
      </c>
      <c r="L44" s="17">
        <f t="shared" si="18"/>
        <v>0.61954611211573229</v>
      </c>
      <c r="M44" s="17">
        <f t="shared" si="18"/>
        <v>0.62491930379746841</v>
      </c>
      <c r="N44" s="17">
        <f t="shared" si="18"/>
        <v>0.6401097046413502</v>
      </c>
      <c r="O44" s="17">
        <f t="shared" si="18"/>
        <v>0.6206873417721519</v>
      </c>
      <c r="P44" s="17">
        <f t="shared" si="18"/>
        <v>0.6609252013808975</v>
      </c>
      <c r="Q44" s="17">
        <f t="shared" si="18"/>
        <v>0.6546845991561181</v>
      </c>
      <c r="R44" s="17">
        <f t="shared" si="18"/>
        <v>0.62585102239532631</v>
      </c>
      <c r="S44" s="17">
        <f t="shared" si="18"/>
        <v>0.65346925858951177</v>
      </c>
      <c r="T44" s="17">
        <f t="shared" si="18"/>
        <v>0.66074092827004216</v>
      </c>
      <c r="U44" s="17">
        <f t="shared" si="18"/>
        <v>0.65490743670886076</v>
      </c>
      <c r="V44" s="17">
        <f t="shared" si="18"/>
        <v>0.64606329113924055</v>
      </c>
      <c r="W44" s="17">
        <f t="shared" si="18"/>
        <v>0.63213994374120963</v>
      </c>
      <c r="X44" s="17">
        <f t="shared" si="18"/>
        <v>0.62956362425049972</v>
      </c>
      <c r="Y44" s="17">
        <f t="shared" si="18"/>
        <v>0.62190189873417723</v>
      </c>
      <c r="AA44" s="139">
        <f>SUM(AA38:AA43)</f>
        <v>1096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395000</v>
      </c>
      <c r="D48" s="4"/>
      <c r="E48" s="4"/>
      <c r="F48" s="55">
        <f t="shared" ref="F48:Y53" si="20">(F27)/F$1*$Y$1</f>
        <v>660260</v>
      </c>
      <c r="G48" s="55">
        <f t="shared" si="20"/>
        <v>387360</v>
      </c>
      <c r="H48" s="55">
        <f t="shared" si="20"/>
        <v>392633.33333333337</v>
      </c>
      <c r="I48" s="55">
        <f t="shared" si="20"/>
        <v>366525</v>
      </c>
      <c r="J48" s="55">
        <f t="shared" si="20"/>
        <v>417784</v>
      </c>
      <c r="K48" s="55">
        <f t="shared" si="20"/>
        <v>377446.66666666663</v>
      </c>
      <c r="L48" s="55">
        <f t="shared" si="20"/>
        <v>379691.42857142852</v>
      </c>
      <c r="M48" s="55">
        <f t="shared" si="20"/>
        <v>396305</v>
      </c>
      <c r="N48" s="55">
        <f t="shared" si="20"/>
        <v>391791.11111111112</v>
      </c>
      <c r="O48" s="55">
        <f t="shared" si="20"/>
        <v>369112</v>
      </c>
      <c r="P48" s="55">
        <f t="shared" si="20"/>
        <v>357840</v>
      </c>
      <c r="Q48" s="55">
        <f t="shared" si="20"/>
        <v>359298.33333333337</v>
      </c>
      <c r="R48" s="55">
        <f t="shared" si="20"/>
        <v>336329.23076923075</v>
      </c>
      <c r="S48" s="55">
        <f t="shared" si="20"/>
        <v>333852.85714285716</v>
      </c>
      <c r="T48" s="55">
        <f t="shared" si="20"/>
        <v>337430.66666666663</v>
      </c>
      <c r="U48" s="55">
        <f t="shared" si="20"/>
        <v>337095</v>
      </c>
      <c r="V48" s="55">
        <f t="shared" si="20"/>
        <v>328260</v>
      </c>
      <c r="W48" s="55">
        <f t="shared" si="20"/>
        <v>335181.11111111112</v>
      </c>
      <c r="X48" s="55">
        <f t="shared" si="20"/>
        <v>335472.63157894742</v>
      </c>
      <c r="Y48" s="55">
        <f t="shared" si="20"/>
        <v>318574</v>
      </c>
      <c r="AX48"/>
    </row>
    <row r="49" spans="2:50">
      <c r="B49" s="4" t="s">
        <v>64</v>
      </c>
      <c r="C49" s="37">
        <v>125000</v>
      </c>
      <c r="D49" s="4"/>
      <c r="E49" s="4"/>
      <c r="F49" s="55">
        <f t="shared" si="20"/>
        <v>0</v>
      </c>
      <c r="G49" s="55">
        <f t="shared" si="20"/>
        <v>49850</v>
      </c>
      <c r="H49" s="55">
        <f t="shared" si="20"/>
        <v>51200</v>
      </c>
      <c r="I49" s="55">
        <f t="shared" si="20"/>
        <v>38400</v>
      </c>
      <c r="J49" s="55">
        <f t="shared" si="20"/>
        <v>30720</v>
      </c>
      <c r="K49" s="55">
        <f t="shared" si="20"/>
        <v>25600</v>
      </c>
      <c r="L49" s="55">
        <f t="shared" si="20"/>
        <v>65328.571428571435</v>
      </c>
      <c r="M49" s="55">
        <f t="shared" si="20"/>
        <v>57162.5</v>
      </c>
      <c r="N49" s="55">
        <f t="shared" si="20"/>
        <v>72800</v>
      </c>
      <c r="O49" s="55">
        <f t="shared" si="20"/>
        <v>81690</v>
      </c>
      <c r="P49" s="55">
        <f t="shared" si="20"/>
        <v>123600</v>
      </c>
      <c r="Q49" s="55">
        <f t="shared" si="20"/>
        <v>117791.66666666666</v>
      </c>
      <c r="R49" s="55">
        <f t="shared" si="20"/>
        <v>112876.92307692309</v>
      </c>
      <c r="S49" s="55">
        <f t="shared" si="20"/>
        <v>109814.28571428571</v>
      </c>
      <c r="T49" s="55">
        <f t="shared" si="20"/>
        <v>99693.333333333343</v>
      </c>
      <c r="U49" s="55">
        <f t="shared" si="20"/>
        <v>93462.5</v>
      </c>
      <c r="V49" s="55">
        <f t="shared" si="20"/>
        <v>96194.117647058825</v>
      </c>
      <c r="W49" s="55">
        <f t="shared" si="20"/>
        <v>95733.333333333343</v>
      </c>
      <c r="X49" s="55">
        <f t="shared" si="20"/>
        <v>90694.736842105267</v>
      </c>
      <c r="Y49" s="55">
        <f t="shared" si="20"/>
        <v>93591</v>
      </c>
      <c r="AX49"/>
    </row>
    <row r="50" spans="2:50">
      <c r="B50" s="4" t="s">
        <v>1</v>
      </c>
      <c r="C50" s="37">
        <v>300000</v>
      </c>
      <c r="D50" s="4"/>
      <c r="E50" s="4"/>
      <c r="F50" s="55">
        <f t="shared" si="20"/>
        <v>89900</v>
      </c>
      <c r="G50" s="55">
        <f t="shared" si="20"/>
        <v>15450</v>
      </c>
      <c r="H50" s="55">
        <f t="shared" si="20"/>
        <v>40300</v>
      </c>
      <c r="I50" s="55">
        <f t="shared" si="20"/>
        <v>30225</v>
      </c>
      <c r="J50" s="55">
        <f t="shared" si="20"/>
        <v>24180</v>
      </c>
      <c r="K50" s="55">
        <f t="shared" si="20"/>
        <v>35133.333333333336</v>
      </c>
      <c r="L50" s="55">
        <f t="shared" si="20"/>
        <v>37257.142857142855</v>
      </c>
      <c r="M50" s="55">
        <f t="shared" si="20"/>
        <v>64450</v>
      </c>
      <c r="N50" s="55">
        <f t="shared" si="20"/>
        <v>84611.111111111109</v>
      </c>
      <c r="O50" s="55">
        <f t="shared" si="20"/>
        <v>88140</v>
      </c>
      <c r="P50" s="55">
        <f t="shared" si="20"/>
        <v>115627.27272727272</v>
      </c>
      <c r="Q50" s="55">
        <f t="shared" si="20"/>
        <v>131800</v>
      </c>
      <c r="R50" s="55">
        <f t="shared" si="20"/>
        <v>139030.76923076925</v>
      </c>
      <c r="S50" s="55">
        <f t="shared" si="20"/>
        <v>170771.42857142858</v>
      </c>
      <c r="T50" s="55">
        <f t="shared" si="20"/>
        <v>179373.33333333331</v>
      </c>
      <c r="U50" s="55">
        <f t="shared" si="20"/>
        <v>184400</v>
      </c>
      <c r="V50" s="55">
        <f t="shared" si="20"/>
        <v>189452.9411764706</v>
      </c>
      <c r="W50" s="55">
        <f t="shared" si="20"/>
        <v>184477.77777777778</v>
      </c>
      <c r="X50" s="55">
        <f t="shared" si="20"/>
        <v>183194.73684210528</v>
      </c>
      <c r="Y50" s="55">
        <f t="shared" si="20"/>
        <v>176995</v>
      </c>
      <c r="AX50"/>
    </row>
    <row r="51" spans="2:50">
      <c r="B51" s="4" t="s">
        <v>2</v>
      </c>
      <c r="C51" s="37">
        <v>242000</v>
      </c>
      <c r="D51" s="4"/>
      <c r="E51" s="4"/>
      <c r="F51" s="55">
        <f t="shared" si="20"/>
        <v>91000</v>
      </c>
      <c r="G51" s="55">
        <f t="shared" si="20"/>
        <v>98130</v>
      </c>
      <c r="H51" s="55">
        <f t="shared" si="20"/>
        <v>103360</v>
      </c>
      <c r="I51" s="55">
        <f t="shared" si="20"/>
        <v>91745</v>
      </c>
      <c r="J51" s="55">
        <f t="shared" si="20"/>
        <v>94276</v>
      </c>
      <c r="K51" s="55">
        <f t="shared" si="20"/>
        <v>132476.66666666666</v>
      </c>
      <c r="L51" s="55">
        <f t="shared" si="20"/>
        <v>121680</v>
      </c>
      <c r="M51" s="55">
        <f t="shared" si="20"/>
        <v>106470</v>
      </c>
      <c r="N51" s="55">
        <f t="shared" si="20"/>
        <v>100962.22222222222</v>
      </c>
      <c r="O51" s="55">
        <f t="shared" si="20"/>
        <v>90866</v>
      </c>
      <c r="P51" s="55">
        <f t="shared" si="20"/>
        <v>82605.454545454544</v>
      </c>
      <c r="Q51" s="55">
        <f t="shared" si="20"/>
        <v>78881.666666666672</v>
      </c>
      <c r="R51" s="55">
        <f t="shared" si="20"/>
        <v>62686.153846153844</v>
      </c>
      <c r="S51" s="55">
        <f t="shared" si="20"/>
        <v>75131.428571428565</v>
      </c>
      <c r="T51" s="55">
        <f t="shared" si="20"/>
        <v>73916</v>
      </c>
      <c r="U51" s="55">
        <f t="shared" si="20"/>
        <v>79966.25</v>
      </c>
      <c r="V51" s="55">
        <f t="shared" si="20"/>
        <v>77491.76470588235</v>
      </c>
      <c r="W51" s="55">
        <f t="shared" si="20"/>
        <v>76347.777777777781</v>
      </c>
      <c r="X51" s="55">
        <f t="shared" si="20"/>
        <v>84940</v>
      </c>
      <c r="Y51" s="55">
        <f t="shared" si="20"/>
        <v>87520</v>
      </c>
      <c r="AA51" s="48"/>
    </row>
    <row r="52" spans="2:50">
      <c r="B52" s="4" t="s">
        <v>63</v>
      </c>
      <c r="C52" s="37">
        <v>100000</v>
      </c>
      <c r="D52" s="4"/>
      <c r="E52" s="4"/>
      <c r="F52" s="55">
        <f t="shared" si="20"/>
        <v>0</v>
      </c>
      <c r="G52" s="55">
        <f t="shared" si="20"/>
        <v>29950</v>
      </c>
      <c r="H52" s="55">
        <f t="shared" si="20"/>
        <v>19966.666666666668</v>
      </c>
      <c r="I52" s="55">
        <f t="shared" si="20"/>
        <v>14975</v>
      </c>
      <c r="J52" s="55">
        <f t="shared" si="20"/>
        <v>29756</v>
      </c>
      <c r="K52" s="55">
        <f t="shared" si="20"/>
        <v>34780</v>
      </c>
      <c r="L52" s="55">
        <f t="shared" si="20"/>
        <v>29811.428571428572</v>
      </c>
      <c r="M52" s="55">
        <f t="shared" si="20"/>
        <v>26085</v>
      </c>
      <c r="N52" s="55">
        <f t="shared" si="20"/>
        <v>23186.666666666664</v>
      </c>
      <c r="O52" s="55">
        <f t="shared" si="20"/>
        <v>20868</v>
      </c>
      <c r="P52" s="55">
        <f t="shared" si="20"/>
        <v>18970.909090909088</v>
      </c>
      <c r="Q52" s="55">
        <f t="shared" si="20"/>
        <v>17390</v>
      </c>
      <c r="R52" s="55">
        <f t="shared" si="20"/>
        <v>18360</v>
      </c>
      <c r="S52" s="55">
        <f t="shared" si="20"/>
        <v>17048.571428571428</v>
      </c>
      <c r="T52" s="55">
        <f t="shared" si="20"/>
        <v>17393.333333333332</v>
      </c>
      <c r="U52" s="55">
        <f t="shared" si="20"/>
        <v>16306.25</v>
      </c>
      <c r="V52" s="55">
        <f t="shared" si="20"/>
        <v>15347.058823529413</v>
      </c>
      <c r="W52" s="55">
        <f t="shared" si="20"/>
        <v>14494.444444444443</v>
      </c>
      <c r="X52" s="55">
        <f t="shared" si="20"/>
        <v>19578.947368421053</v>
      </c>
      <c r="Y52" s="55">
        <f t="shared" si="20"/>
        <v>21100</v>
      </c>
      <c r="AA52" s="48"/>
    </row>
    <row r="53" spans="2:50">
      <c r="B53" s="4" t="s">
        <v>3</v>
      </c>
      <c r="C53" s="38">
        <v>418000</v>
      </c>
      <c r="D53" s="19"/>
      <c r="E53" s="19"/>
      <c r="F53" s="98">
        <f t="shared" si="20"/>
        <v>942260</v>
      </c>
      <c r="G53" s="98">
        <f t="shared" si="20"/>
        <v>625020</v>
      </c>
      <c r="H53" s="98">
        <f t="shared" si="20"/>
        <v>482693.33333333337</v>
      </c>
      <c r="I53" s="98">
        <f t="shared" si="20"/>
        <v>422715</v>
      </c>
      <c r="J53" s="98">
        <f t="shared" si="20"/>
        <v>403012</v>
      </c>
      <c r="K53" s="98">
        <f t="shared" si="20"/>
        <v>355216.66666666663</v>
      </c>
      <c r="L53" s="98">
        <f t="shared" si="20"/>
        <v>345114.28571428574</v>
      </c>
      <c r="M53" s="98">
        <f t="shared" si="20"/>
        <v>336900</v>
      </c>
      <c r="N53" s="98">
        <f t="shared" si="20"/>
        <v>338022.22222222219</v>
      </c>
      <c r="O53" s="98">
        <f t="shared" si="20"/>
        <v>330010</v>
      </c>
      <c r="P53" s="98">
        <f t="shared" si="20"/>
        <v>345618.18181818182</v>
      </c>
      <c r="Q53" s="98">
        <f t="shared" si="20"/>
        <v>329240</v>
      </c>
      <c r="R53" s="98">
        <f t="shared" si="20"/>
        <v>319561.5384615385</v>
      </c>
      <c r="S53" s="98">
        <f t="shared" si="20"/>
        <v>325862.85714285716</v>
      </c>
      <c r="T53" s="98">
        <f t="shared" si="20"/>
        <v>336164</v>
      </c>
      <c r="U53" s="98">
        <f t="shared" si="20"/>
        <v>323523.75</v>
      </c>
      <c r="V53" s="98">
        <f t="shared" si="20"/>
        <v>314034.1176470588</v>
      </c>
      <c r="W53" s="98">
        <f t="shared" si="20"/>
        <v>292546.66666666669</v>
      </c>
      <c r="X53" s="98">
        <f t="shared" si="20"/>
        <v>280829.47368421056</v>
      </c>
      <c r="Y53" s="98">
        <f t="shared" si="20"/>
        <v>284825</v>
      </c>
    </row>
    <row r="54" spans="2:50">
      <c r="B54" s="14" t="s">
        <v>27</v>
      </c>
      <c r="C54" s="39">
        <f>SUM(C48:C53)</f>
        <v>1580000</v>
      </c>
      <c r="D54" s="10">
        <f>SUM(D48:D53)</f>
        <v>0</v>
      </c>
      <c r="E54" s="10"/>
      <c r="F54" s="10">
        <f t="shared" ref="F54:Y54" si="21">SUM(F48:F53)</f>
        <v>1783420</v>
      </c>
      <c r="G54" s="10">
        <f t="shared" si="21"/>
        <v>1205760</v>
      </c>
      <c r="H54" s="10">
        <f t="shared" si="21"/>
        <v>1090153.3333333335</v>
      </c>
      <c r="I54" s="10">
        <f t="shared" si="21"/>
        <v>964585</v>
      </c>
      <c r="J54" s="10">
        <f t="shared" si="21"/>
        <v>999728</v>
      </c>
      <c r="K54" s="10">
        <f t="shared" si="21"/>
        <v>960653.33333333326</v>
      </c>
      <c r="L54" s="10">
        <f t="shared" si="21"/>
        <v>978882.85714285704</v>
      </c>
      <c r="M54" s="10">
        <f t="shared" si="21"/>
        <v>987372.5</v>
      </c>
      <c r="N54" s="10">
        <f t="shared" si="21"/>
        <v>1011373.3333333333</v>
      </c>
      <c r="O54" s="10">
        <f t="shared" si="21"/>
        <v>980686</v>
      </c>
      <c r="P54" s="10">
        <f t="shared" si="21"/>
        <v>1044261.8181818181</v>
      </c>
      <c r="Q54" s="10">
        <f t="shared" si="21"/>
        <v>1034401.6666666666</v>
      </c>
      <c r="R54" s="10">
        <f t="shared" si="21"/>
        <v>988844.61538461549</v>
      </c>
      <c r="S54" s="10">
        <f t="shared" si="21"/>
        <v>1032481.4285714285</v>
      </c>
      <c r="T54" s="10">
        <f t="shared" si="21"/>
        <v>1043970.6666666666</v>
      </c>
      <c r="U54" s="10">
        <f t="shared" si="21"/>
        <v>1034753.75</v>
      </c>
      <c r="V54" s="10">
        <f t="shared" si="21"/>
        <v>1020780</v>
      </c>
      <c r="W54" s="10">
        <f t="shared" si="21"/>
        <v>998781.11111111124</v>
      </c>
      <c r="X54" s="10">
        <f t="shared" si="21"/>
        <v>994710.52631578955</v>
      </c>
      <c r="Y54" s="10">
        <f t="shared" si="21"/>
        <v>982605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AX74"/>
  <sheetViews>
    <sheetView showGridLines="0" workbookViewId="0"/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89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30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1" si="0">+C48/20</f>
        <v>17250</v>
      </c>
      <c r="D6" s="10"/>
      <c r="E6" s="11">
        <v>6230</v>
      </c>
      <c r="F6" s="122">
        <v>6230</v>
      </c>
      <c r="G6" s="122">
        <v>4286</v>
      </c>
      <c r="H6" s="122">
        <v>19087</v>
      </c>
      <c r="I6" s="122">
        <v>6230</v>
      </c>
      <c r="J6" s="122">
        <v>8877</v>
      </c>
      <c r="K6" s="122">
        <v>16412</v>
      </c>
      <c r="L6" s="122">
        <v>15060</v>
      </c>
      <c r="M6" s="122">
        <v>11110</v>
      </c>
      <c r="N6" s="122">
        <v>34295</v>
      </c>
      <c r="O6" s="81">
        <v>0</v>
      </c>
      <c r="P6" s="122">
        <v>17145</v>
      </c>
      <c r="Q6" s="34">
        <v>12985</v>
      </c>
      <c r="R6" s="34">
        <v>11992</v>
      </c>
      <c r="S6" s="34">
        <v>11690</v>
      </c>
      <c r="T6" s="34">
        <v>19215</v>
      </c>
      <c r="U6" s="34">
        <v>5495</v>
      </c>
      <c r="V6" s="34">
        <v>10600</v>
      </c>
      <c r="W6" s="34">
        <v>29341</v>
      </c>
      <c r="X6" s="34">
        <v>13193</v>
      </c>
      <c r="Y6" s="34">
        <v>8830</v>
      </c>
      <c r="Z6" s="69">
        <f t="shared" ref="Z6:Z11" si="1">(SUM(F6:Y6)/(COUNT(F6:Y6)))</f>
        <v>13103.65</v>
      </c>
      <c r="AA6" s="103"/>
      <c r="AX6"/>
    </row>
    <row r="7" spans="1:50">
      <c r="B7" s="4" t="s">
        <v>64</v>
      </c>
      <c r="C7" s="20">
        <f t="shared" si="0"/>
        <v>5000</v>
      </c>
      <c r="D7" s="10"/>
      <c r="E7" s="11">
        <v>0</v>
      </c>
      <c r="F7" s="122">
        <v>6000</v>
      </c>
      <c r="G7" s="122">
        <v>0</v>
      </c>
      <c r="H7" s="122">
        <v>2290</v>
      </c>
      <c r="I7" s="122">
        <v>6815</v>
      </c>
      <c r="J7" s="122">
        <v>5295</v>
      </c>
      <c r="K7" s="122">
        <v>0</v>
      </c>
      <c r="L7" s="122">
        <v>0</v>
      </c>
      <c r="M7" s="122">
        <v>2695</v>
      </c>
      <c r="N7" s="81">
        <v>0</v>
      </c>
      <c r="O7" s="81">
        <v>0</v>
      </c>
      <c r="P7" s="122">
        <v>5895</v>
      </c>
      <c r="Q7" s="34">
        <v>2695</v>
      </c>
      <c r="R7" s="34">
        <v>4525</v>
      </c>
      <c r="S7" s="34">
        <v>5390</v>
      </c>
      <c r="T7" s="34">
        <v>0</v>
      </c>
      <c r="U7" s="34">
        <v>10495</v>
      </c>
      <c r="V7" s="34">
        <v>2695</v>
      </c>
      <c r="W7" s="34">
        <v>0</v>
      </c>
      <c r="X7" s="34">
        <v>2695</v>
      </c>
      <c r="Y7" s="34">
        <v>4795</v>
      </c>
      <c r="Z7" s="69">
        <f t="shared" si="1"/>
        <v>3114</v>
      </c>
      <c r="AA7" s="103"/>
      <c r="AX7"/>
    </row>
    <row r="8" spans="1:50">
      <c r="B8" s="4" t="s">
        <v>1</v>
      </c>
      <c r="C8" s="20">
        <f t="shared" si="0"/>
        <v>11250</v>
      </c>
      <c r="D8" s="10"/>
      <c r="E8" s="11">
        <v>1500</v>
      </c>
      <c r="F8" s="122">
        <v>11495</v>
      </c>
      <c r="G8" s="122">
        <v>11880</v>
      </c>
      <c r="H8" s="122">
        <v>11535</v>
      </c>
      <c r="I8" s="122">
        <v>10490</v>
      </c>
      <c r="J8" s="122">
        <v>25485</v>
      </c>
      <c r="K8" s="122">
        <v>22685</v>
      </c>
      <c r="L8" s="122">
        <v>0</v>
      </c>
      <c r="M8" s="122">
        <v>20155</v>
      </c>
      <c r="N8" s="81">
        <v>0</v>
      </c>
      <c r="O8" s="81">
        <v>0</v>
      </c>
      <c r="P8" s="122">
        <v>19030</v>
      </c>
      <c r="Q8" s="34">
        <v>16490</v>
      </c>
      <c r="R8" s="34">
        <v>14090</v>
      </c>
      <c r="S8" s="34">
        <v>11590</v>
      </c>
      <c r="T8" s="34">
        <v>9990</v>
      </c>
      <c r="U8" s="34">
        <v>10990</v>
      </c>
      <c r="V8" s="34">
        <v>12995</v>
      </c>
      <c r="W8" s="34">
        <v>8535</v>
      </c>
      <c r="X8" s="34">
        <v>16730</v>
      </c>
      <c r="Y8" s="34">
        <v>22025</v>
      </c>
      <c r="Z8" s="115">
        <f t="shared" si="1"/>
        <v>12809.5</v>
      </c>
      <c r="AA8" s="103"/>
      <c r="AX8"/>
    </row>
    <row r="9" spans="1:50">
      <c r="B9" s="4" t="s">
        <v>2</v>
      </c>
      <c r="C9" s="20">
        <f t="shared" si="0"/>
        <v>9500</v>
      </c>
      <c r="D9" s="10"/>
      <c r="E9" s="11">
        <v>4740</v>
      </c>
      <c r="F9" s="122">
        <v>6213</v>
      </c>
      <c r="G9" s="122">
        <v>7495</v>
      </c>
      <c r="H9" s="122">
        <v>7163</v>
      </c>
      <c r="I9" s="122">
        <v>0</v>
      </c>
      <c r="J9" s="122">
        <v>0</v>
      </c>
      <c r="K9" s="122">
        <v>8065</v>
      </c>
      <c r="L9" s="122">
        <v>7595</v>
      </c>
      <c r="M9" s="122">
        <v>2417</v>
      </c>
      <c r="N9" s="122">
        <v>11295</v>
      </c>
      <c r="O9" s="122">
        <v>2845</v>
      </c>
      <c r="P9" s="122">
        <v>0</v>
      </c>
      <c r="Q9" s="34">
        <v>0</v>
      </c>
      <c r="R9" s="34">
        <v>4740</v>
      </c>
      <c r="S9" s="34">
        <v>15090</v>
      </c>
      <c r="T9" s="34">
        <v>6213</v>
      </c>
      <c r="U9" s="34">
        <v>7115</v>
      </c>
      <c r="V9" s="34">
        <v>5263</v>
      </c>
      <c r="W9" s="34">
        <v>7353</v>
      </c>
      <c r="X9" s="34">
        <v>8535</v>
      </c>
      <c r="Y9" s="34">
        <v>7353</v>
      </c>
      <c r="Z9" s="69">
        <f t="shared" si="1"/>
        <v>5737.5</v>
      </c>
      <c r="AA9" s="103"/>
      <c r="AX9"/>
    </row>
    <row r="10" spans="1:50">
      <c r="B10" s="4" t="s">
        <v>63</v>
      </c>
      <c r="C10" s="20">
        <f t="shared" si="0"/>
        <v>5000</v>
      </c>
      <c r="D10" s="10"/>
      <c r="E10" s="11">
        <v>0</v>
      </c>
      <c r="F10" s="122">
        <v>0</v>
      </c>
      <c r="G10" s="122">
        <v>0</v>
      </c>
      <c r="H10" s="122">
        <v>2222</v>
      </c>
      <c r="I10" s="122">
        <v>2222</v>
      </c>
      <c r="J10" s="122">
        <v>0</v>
      </c>
      <c r="K10" s="122">
        <v>0</v>
      </c>
      <c r="L10" s="122">
        <v>0</v>
      </c>
      <c r="M10" s="122">
        <v>0</v>
      </c>
      <c r="N10" s="122">
        <v>1333</v>
      </c>
      <c r="O10" s="122">
        <v>0</v>
      </c>
      <c r="P10" s="122">
        <v>2111</v>
      </c>
      <c r="Q10" s="34">
        <v>0</v>
      </c>
      <c r="R10" s="34">
        <v>0</v>
      </c>
      <c r="S10" s="34">
        <v>0</v>
      </c>
      <c r="T10" s="34">
        <v>1667</v>
      </c>
      <c r="U10" s="34">
        <v>0</v>
      </c>
      <c r="V10" s="34">
        <v>0</v>
      </c>
      <c r="W10" s="34">
        <v>0</v>
      </c>
      <c r="X10" s="34">
        <v>1333</v>
      </c>
      <c r="Y10" s="34">
        <v>0</v>
      </c>
      <c r="Z10" s="69">
        <f t="shared" si="1"/>
        <v>544.4</v>
      </c>
      <c r="AA10" s="103"/>
      <c r="AX10"/>
    </row>
    <row r="11" spans="1:50">
      <c r="B11" s="4" t="s">
        <v>3</v>
      </c>
      <c r="C11" s="21">
        <f t="shared" si="0"/>
        <v>18000</v>
      </c>
      <c r="D11" s="13"/>
      <c r="E11" s="40">
        <v>5464</v>
      </c>
      <c r="F11" s="124">
        <v>12844</v>
      </c>
      <c r="G11" s="124">
        <v>11644</v>
      </c>
      <c r="H11" s="124">
        <v>18655</v>
      </c>
      <c r="I11" s="124">
        <v>15633</v>
      </c>
      <c r="J11" s="124">
        <v>10522</v>
      </c>
      <c r="K11" s="124">
        <v>13343</v>
      </c>
      <c r="L11" s="124">
        <v>6832</v>
      </c>
      <c r="M11" s="124">
        <v>11548</v>
      </c>
      <c r="N11" s="124">
        <v>20358</v>
      </c>
      <c r="O11" s="124">
        <v>24326</v>
      </c>
      <c r="P11" s="124">
        <v>15427</v>
      </c>
      <c r="Q11" s="35">
        <v>15176</v>
      </c>
      <c r="R11" s="35">
        <v>33254</v>
      </c>
      <c r="S11" s="35">
        <v>13256</v>
      </c>
      <c r="T11" s="35">
        <v>24782</v>
      </c>
      <c r="U11" s="35">
        <v>19542</v>
      </c>
      <c r="V11" s="35">
        <v>11270</v>
      </c>
      <c r="W11" s="35">
        <v>12160</v>
      </c>
      <c r="X11" s="35">
        <v>11547</v>
      </c>
      <c r="Y11" s="35">
        <v>17603</v>
      </c>
      <c r="Z11" s="69">
        <f t="shared" si="1"/>
        <v>15986.1</v>
      </c>
      <c r="AA11" s="103"/>
      <c r="AX11"/>
    </row>
    <row r="12" spans="1:50" ht="15.75" thickBot="1">
      <c r="B12" s="14" t="s">
        <v>27</v>
      </c>
      <c r="C12" s="20">
        <f>SUM(C6:C11)</f>
        <v>66000</v>
      </c>
      <c r="D12" s="10"/>
      <c r="E12" s="11">
        <f t="shared" ref="E12:Y12" si="2">SUM(E6:E11)</f>
        <v>17934</v>
      </c>
      <c r="F12" s="10">
        <f t="shared" si="2"/>
        <v>42782</v>
      </c>
      <c r="G12" s="10">
        <f t="shared" si="2"/>
        <v>35305</v>
      </c>
      <c r="H12" s="10">
        <f t="shared" si="2"/>
        <v>60952</v>
      </c>
      <c r="I12" s="10">
        <f t="shared" si="2"/>
        <v>41390</v>
      </c>
      <c r="J12" s="10">
        <f t="shared" si="2"/>
        <v>50179</v>
      </c>
      <c r="K12" s="10">
        <f t="shared" si="2"/>
        <v>60505</v>
      </c>
      <c r="L12" s="10">
        <f t="shared" si="2"/>
        <v>29487</v>
      </c>
      <c r="M12" s="10">
        <f t="shared" si="2"/>
        <v>47925</v>
      </c>
      <c r="N12" s="10">
        <f t="shared" si="2"/>
        <v>67281</v>
      </c>
      <c r="O12" s="10">
        <f t="shared" si="2"/>
        <v>27171</v>
      </c>
      <c r="P12" s="10">
        <f t="shared" si="2"/>
        <v>59608</v>
      </c>
      <c r="Q12" s="10">
        <f t="shared" si="2"/>
        <v>47346</v>
      </c>
      <c r="R12" s="10">
        <f t="shared" si="2"/>
        <v>68601</v>
      </c>
      <c r="S12" s="10">
        <f t="shared" si="2"/>
        <v>57016</v>
      </c>
      <c r="T12" s="10">
        <f t="shared" si="2"/>
        <v>61867</v>
      </c>
      <c r="U12" s="10">
        <f t="shared" si="2"/>
        <v>53637</v>
      </c>
      <c r="V12" s="10">
        <f t="shared" si="2"/>
        <v>42823</v>
      </c>
      <c r="W12" s="10">
        <f t="shared" si="2"/>
        <v>57389</v>
      </c>
      <c r="X12" s="10">
        <f t="shared" si="2"/>
        <v>54033</v>
      </c>
      <c r="Y12" s="10">
        <f t="shared" si="2"/>
        <v>60606</v>
      </c>
      <c r="Z12" s="67"/>
      <c r="AA12" s="103"/>
      <c r="AX12"/>
    </row>
    <row r="13" spans="1:50" s="1" customFormat="1" ht="13.5" thickBot="1">
      <c r="B13" s="14"/>
      <c r="C13" s="20"/>
      <c r="D13" s="12"/>
      <c r="E13" s="41"/>
      <c r="F13" s="12"/>
      <c r="G13" s="12"/>
      <c r="H13" s="12"/>
      <c r="I13" s="12"/>
      <c r="J13" s="7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Y13" s="43" t="s">
        <v>36</v>
      </c>
      <c r="Z13" s="123">
        <f>(SUM(F12:Y12)/(COUNT(F12:Y12)))</f>
        <v>51295.15</v>
      </c>
      <c r="AA13" s="104"/>
    </row>
    <row r="14" spans="1:50" s="1" customFormat="1" ht="12.75">
      <c r="B14" s="14"/>
      <c r="C14" s="14"/>
      <c r="D14" s="14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4"/>
      <c r="AA14" s="104"/>
    </row>
    <row r="15" spans="1:50" s="1" customFormat="1" ht="12.75">
      <c r="B15" s="22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4"/>
      <c r="AA15" s="104"/>
    </row>
    <row r="16" spans="1:50" s="1" customFormat="1" ht="12.75">
      <c r="B16" s="23"/>
      <c r="C16" s="23"/>
      <c r="D16" s="23"/>
      <c r="E16" s="23"/>
      <c r="F16" s="23" t="str">
        <f>+F5</f>
        <v>Day 1</v>
      </c>
      <c r="G16" s="23" t="str">
        <f t="shared" ref="G16:Y16" si="3">+G5</f>
        <v>Day 2</v>
      </c>
      <c r="H16" s="23" t="str">
        <f t="shared" si="3"/>
        <v>Day 3</v>
      </c>
      <c r="I16" s="23" t="str">
        <f t="shared" si="3"/>
        <v>Day 4</v>
      </c>
      <c r="J16" s="23" t="str">
        <f t="shared" si="3"/>
        <v>Day 5</v>
      </c>
      <c r="K16" s="23" t="str">
        <f t="shared" si="3"/>
        <v>Day 6</v>
      </c>
      <c r="L16" s="23" t="str">
        <f t="shared" si="3"/>
        <v>Day 7</v>
      </c>
      <c r="M16" s="23" t="str">
        <f t="shared" si="3"/>
        <v>Day 8</v>
      </c>
      <c r="N16" s="23" t="str">
        <f t="shared" si="3"/>
        <v>Day 9</v>
      </c>
      <c r="O16" s="23" t="str">
        <f t="shared" si="3"/>
        <v>Day 10</v>
      </c>
      <c r="P16" s="23" t="str">
        <f t="shared" si="3"/>
        <v>Day 11</v>
      </c>
      <c r="Q16" s="23" t="str">
        <f t="shared" si="3"/>
        <v>Day 12</v>
      </c>
      <c r="R16" s="23" t="str">
        <f t="shared" si="3"/>
        <v>Day 13</v>
      </c>
      <c r="S16" s="23" t="str">
        <f t="shared" si="3"/>
        <v>Day 14</v>
      </c>
      <c r="T16" s="23" t="str">
        <f t="shared" si="3"/>
        <v>Day 15</v>
      </c>
      <c r="U16" s="23" t="str">
        <f t="shared" si="3"/>
        <v>Day 16</v>
      </c>
      <c r="V16" s="23" t="str">
        <f t="shared" si="3"/>
        <v>Day 17</v>
      </c>
      <c r="W16" s="23" t="str">
        <f t="shared" si="3"/>
        <v>Day 18</v>
      </c>
      <c r="X16" s="23" t="str">
        <f t="shared" si="3"/>
        <v>Day 19</v>
      </c>
      <c r="Y16" s="23" t="str">
        <f t="shared" si="3"/>
        <v>Day 20</v>
      </c>
      <c r="Z16" s="104"/>
      <c r="AA16" s="104"/>
    </row>
    <row r="17" spans="2:50" s="1" customFormat="1" ht="12.75">
      <c r="B17" s="23" t="s">
        <v>0</v>
      </c>
      <c r="C17" s="25">
        <f>(C6-$C6)/$C6+1</f>
        <v>1</v>
      </c>
      <c r="D17" s="25"/>
      <c r="E17" s="25"/>
      <c r="F17" s="25">
        <f t="shared" ref="F17:Y23" si="4">(F6-$C6)/$C6+1</f>
        <v>0.36115942028985504</v>
      </c>
      <c r="G17" s="25">
        <f t="shared" si="4"/>
        <v>0.24846376811594206</v>
      </c>
      <c r="H17" s="25">
        <f t="shared" si="4"/>
        <v>1.1064927536231883</v>
      </c>
      <c r="I17" s="25">
        <f t="shared" si="4"/>
        <v>0.36115942028985504</v>
      </c>
      <c r="J17" s="25">
        <f t="shared" si="4"/>
        <v>0.51460869565217393</v>
      </c>
      <c r="K17" s="25">
        <f t="shared" si="4"/>
        <v>0.95142028985507243</v>
      </c>
      <c r="L17" s="25">
        <f t="shared" si="4"/>
        <v>0.87304347826086959</v>
      </c>
      <c r="M17" s="25">
        <f t="shared" si="4"/>
        <v>0.64405797101449269</v>
      </c>
      <c r="N17" s="25">
        <f t="shared" si="4"/>
        <v>1.9881159420289856</v>
      </c>
      <c r="O17" s="25">
        <f t="shared" si="4"/>
        <v>0</v>
      </c>
      <c r="P17" s="25">
        <f t="shared" si="4"/>
        <v>0.99391304347826082</v>
      </c>
      <c r="Q17" s="25">
        <f t="shared" si="4"/>
        <v>0.75275362318840577</v>
      </c>
      <c r="R17" s="25">
        <f t="shared" si="4"/>
        <v>0.69518840579710139</v>
      </c>
      <c r="S17" s="25">
        <f t="shared" si="4"/>
        <v>0.67768115942028984</v>
      </c>
      <c r="T17" s="25">
        <f t="shared" si="4"/>
        <v>1.1139130434782609</v>
      </c>
      <c r="U17" s="25">
        <f t="shared" si="4"/>
        <v>0.31855072463768119</v>
      </c>
      <c r="V17" s="25">
        <f t="shared" si="4"/>
        <v>0.61449275362318834</v>
      </c>
      <c r="W17" s="25">
        <f t="shared" si="4"/>
        <v>1.7009275362318841</v>
      </c>
      <c r="X17" s="25">
        <f t="shared" si="4"/>
        <v>0.76481159420289857</v>
      </c>
      <c r="Y17" s="25">
        <f t="shared" si="4"/>
        <v>0.51188405797101444</v>
      </c>
      <c r="Z17" s="104"/>
      <c r="AA17" s="104"/>
    </row>
    <row r="18" spans="2:50" s="1" customFormat="1" ht="12.75">
      <c r="B18" s="23" t="s">
        <v>64</v>
      </c>
      <c r="C18" s="25">
        <f t="shared" ref="C18:C23" si="5">(C7-$C7)/$C7+1</f>
        <v>1</v>
      </c>
      <c r="D18" s="25"/>
      <c r="E18" s="25"/>
      <c r="F18" s="25">
        <f t="shared" si="4"/>
        <v>1.2</v>
      </c>
      <c r="G18" s="25">
        <f t="shared" si="4"/>
        <v>0</v>
      </c>
      <c r="H18" s="25">
        <f t="shared" si="4"/>
        <v>0.45799999999999996</v>
      </c>
      <c r="I18" s="25">
        <f t="shared" si="4"/>
        <v>1.363</v>
      </c>
      <c r="J18" s="25">
        <f t="shared" si="4"/>
        <v>1.0589999999999999</v>
      </c>
      <c r="K18" s="25">
        <f t="shared" si="4"/>
        <v>0</v>
      </c>
      <c r="L18" s="25">
        <f t="shared" si="4"/>
        <v>0</v>
      </c>
      <c r="M18" s="25">
        <f t="shared" si="4"/>
        <v>0.53899999999999992</v>
      </c>
      <c r="N18" s="25">
        <f t="shared" si="4"/>
        <v>0</v>
      </c>
      <c r="O18" s="25">
        <f t="shared" si="4"/>
        <v>0</v>
      </c>
      <c r="P18" s="25">
        <f t="shared" si="4"/>
        <v>1.179</v>
      </c>
      <c r="Q18" s="25">
        <f t="shared" si="4"/>
        <v>0.53899999999999992</v>
      </c>
      <c r="R18" s="25">
        <f t="shared" si="4"/>
        <v>0.90500000000000003</v>
      </c>
      <c r="S18" s="25">
        <f t="shared" si="4"/>
        <v>1.0780000000000001</v>
      </c>
      <c r="T18" s="25">
        <f t="shared" si="4"/>
        <v>0</v>
      </c>
      <c r="U18" s="25">
        <f t="shared" si="4"/>
        <v>2.0990000000000002</v>
      </c>
      <c r="V18" s="25">
        <f t="shared" si="4"/>
        <v>0.53899999999999992</v>
      </c>
      <c r="W18" s="25">
        <f t="shared" si="4"/>
        <v>0</v>
      </c>
      <c r="X18" s="25">
        <f t="shared" si="4"/>
        <v>0.53899999999999992</v>
      </c>
      <c r="Y18" s="25">
        <f t="shared" si="4"/>
        <v>0.95899999999999996</v>
      </c>
      <c r="Z18" s="104"/>
      <c r="AA18" s="104"/>
    </row>
    <row r="19" spans="2:50" s="1" customFormat="1" ht="12.75">
      <c r="B19" s="23" t="s">
        <v>1</v>
      </c>
      <c r="C19" s="25">
        <f t="shared" si="5"/>
        <v>1</v>
      </c>
      <c r="D19" s="25"/>
      <c r="E19" s="25"/>
      <c r="F19" s="25">
        <f t="shared" si="4"/>
        <v>1.0217777777777777</v>
      </c>
      <c r="G19" s="25">
        <f t="shared" si="4"/>
        <v>1.056</v>
      </c>
      <c r="H19" s="25">
        <f t="shared" si="4"/>
        <v>1.0253333333333334</v>
      </c>
      <c r="I19" s="25">
        <f t="shared" si="4"/>
        <v>0.93244444444444441</v>
      </c>
      <c r="J19" s="25">
        <f t="shared" si="4"/>
        <v>2.2653333333333334</v>
      </c>
      <c r="K19" s="25">
        <f t="shared" si="4"/>
        <v>2.0164444444444447</v>
      </c>
      <c r="L19" s="25">
        <f t="shared" si="4"/>
        <v>0</v>
      </c>
      <c r="M19" s="25">
        <f t="shared" si="4"/>
        <v>1.7915555555555556</v>
      </c>
      <c r="N19" s="25">
        <f t="shared" si="4"/>
        <v>0</v>
      </c>
      <c r="O19" s="25">
        <f t="shared" si="4"/>
        <v>0</v>
      </c>
      <c r="P19" s="25">
        <f t="shared" si="4"/>
        <v>1.6915555555555555</v>
      </c>
      <c r="Q19" s="25">
        <f t="shared" si="4"/>
        <v>1.4657777777777778</v>
      </c>
      <c r="R19" s="25">
        <f t="shared" si="4"/>
        <v>1.2524444444444445</v>
      </c>
      <c r="S19" s="25">
        <f t="shared" si="4"/>
        <v>1.0302222222222222</v>
      </c>
      <c r="T19" s="25">
        <f t="shared" si="4"/>
        <v>0.88800000000000001</v>
      </c>
      <c r="U19" s="25">
        <f t="shared" si="4"/>
        <v>0.97688888888888892</v>
      </c>
      <c r="V19" s="25">
        <f t="shared" si="4"/>
        <v>1.1551111111111112</v>
      </c>
      <c r="W19" s="25">
        <f t="shared" si="4"/>
        <v>0.7586666666666666</v>
      </c>
      <c r="X19" s="25">
        <f t="shared" si="4"/>
        <v>1.4871111111111111</v>
      </c>
      <c r="Y19" s="25">
        <f t="shared" si="4"/>
        <v>1.9577777777777778</v>
      </c>
      <c r="Z19" s="104"/>
      <c r="AA19" s="104"/>
    </row>
    <row r="20" spans="2:50" s="1" customFormat="1" ht="12.75">
      <c r="B20" s="23" t="s">
        <v>2</v>
      </c>
      <c r="C20" s="25">
        <f t="shared" si="5"/>
        <v>1</v>
      </c>
      <c r="D20" s="25"/>
      <c r="E20" s="25"/>
      <c r="F20" s="25">
        <f t="shared" si="4"/>
        <v>0.65400000000000003</v>
      </c>
      <c r="G20" s="25">
        <f t="shared" si="4"/>
        <v>0.78894736842105262</v>
      </c>
      <c r="H20" s="25">
        <f t="shared" si="4"/>
        <v>0.754</v>
      </c>
      <c r="I20" s="25">
        <f t="shared" si="4"/>
        <v>0</v>
      </c>
      <c r="J20" s="25">
        <f t="shared" si="4"/>
        <v>0</v>
      </c>
      <c r="K20" s="25">
        <f t="shared" si="4"/>
        <v>0.84894736842105267</v>
      </c>
      <c r="L20" s="25">
        <f t="shared" si="4"/>
        <v>0.79947368421052634</v>
      </c>
      <c r="M20" s="25">
        <f t="shared" si="4"/>
        <v>0.25442105263157899</v>
      </c>
      <c r="N20" s="25">
        <f t="shared" si="4"/>
        <v>1.1889473684210525</v>
      </c>
      <c r="O20" s="25">
        <f t="shared" si="4"/>
        <v>0.29947368421052634</v>
      </c>
      <c r="P20" s="25">
        <f t="shared" si="4"/>
        <v>0</v>
      </c>
      <c r="Q20" s="25">
        <f t="shared" si="4"/>
        <v>0</v>
      </c>
      <c r="R20" s="25">
        <f t="shared" si="4"/>
        <v>0.49894736842105258</v>
      </c>
      <c r="S20" s="25">
        <f t="shared" si="4"/>
        <v>1.588421052631579</v>
      </c>
      <c r="T20" s="25">
        <f t="shared" si="4"/>
        <v>0.65400000000000003</v>
      </c>
      <c r="U20" s="25">
        <f t="shared" si="4"/>
        <v>0.74894736842105258</v>
      </c>
      <c r="V20" s="25">
        <f t="shared" si="4"/>
        <v>0.55400000000000005</v>
      </c>
      <c r="W20" s="25">
        <f t="shared" si="4"/>
        <v>0.77400000000000002</v>
      </c>
      <c r="X20" s="25">
        <f t="shared" si="4"/>
        <v>0.89842105263157901</v>
      </c>
      <c r="Y20" s="25">
        <f t="shared" si="4"/>
        <v>0.77400000000000002</v>
      </c>
      <c r="Z20" s="104"/>
      <c r="AA20" s="104"/>
    </row>
    <row r="21" spans="2:50" s="1" customFormat="1" ht="12.75">
      <c r="B21" s="4" t="s">
        <v>63</v>
      </c>
      <c r="C21" s="25">
        <f t="shared" si="5"/>
        <v>1</v>
      </c>
      <c r="D21" s="25"/>
      <c r="E21" s="25"/>
      <c r="F21" s="25">
        <f t="shared" si="4"/>
        <v>0</v>
      </c>
      <c r="G21" s="25">
        <f t="shared" si="4"/>
        <v>0</v>
      </c>
      <c r="H21" s="25">
        <f t="shared" si="4"/>
        <v>0.44440000000000002</v>
      </c>
      <c r="I21" s="25">
        <f t="shared" si="4"/>
        <v>0.44440000000000002</v>
      </c>
      <c r="J21" s="25">
        <f t="shared" si="4"/>
        <v>0</v>
      </c>
      <c r="K21" s="25">
        <f t="shared" si="4"/>
        <v>0</v>
      </c>
      <c r="L21" s="25">
        <f t="shared" si="4"/>
        <v>0</v>
      </c>
      <c r="M21" s="25">
        <f t="shared" si="4"/>
        <v>0</v>
      </c>
      <c r="N21" s="25">
        <f t="shared" si="4"/>
        <v>0.26659999999999995</v>
      </c>
      <c r="O21" s="25">
        <f t="shared" si="4"/>
        <v>0</v>
      </c>
      <c r="P21" s="25">
        <f t="shared" si="4"/>
        <v>0.42220000000000002</v>
      </c>
      <c r="Q21" s="25">
        <f t="shared" si="4"/>
        <v>0</v>
      </c>
      <c r="R21" s="25">
        <f t="shared" si="4"/>
        <v>0</v>
      </c>
      <c r="S21" s="25">
        <f t="shared" si="4"/>
        <v>0</v>
      </c>
      <c r="T21" s="25">
        <f t="shared" si="4"/>
        <v>0.33340000000000003</v>
      </c>
      <c r="U21" s="25">
        <f t="shared" si="4"/>
        <v>0</v>
      </c>
      <c r="V21" s="25">
        <f t="shared" si="4"/>
        <v>0</v>
      </c>
      <c r="W21" s="25">
        <f t="shared" si="4"/>
        <v>0</v>
      </c>
      <c r="X21" s="25">
        <f t="shared" si="4"/>
        <v>0.26659999999999995</v>
      </c>
      <c r="Y21" s="25">
        <f t="shared" si="4"/>
        <v>0</v>
      </c>
      <c r="Z21" s="104"/>
      <c r="AA21" s="104"/>
    </row>
    <row r="22" spans="2:50" s="1" customFormat="1" ht="12.75">
      <c r="B22" s="23" t="s">
        <v>3</v>
      </c>
      <c r="C22" s="27">
        <f t="shared" si="5"/>
        <v>1</v>
      </c>
      <c r="D22" s="27"/>
      <c r="E22" s="27"/>
      <c r="F22" s="27">
        <f t="shared" si="4"/>
        <v>0.7135555555555555</v>
      </c>
      <c r="G22" s="27">
        <f t="shared" si="4"/>
        <v>0.64688888888888885</v>
      </c>
      <c r="H22" s="27">
        <f t="shared" si="4"/>
        <v>1.0363888888888888</v>
      </c>
      <c r="I22" s="27">
        <f t="shared" si="4"/>
        <v>0.86850000000000005</v>
      </c>
      <c r="J22" s="27">
        <f t="shared" si="4"/>
        <v>0.58455555555555549</v>
      </c>
      <c r="K22" s="27">
        <f t="shared" si="4"/>
        <v>0.7412777777777777</v>
      </c>
      <c r="L22" s="27">
        <f t="shared" si="4"/>
        <v>0.37955555555555553</v>
      </c>
      <c r="M22" s="27">
        <f t="shared" si="4"/>
        <v>0.64155555555555555</v>
      </c>
      <c r="N22" s="27">
        <f t="shared" si="4"/>
        <v>1.131</v>
      </c>
      <c r="O22" s="27">
        <f t="shared" si="4"/>
        <v>1.3514444444444444</v>
      </c>
      <c r="P22" s="27">
        <f t="shared" si="4"/>
        <v>0.85705555555555557</v>
      </c>
      <c r="Q22" s="27">
        <f t="shared" si="4"/>
        <v>0.84311111111111114</v>
      </c>
      <c r="R22" s="27">
        <f t="shared" si="4"/>
        <v>1.8474444444444444</v>
      </c>
      <c r="S22" s="27">
        <f t="shared" si="4"/>
        <v>0.73644444444444446</v>
      </c>
      <c r="T22" s="27">
        <f t="shared" si="4"/>
        <v>1.3767777777777779</v>
      </c>
      <c r="U22" s="27">
        <f t="shared" si="4"/>
        <v>1.0856666666666666</v>
      </c>
      <c r="V22" s="27">
        <f t="shared" si="4"/>
        <v>0.62611111111111106</v>
      </c>
      <c r="W22" s="27">
        <f t="shared" si="4"/>
        <v>0.67555555555555558</v>
      </c>
      <c r="X22" s="27">
        <f t="shared" si="4"/>
        <v>0.64149999999999996</v>
      </c>
      <c r="Y22" s="27">
        <f t="shared" si="4"/>
        <v>0.97794444444444439</v>
      </c>
      <c r="Z22" s="104"/>
      <c r="AA22" s="104"/>
    </row>
    <row r="23" spans="2:50" s="1" customFormat="1" ht="12.75">
      <c r="B23" s="29" t="s">
        <v>27</v>
      </c>
      <c r="C23" s="25">
        <f t="shared" si="5"/>
        <v>1</v>
      </c>
      <c r="D23" s="25"/>
      <c r="E23" s="25"/>
      <c r="F23" s="25">
        <f>(F12-$C12)/$C12+1</f>
        <v>0.64821212121212124</v>
      </c>
      <c r="G23" s="25">
        <f t="shared" si="4"/>
        <v>0.53492424242424241</v>
      </c>
      <c r="H23" s="25">
        <f t="shared" si="4"/>
        <v>0.92351515151515151</v>
      </c>
      <c r="I23" s="25">
        <f t="shared" si="4"/>
        <v>0.62712121212121219</v>
      </c>
      <c r="J23" s="25">
        <f>(J12-$C12)/$C12+1</f>
        <v>0.76028787878787885</v>
      </c>
      <c r="K23" s="25">
        <f>(K12-$C12)/$C12+1</f>
        <v>0.91674242424242425</v>
      </c>
      <c r="L23" s="25">
        <f>(L12-$C12)/$C12+1</f>
        <v>0.44677272727272732</v>
      </c>
      <c r="M23" s="25">
        <f t="shared" si="4"/>
        <v>0.72613636363636358</v>
      </c>
      <c r="N23" s="25">
        <f t="shared" si="4"/>
        <v>1.0194090909090909</v>
      </c>
      <c r="O23" s="25">
        <f t="shared" si="4"/>
        <v>0.41168181818181815</v>
      </c>
      <c r="P23" s="25">
        <f t="shared" si="4"/>
        <v>0.90315151515151515</v>
      </c>
      <c r="Q23" s="25">
        <f t="shared" si="4"/>
        <v>0.71736363636363643</v>
      </c>
      <c r="R23" s="25">
        <f t="shared" si="4"/>
        <v>1.0394090909090909</v>
      </c>
      <c r="S23" s="25">
        <f>(S12-$C12)/$C12+1</f>
        <v>0.86387878787878791</v>
      </c>
      <c r="T23" s="25">
        <f>(T12-$C12)/$C12+1</f>
        <v>0.93737878787878792</v>
      </c>
      <c r="U23" s="25">
        <f>(U12-$C12)/$C12+1</f>
        <v>0.81268181818181817</v>
      </c>
      <c r="V23" s="25">
        <f>(V12-$C12)/$C12+1</f>
        <v>0.64883333333333337</v>
      </c>
      <c r="W23" s="25">
        <f>(W12-$C12)/$C12+1</f>
        <v>0.86953030303030299</v>
      </c>
      <c r="X23" s="25">
        <f t="shared" si="4"/>
        <v>0.81868181818181818</v>
      </c>
      <c r="Y23" s="25">
        <f t="shared" si="4"/>
        <v>0.91827272727272724</v>
      </c>
      <c r="Z23" s="104"/>
      <c r="AA23" s="104"/>
    </row>
    <row r="24" spans="2:5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3"/>
      <c r="AA24" s="103"/>
      <c r="AX24"/>
    </row>
    <row r="25" spans="2:50">
      <c r="B25" s="9" t="s">
        <v>33</v>
      </c>
      <c r="C25" s="4"/>
      <c r="D25" s="4"/>
      <c r="E25" s="4"/>
      <c r="F25" s="49">
        <f>+F1/$Y$1</f>
        <v>0.05</v>
      </c>
      <c r="G25" s="49">
        <f t="shared" ref="G25:Y25" si="6">+G1/$Y$1</f>
        <v>0.1</v>
      </c>
      <c r="H25" s="49">
        <f t="shared" si="6"/>
        <v>0.15</v>
      </c>
      <c r="I25" s="49">
        <f t="shared" si="6"/>
        <v>0.2</v>
      </c>
      <c r="J25" s="49">
        <f t="shared" si="6"/>
        <v>0.25</v>
      </c>
      <c r="K25" s="49">
        <f t="shared" si="6"/>
        <v>0.3</v>
      </c>
      <c r="L25" s="49">
        <f t="shared" si="6"/>
        <v>0.35</v>
      </c>
      <c r="M25" s="49">
        <f t="shared" si="6"/>
        <v>0.4</v>
      </c>
      <c r="N25" s="49">
        <f t="shared" si="6"/>
        <v>0.45</v>
      </c>
      <c r="O25" s="49">
        <f t="shared" si="6"/>
        <v>0.5</v>
      </c>
      <c r="P25" s="49">
        <f t="shared" si="6"/>
        <v>0.55000000000000004</v>
      </c>
      <c r="Q25" s="49">
        <f t="shared" si="6"/>
        <v>0.6</v>
      </c>
      <c r="R25" s="49">
        <f t="shared" si="6"/>
        <v>0.65</v>
      </c>
      <c r="S25" s="49">
        <f t="shared" si="6"/>
        <v>0.7</v>
      </c>
      <c r="T25" s="49">
        <f t="shared" si="6"/>
        <v>0.75</v>
      </c>
      <c r="U25" s="49">
        <f t="shared" si="6"/>
        <v>0.8</v>
      </c>
      <c r="V25" s="49">
        <f t="shared" si="6"/>
        <v>0.85</v>
      </c>
      <c r="W25" s="49">
        <f t="shared" si="6"/>
        <v>0.9</v>
      </c>
      <c r="X25" s="49">
        <f t="shared" si="6"/>
        <v>0.95</v>
      </c>
      <c r="Y25" s="49">
        <f t="shared" si="6"/>
        <v>1</v>
      </c>
      <c r="Z25" s="105" t="s">
        <v>39</v>
      </c>
      <c r="AA25" s="106" t="s">
        <v>37</v>
      </c>
      <c r="AX25"/>
    </row>
    <row r="26" spans="2:50">
      <c r="B26" s="4"/>
      <c r="C26" s="4"/>
      <c r="D26" s="4"/>
      <c r="E26" s="4"/>
      <c r="F26" s="4" t="str">
        <f t="shared" ref="F26:Y26" si="7">+F16</f>
        <v>Day 1</v>
      </c>
      <c r="G26" s="4" t="str">
        <f t="shared" si="7"/>
        <v>Day 2</v>
      </c>
      <c r="H26" s="4" t="str">
        <f t="shared" si="7"/>
        <v>Day 3</v>
      </c>
      <c r="I26" s="4" t="str">
        <f t="shared" si="7"/>
        <v>Day 4</v>
      </c>
      <c r="J26" s="4" t="str">
        <f t="shared" si="7"/>
        <v>Day 5</v>
      </c>
      <c r="K26" s="4" t="str">
        <f t="shared" si="7"/>
        <v>Day 6</v>
      </c>
      <c r="L26" s="4" t="str">
        <f t="shared" si="7"/>
        <v>Day 7</v>
      </c>
      <c r="M26" s="4" t="str">
        <f t="shared" si="7"/>
        <v>Day 8</v>
      </c>
      <c r="N26" s="4" t="str">
        <f t="shared" si="7"/>
        <v>Day 9</v>
      </c>
      <c r="O26" s="4" t="str">
        <f t="shared" si="7"/>
        <v>Day 10</v>
      </c>
      <c r="P26" s="4" t="str">
        <f t="shared" si="7"/>
        <v>Day 11</v>
      </c>
      <c r="Q26" s="4" t="str">
        <f t="shared" si="7"/>
        <v>Day 12</v>
      </c>
      <c r="R26" s="4" t="str">
        <f t="shared" si="7"/>
        <v>Day 13</v>
      </c>
      <c r="S26" s="4" t="str">
        <f t="shared" si="7"/>
        <v>Day 14</v>
      </c>
      <c r="T26" s="4" t="str">
        <f t="shared" si="7"/>
        <v>Day 15</v>
      </c>
      <c r="U26" s="4" t="str">
        <f t="shared" si="7"/>
        <v>Day 16</v>
      </c>
      <c r="V26" s="4" t="str">
        <f t="shared" si="7"/>
        <v>Day 17</v>
      </c>
      <c r="W26" s="4" t="str">
        <f t="shared" si="7"/>
        <v>Day 18</v>
      </c>
      <c r="X26" s="4" t="str">
        <f t="shared" si="7"/>
        <v>Day 19</v>
      </c>
      <c r="Y26" s="4" t="str">
        <f t="shared" si="7"/>
        <v>Day 20</v>
      </c>
      <c r="Z26" s="107" t="s">
        <v>40</v>
      </c>
      <c r="AA26" s="108" t="s">
        <v>38</v>
      </c>
      <c r="AX26"/>
    </row>
    <row r="27" spans="2:50">
      <c r="B27" s="4" t="str">
        <f>+B17</f>
        <v>San Diego</v>
      </c>
      <c r="C27" s="4"/>
      <c r="D27" s="4"/>
      <c r="E27" s="23"/>
      <c r="F27" s="23">
        <v>6230</v>
      </c>
      <c r="G27" s="23">
        <v>10516</v>
      </c>
      <c r="H27" s="23">
        <v>27003</v>
      </c>
      <c r="I27" s="23">
        <v>33233</v>
      </c>
      <c r="J27" s="23">
        <v>42110</v>
      </c>
      <c r="K27" s="23">
        <v>58522</v>
      </c>
      <c r="L27" s="122">
        <v>71918</v>
      </c>
      <c r="M27" s="122">
        <v>83028</v>
      </c>
      <c r="N27" s="122">
        <v>117323</v>
      </c>
      <c r="O27" s="122">
        <v>117223</v>
      </c>
      <c r="P27" s="122">
        <v>134468</v>
      </c>
      <c r="Q27" s="23">
        <v>144806</v>
      </c>
      <c r="R27" s="23">
        <v>156789</v>
      </c>
      <c r="S27" s="23">
        <v>168488</v>
      </c>
      <c r="T27" s="23">
        <v>187703</v>
      </c>
      <c r="U27" s="23">
        <v>187703</v>
      </c>
      <c r="V27" s="23">
        <v>203798</v>
      </c>
      <c r="W27" s="23">
        <v>233118</v>
      </c>
      <c r="X27" s="23">
        <v>246415</v>
      </c>
      <c r="Y27" s="23">
        <v>264590</v>
      </c>
      <c r="Z27" s="109">
        <f>+Y27/C48</f>
        <v>0.76692753623188403</v>
      </c>
      <c r="AA27" s="134">
        <f t="shared" ref="AA27:AA33" si="8">+Z27-Y$25</f>
        <v>-0.23307246376811597</v>
      </c>
      <c r="AX27"/>
    </row>
    <row r="28" spans="2:50">
      <c r="B28" s="4" t="str">
        <f>+B18</f>
        <v>Latin America</v>
      </c>
      <c r="C28" s="4"/>
      <c r="D28" s="4"/>
      <c r="E28" s="23"/>
      <c r="F28" s="34">
        <v>0</v>
      </c>
      <c r="G28" s="34">
        <v>0</v>
      </c>
      <c r="H28" s="34">
        <v>2290</v>
      </c>
      <c r="I28" s="34">
        <v>9105</v>
      </c>
      <c r="J28" s="34">
        <v>14400</v>
      </c>
      <c r="K28" s="34">
        <v>14400</v>
      </c>
      <c r="L28" s="122">
        <v>14400</v>
      </c>
      <c r="M28" s="122">
        <v>17095</v>
      </c>
      <c r="N28" s="122">
        <v>17095</v>
      </c>
      <c r="O28" s="122">
        <v>17095</v>
      </c>
      <c r="P28" s="122">
        <v>22990</v>
      </c>
      <c r="Q28" s="23">
        <v>25425</v>
      </c>
      <c r="R28" s="23">
        <v>29950</v>
      </c>
      <c r="S28" s="23">
        <v>35340</v>
      </c>
      <c r="T28" s="23">
        <v>35340</v>
      </c>
      <c r="U28" s="23">
        <v>37340</v>
      </c>
      <c r="V28" s="121">
        <v>45835</v>
      </c>
      <c r="W28" s="23">
        <v>45835</v>
      </c>
      <c r="X28" s="23">
        <v>48530</v>
      </c>
      <c r="Y28" s="23">
        <v>59425</v>
      </c>
      <c r="Z28" s="109">
        <f>+Y28/C49</f>
        <v>0.59424999999999994</v>
      </c>
      <c r="AA28" s="79">
        <f t="shared" si="8"/>
        <v>-0.40575000000000006</v>
      </c>
      <c r="AX28"/>
    </row>
    <row r="29" spans="2:50">
      <c r="B29" s="4" t="str">
        <f>+B19</f>
        <v>Boston</v>
      </c>
      <c r="C29" s="4"/>
      <c r="D29" s="4"/>
      <c r="E29" s="23"/>
      <c r="F29" s="34">
        <v>1500</v>
      </c>
      <c r="G29" s="34">
        <v>10495</v>
      </c>
      <c r="H29" s="34">
        <v>20385</v>
      </c>
      <c r="I29" s="34">
        <v>25385</v>
      </c>
      <c r="J29" s="34">
        <v>55365</v>
      </c>
      <c r="K29" s="34">
        <v>78050</v>
      </c>
      <c r="L29" s="122">
        <v>98530</v>
      </c>
      <c r="M29" s="122">
        <v>114685</v>
      </c>
      <c r="N29" s="122">
        <v>114685</v>
      </c>
      <c r="O29" s="122">
        <v>114685</v>
      </c>
      <c r="P29" s="122">
        <v>131725</v>
      </c>
      <c r="Q29" s="23">
        <v>151210</v>
      </c>
      <c r="R29" s="23">
        <v>156810</v>
      </c>
      <c r="S29" s="23">
        <v>163400</v>
      </c>
      <c r="T29" s="23">
        <v>174385</v>
      </c>
      <c r="U29" s="23">
        <v>183375</v>
      </c>
      <c r="V29" s="121">
        <v>194870</v>
      </c>
      <c r="W29" s="23">
        <v>199905</v>
      </c>
      <c r="X29" s="23">
        <v>209145</v>
      </c>
      <c r="Y29" s="23">
        <v>221675</v>
      </c>
      <c r="Z29" s="109">
        <f>+Y29/C50</f>
        <v>0.98522222222222222</v>
      </c>
      <c r="AA29" s="154">
        <f t="shared" si="8"/>
        <v>-1.4777777777777779E-2</v>
      </c>
      <c r="AX29"/>
    </row>
    <row r="30" spans="2:50" s="4" customFormat="1" ht="12.75">
      <c r="B30" s="4" t="str">
        <f>+B20</f>
        <v>Canada</v>
      </c>
      <c r="E30" s="23"/>
      <c r="F30" s="34">
        <v>4740</v>
      </c>
      <c r="G30" s="34">
        <v>10055</v>
      </c>
      <c r="H30" s="34">
        <v>19399</v>
      </c>
      <c r="I30" s="34">
        <v>19399</v>
      </c>
      <c r="J30" s="34">
        <v>20420</v>
      </c>
      <c r="K30" s="34">
        <v>27464</v>
      </c>
      <c r="L30" s="122">
        <v>35059</v>
      </c>
      <c r="M30" s="122">
        <v>37477</v>
      </c>
      <c r="N30" s="122">
        <v>48773</v>
      </c>
      <c r="O30" s="122">
        <v>48773</v>
      </c>
      <c r="P30" s="122">
        <v>48773</v>
      </c>
      <c r="Q30" s="34">
        <v>51340</v>
      </c>
      <c r="R30" s="34">
        <v>50668</v>
      </c>
      <c r="S30" s="34">
        <v>68604</v>
      </c>
      <c r="T30" s="34">
        <v>74817</v>
      </c>
      <c r="U30" s="34">
        <v>81932</v>
      </c>
      <c r="V30" s="121">
        <v>84350</v>
      </c>
      <c r="W30" s="34">
        <v>87433</v>
      </c>
      <c r="X30" s="34">
        <v>93123</v>
      </c>
      <c r="Y30" s="34">
        <v>100476</v>
      </c>
      <c r="Z30" s="109">
        <f>Y30/C51</f>
        <v>0.52882105263157897</v>
      </c>
      <c r="AA30" s="79">
        <f t="shared" si="8"/>
        <v>-0.47117894736842103</v>
      </c>
    </row>
    <row r="31" spans="2:50" s="4" customFormat="1" ht="12.75">
      <c r="B31" s="4" t="s">
        <v>63</v>
      </c>
      <c r="E31" s="23"/>
      <c r="F31" s="34">
        <v>0</v>
      </c>
      <c r="G31" s="34">
        <v>0</v>
      </c>
      <c r="H31" s="34">
        <v>2222</v>
      </c>
      <c r="I31" s="34">
        <v>4444</v>
      </c>
      <c r="J31" s="34">
        <v>4444</v>
      </c>
      <c r="K31" s="34">
        <v>4444</v>
      </c>
      <c r="L31" s="122">
        <v>4444</v>
      </c>
      <c r="M31" s="122">
        <v>4444</v>
      </c>
      <c r="N31" s="122">
        <v>5777</v>
      </c>
      <c r="O31" s="122">
        <v>5777</v>
      </c>
      <c r="P31" s="122">
        <v>7888</v>
      </c>
      <c r="Q31" s="34">
        <v>7888</v>
      </c>
      <c r="R31" s="34">
        <v>7888</v>
      </c>
      <c r="S31" s="34">
        <v>7888</v>
      </c>
      <c r="T31" s="34">
        <v>9555</v>
      </c>
      <c r="U31" s="34">
        <v>9555</v>
      </c>
      <c r="V31" s="121">
        <v>9555</v>
      </c>
      <c r="W31" s="34">
        <v>9555</v>
      </c>
      <c r="X31" s="34">
        <v>10888</v>
      </c>
      <c r="Y31" s="34">
        <v>10888</v>
      </c>
      <c r="Z31" s="109">
        <f>Y31/C52</f>
        <v>0.10888</v>
      </c>
      <c r="AA31" s="79">
        <f t="shared" si="8"/>
        <v>-0.89112000000000002</v>
      </c>
    </row>
    <row r="32" spans="2:50">
      <c r="B32" s="5" t="str">
        <f>+B22</f>
        <v>Norwich</v>
      </c>
      <c r="C32" s="19"/>
      <c r="D32" s="19"/>
      <c r="E32" s="35"/>
      <c r="F32" s="35">
        <v>5464</v>
      </c>
      <c r="G32" s="35">
        <v>27153</v>
      </c>
      <c r="H32" s="35">
        <v>27153</v>
      </c>
      <c r="I32" s="35">
        <v>42818</v>
      </c>
      <c r="J32" s="35">
        <v>57445</v>
      </c>
      <c r="K32" s="35">
        <v>63117</v>
      </c>
      <c r="L32" s="124">
        <v>69481</v>
      </c>
      <c r="M32" s="124">
        <v>81030</v>
      </c>
      <c r="N32" s="124">
        <v>101386</v>
      </c>
      <c r="O32" s="124">
        <v>125712</v>
      </c>
      <c r="P32" s="124">
        <v>135673</v>
      </c>
      <c r="Q32" s="35">
        <v>145408</v>
      </c>
      <c r="R32" s="35">
        <v>176587</v>
      </c>
      <c r="S32" s="35">
        <v>179047</v>
      </c>
      <c r="T32" s="35">
        <v>206810</v>
      </c>
      <c r="U32" s="35">
        <v>226352</v>
      </c>
      <c r="V32" s="35">
        <v>226142</v>
      </c>
      <c r="W32" s="35">
        <v>236592</v>
      </c>
      <c r="X32" s="35">
        <v>233173</v>
      </c>
      <c r="Y32" s="35">
        <v>255890</v>
      </c>
      <c r="Z32" s="110">
        <f>+Y32/C53</f>
        <v>0.71080555555555558</v>
      </c>
      <c r="AA32" s="79">
        <f t="shared" si="8"/>
        <v>-0.28919444444444442</v>
      </c>
      <c r="AX32"/>
    </row>
    <row r="33" spans="2:50">
      <c r="B33" s="4" t="str">
        <f>+B23</f>
        <v>Group</v>
      </c>
      <c r="C33" s="4"/>
      <c r="D33" s="4"/>
      <c r="E33" s="4"/>
      <c r="F33" s="10">
        <f>SUM(F27:F32)</f>
        <v>17934</v>
      </c>
      <c r="G33" s="10">
        <f>SUM(G27:G32)</f>
        <v>58219</v>
      </c>
      <c r="H33" s="10">
        <f>SUM(H27:H32)</f>
        <v>98452</v>
      </c>
      <c r="I33" s="10">
        <f>SUM(I27:I32)</f>
        <v>134384</v>
      </c>
      <c r="J33" s="4">
        <f t="shared" ref="J33:Y33" si="9">SUM(J27:J32)</f>
        <v>194184</v>
      </c>
      <c r="K33" s="10">
        <f t="shared" si="9"/>
        <v>245997</v>
      </c>
      <c r="L33" s="10">
        <f t="shared" si="9"/>
        <v>293832</v>
      </c>
      <c r="M33" s="10">
        <f t="shared" si="9"/>
        <v>337759</v>
      </c>
      <c r="N33" s="10">
        <f t="shared" si="9"/>
        <v>405039</v>
      </c>
      <c r="O33" s="4">
        <f>SUM(O27:O32)</f>
        <v>429265</v>
      </c>
      <c r="P33" s="10">
        <f t="shared" si="9"/>
        <v>481517</v>
      </c>
      <c r="Q33" s="10">
        <f t="shared" si="9"/>
        <v>526077</v>
      </c>
      <c r="R33" s="10">
        <f t="shared" si="9"/>
        <v>578692</v>
      </c>
      <c r="S33" s="10">
        <f t="shared" si="9"/>
        <v>622767</v>
      </c>
      <c r="T33" s="4">
        <f t="shared" si="9"/>
        <v>688610</v>
      </c>
      <c r="U33" s="10">
        <f t="shared" si="9"/>
        <v>726257</v>
      </c>
      <c r="V33" s="10">
        <f t="shared" si="9"/>
        <v>764550</v>
      </c>
      <c r="W33" s="10">
        <f t="shared" si="9"/>
        <v>812438</v>
      </c>
      <c r="X33" s="10">
        <f t="shared" si="9"/>
        <v>841274</v>
      </c>
      <c r="Y33" s="10">
        <f t="shared" si="9"/>
        <v>912944</v>
      </c>
      <c r="Z33" s="111">
        <f>+Y33/C54</f>
        <v>0.69162424242424247</v>
      </c>
      <c r="AA33" s="84">
        <f t="shared" si="8"/>
        <v>-0.30837575757575753</v>
      </c>
      <c r="AX33"/>
    </row>
    <row r="34" spans="2:50" s="1" customFormat="1" ht="11.25">
      <c r="B34" s="1" t="s">
        <v>34</v>
      </c>
      <c r="E34" s="30"/>
      <c r="F34" s="30">
        <f t="shared" ref="F34:N34" si="10">+F33/$C$54</f>
        <v>1.3586363636363636E-2</v>
      </c>
      <c r="G34" s="30">
        <f t="shared" si="10"/>
        <v>4.4105303030303029E-2</v>
      </c>
      <c r="H34" s="30">
        <f t="shared" si="10"/>
        <v>7.458484848484849E-2</v>
      </c>
      <c r="I34" s="30">
        <f t="shared" si="10"/>
        <v>0.10180606060606061</v>
      </c>
      <c r="J34" s="30">
        <f t="shared" si="10"/>
        <v>0.14710909090909091</v>
      </c>
      <c r="K34" s="30">
        <f t="shared" si="10"/>
        <v>0.18636136363636363</v>
      </c>
      <c r="L34" s="30">
        <f t="shared" si="10"/>
        <v>0.22259999999999999</v>
      </c>
      <c r="M34" s="30">
        <f t="shared" si="10"/>
        <v>0.2558780303030303</v>
      </c>
      <c r="N34" s="30">
        <f t="shared" si="10"/>
        <v>0.3068477272727273</v>
      </c>
      <c r="O34" s="30">
        <f>+O33/$C$54</f>
        <v>0.32520075757575756</v>
      </c>
      <c r="P34" s="30">
        <f t="shared" ref="P34:Y34" si="11">+P33/$C$54</f>
        <v>0.36478560606060606</v>
      </c>
      <c r="Q34" s="30">
        <f t="shared" si="11"/>
        <v>0.39854318181818182</v>
      </c>
      <c r="R34" s="30">
        <f t="shared" si="11"/>
        <v>0.43840303030303029</v>
      </c>
      <c r="S34" s="30">
        <f t="shared" si="11"/>
        <v>0.47179318181818181</v>
      </c>
      <c r="T34" s="30">
        <f t="shared" si="11"/>
        <v>0.52167424242424243</v>
      </c>
      <c r="U34" s="30">
        <f t="shared" si="11"/>
        <v>0.55019469696969692</v>
      </c>
      <c r="V34" s="30">
        <f t="shared" si="11"/>
        <v>0.57920454545454547</v>
      </c>
      <c r="W34" s="30">
        <f t="shared" si="11"/>
        <v>0.61548333333333338</v>
      </c>
      <c r="X34" s="30">
        <f t="shared" si="11"/>
        <v>0.63732878787878788</v>
      </c>
      <c r="Y34" s="30">
        <f t="shared" si="11"/>
        <v>0.69162424242424247</v>
      </c>
    </row>
    <row r="35" spans="2:50" s="1" customFormat="1" ht="11.25"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50">
      <c r="B36" s="9" t="s">
        <v>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X36"/>
    </row>
    <row r="37" spans="2:50">
      <c r="B37" s="4"/>
      <c r="C37" s="4"/>
      <c r="D37" s="4"/>
      <c r="E37" s="4"/>
      <c r="F37" s="4" t="str">
        <f>+F16</f>
        <v>Day 1</v>
      </c>
      <c r="G37" s="4" t="str">
        <f t="shared" ref="G37:Y37" si="12">+G16</f>
        <v>Day 2</v>
      </c>
      <c r="H37" s="4" t="str">
        <f t="shared" si="12"/>
        <v>Day 3</v>
      </c>
      <c r="I37" s="4" t="str">
        <f t="shared" si="12"/>
        <v>Day 4</v>
      </c>
      <c r="J37" s="4" t="str">
        <f t="shared" si="12"/>
        <v>Day 5</v>
      </c>
      <c r="K37" s="4" t="str">
        <f t="shared" si="12"/>
        <v>Day 6</v>
      </c>
      <c r="L37" s="4" t="str">
        <f t="shared" si="12"/>
        <v>Day 7</v>
      </c>
      <c r="M37" s="4" t="str">
        <f t="shared" si="12"/>
        <v>Day 8</v>
      </c>
      <c r="N37" s="4" t="str">
        <f t="shared" si="12"/>
        <v>Day 9</v>
      </c>
      <c r="O37" s="4" t="str">
        <f t="shared" si="12"/>
        <v>Day 10</v>
      </c>
      <c r="P37" s="4" t="str">
        <f t="shared" si="12"/>
        <v>Day 11</v>
      </c>
      <c r="Q37" s="4" t="str">
        <f t="shared" si="12"/>
        <v>Day 12</v>
      </c>
      <c r="R37" s="4" t="str">
        <f t="shared" si="12"/>
        <v>Day 13</v>
      </c>
      <c r="S37" s="4" t="str">
        <f t="shared" si="12"/>
        <v>Day 14</v>
      </c>
      <c r="T37" s="4" t="str">
        <f t="shared" si="12"/>
        <v>Day 15</v>
      </c>
      <c r="U37" s="4" t="str">
        <f t="shared" si="12"/>
        <v>Day 16</v>
      </c>
      <c r="V37" s="4" t="str">
        <f t="shared" si="12"/>
        <v>Day 17</v>
      </c>
      <c r="W37" s="4" t="str">
        <f t="shared" si="12"/>
        <v>Day 18</v>
      </c>
      <c r="X37" s="4" t="str">
        <f t="shared" si="12"/>
        <v>Day 19</v>
      </c>
      <c r="Y37" s="4" t="str">
        <f t="shared" si="12"/>
        <v>Day 20</v>
      </c>
      <c r="Z37" s="131" t="s">
        <v>68</v>
      </c>
      <c r="AA37" s="131"/>
      <c r="AX37"/>
    </row>
    <row r="38" spans="2:50">
      <c r="B38" s="4" t="s">
        <v>0</v>
      </c>
      <c r="C38" s="17"/>
      <c r="D38" s="17"/>
      <c r="E38" s="17"/>
      <c r="F38" s="17">
        <f>(F48/$C$48)</f>
        <v>0.36115942028985509</v>
      </c>
      <c r="G38" s="17">
        <f t="shared" ref="G38:Y38" si="13">(G48/$C$48)</f>
        <v>0.30481159420289855</v>
      </c>
      <c r="H38" s="17">
        <f t="shared" si="13"/>
        <v>0.52179710144927538</v>
      </c>
      <c r="I38" s="17">
        <f t="shared" si="13"/>
        <v>0.48163768115942029</v>
      </c>
      <c r="J38" s="17">
        <f t="shared" si="13"/>
        <v>0.48823188405797102</v>
      </c>
      <c r="K38" s="17">
        <f t="shared" si="13"/>
        <v>0.56542995169082122</v>
      </c>
      <c r="L38" s="17">
        <f t="shared" si="13"/>
        <v>0.5955942028985507</v>
      </c>
      <c r="M38" s="17">
        <f t="shared" si="13"/>
        <v>0.60165217391304349</v>
      </c>
      <c r="N38" s="17">
        <f t="shared" si="13"/>
        <v>0.75570370370370377</v>
      </c>
      <c r="O38" s="17">
        <f t="shared" si="13"/>
        <v>0.67955362318840584</v>
      </c>
      <c r="P38" s="17">
        <f t="shared" si="13"/>
        <v>0.70865876152832663</v>
      </c>
      <c r="Q38" s="17">
        <f t="shared" si="13"/>
        <v>0.69954589371980669</v>
      </c>
      <c r="R38" s="17">
        <f t="shared" si="13"/>
        <v>0.69917056856187298</v>
      </c>
      <c r="S38" s="17">
        <f t="shared" si="13"/>
        <v>0.69767287784679088</v>
      </c>
      <c r="T38" s="17">
        <f t="shared" si="13"/>
        <v>0.72542222222222219</v>
      </c>
      <c r="U38" s="17">
        <f t="shared" si="13"/>
        <v>0.68008333333333337</v>
      </c>
      <c r="V38" s="17">
        <f t="shared" si="13"/>
        <v>0.69496334185848252</v>
      </c>
      <c r="W38" s="17">
        <f t="shared" si="13"/>
        <v>0.75078260869565216</v>
      </c>
      <c r="X38" s="17">
        <f t="shared" si="13"/>
        <v>0.75183829138062552</v>
      </c>
      <c r="Y38" s="17">
        <f t="shared" si="13"/>
        <v>0.76692753623188403</v>
      </c>
      <c r="Z38" s="140" t="s">
        <v>71</v>
      </c>
      <c r="AA38" s="138">
        <v>300</v>
      </c>
      <c r="AX38"/>
    </row>
    <row r="39" spans="2:50">
      <c r="B39" s="4" t="s">
        <v>64</v>
      </c>
      <c r="C39" s="17"/>
      <c r="D39" s="17"/>
      <c r="E39" s="17"/>
      <c r="F39" s="17">
        <f>(F49/$C$49)</f>
        <v>0</v>
      </c>
      <c r="G39" s="17">
        <f t="shared" ref="G39:Y39" si="14">(G49/$C$49)</f>
        <v>0</v>
      </c>
      <c r="H39" s="17">
        <f t="shared" si="14"/>
        <v>0.15266666666666667</v>
      </c>
      <c r="I39" s="17">
        <f t="shared" si="14"/>
        <v>0.45524999999999999</v>
      </c>
      <c r="J39" s="17">
        <f t="shared" si="14"/>
        <v>0.57599999999999996</v>
      </c>
      <c r="K39" s="17">
        <f t="shared" si="14"/>
        <v>0.48</v>
      </c>
      <c r="L39" s="17">
        <f t="shared" si="14"/>
        <v>0.41142857142857148</v>
      </c>
      <c r="M39" s="17">
        <f t="shared" si="14"/>
        <v>0.427375</v>
      </c>
      <c r="N39" s="17">
        <f t="shared" si="14"/>
        <v>0.37988888888888889</v>
      </c>
      <c r="O39" s="17">
        <f t="shared" si="14"/>
        <v>0.34189999999999998</v>
      </c>
      <c r="P39" s="17">
        <f t="shared" si="14"/>
        <v>0.41799999999999998</v>
      </c>
      <c r="Q39" s="17">
        <f t="shared" si="14"/>
        <v>0.42375000000000002</v>
      </c>
      <c r="R39" s="17">
        <f t="shared" si="14"/>
        <v>0.46076923076923076</v>
      </c>
      <c r="S39" s="17">
        <f t="shared" si="14"/>
        <v>0.50485714285714278</v>
      </c>
      <c r="T39" s="17">
        <f t="shared" si="14"/>
        <v>0.47120000000000001</v>
      </c>
      <c r="U39" s="17">
        <f t="shared" si="14"/>
        <v>0.46675</v>
      </c>
      <c r="V39" s="17">
        <f t="shared" si="14"/>
        <v>0.53923529411764703</v>
      </c>
      <c r="W39" s="17">
        <f t="shared" si="14"/>
        <v>0.50927777777777772</v>
      </c>
      <c r="X39" s="17">
        <f t="shared" si="14"/>
        <v>0.51084210526315799</v>
      </c>
      <c r="Y39" s="17">
        <f t="shared" si="14"/>
        <v>0.59424999999999994</v>
      </c>
      <c r="Z39" s="140" t="s">
        <v>72</v>
      </c>
      <c r="AA39" s="138">
        <v>70</v>
      </c>
      <c r="AX39"/>
    </row>
    <row r="40" spans="2:50">
      <c r="B40" s="4" t="s">
        <v>1</v>
      </c>
      <c r="C40" s="17"/>
      <c r="D40" s="17"/>
      <c r="E40" s="17"/>
      <c r="F40" s="17">
        <f t="shared" ref="F40:Y40" si="15">(F50/$C$50)</f>
        <v>0.13333333333333333</v>
      </c>
      <c r="G40" s="17">
        <f t="shared" si="15"/>
        <v>0.46644444444444444</v>
      </c>
      <c r="H40" s="17">
        <f t="shared" si="15"/>
        <v>0.60399999999999998</v>
      </c>
      <c r="I40" s="17">
        <f t="shared" si="15"/>
        <v>0.56411111111111112</v>
      </c>
      <c r="J40" s="17">
        <f t="shared" si="15"/>
        <v>0.98426666666666662</v>
      </c>
      <c r="K40" s="17">
        <f t="shared" si="15"/>
        <v>1.1562962962962964</v>
      </c>
      <c r="L40" s="17">
        <f t="shared" si="15"/>
        <v>1.2511746031746034</v>
      </c>
      <c r="M40" s="17">
        <f t="shared" si="15"/>
        <v>1.2742777777777778</v>
      </c>
      <c r="N40" s="17">
        <f t="shared" si="15"/>
        <v>1.1326913580246913</v>
      </c>
      <c r="O40" s="17">
        <f t="shared" si="15"/>
        <v>1.0194222222222222</v>
      </c>
      <c r="P40" s="17">
        <f t="shared" si="15"/>
        <v>1.0644444444444445</v>
      </c>
      <c r="Q40" s="17">
        <f t="shared" si="15"/>
        <v>1.1200740740740742</v>
      </c>
      <c r="R40" s="17">
        <f t="shared" si="15"/>
        <v>1.0722051282051281</v>
      </c>
      <c r="S40" s="17">
        <f t="shared" si="15"/>
        <v>1.0374603174603174</v>
      </c>
      <c r="T40" s="17">
        <f t="shared" si="15"/>
        <v>1.0333925925925924</v>
      </c>
      <c r="U40" s="17">
        <f t="shared" si="15"/>
        <v>1.01875</v>
      </c>
      <c r="V40" s="17">
        <f t="shared" si="15"/>
        <v>1.0189281045751633</v>
      </c>
      <c r="W40" s="17">
        <f t="shared" si="15"/>
        <v>0.98718518518518528</v>
      </c>
      <c r="X40" s="17">
        <f t="shared" si="15"/>
        <v>0.97845614035087713</v>
      </c>
      <c r="Y40" s="17">
        <f t="shared" si="15"/>
        <v>0.98522222222222222</v>
      </c>
      <c r="Z40" s="141" t="s">
        <v>73</v>
      </c>
      <c r="AA40" s="138">
        <v>225</v>
      </c>
      <c r="AX40"/>
    </row>
    <row r="41" spans="2:50">
      <c r="B41" s="4" t="s">
        <v>2</v>
      </c>
      <c r="C41" s="17"/>
      <c r="D41" s="17"/>
      <c r="E41" s="17"/>
      <c r="F41" s="17">
        <f t="shared" ref="F41:Y42" si="16">(F51/$C$51)</f>
        <v>0.49894736842105264</v>
      </c>
      <c r="G41" s="17">
        <f t="shared" si="16"/>
        <v>0.52921052631578946</v>
      </c>
      <c r="H41" s="17">
        <f t="shared" si="16"/>
        <v>0.68066666666666664</v>
      </c>
      <c r="I41" s="17">
        <f t="shared" si="16"/>
        <v>0.51049999999999995</v>
      </c>
      <c r="J41" s="17">
        <f t="shared" si="16"/>
        <v>0.42989473684210527</v>
      </c>
      <c r="K41" s="17">
        <f t="shared" si="16"/>
        <v>0.48182456140350871</v>
      </c>
      <c r="L41" s="17">
        <f t="shared" si="16"/>
        <v>0.52720300751879701</v>
      </c>
      <c r="M41" s="17">
        <f t="shared" si="16"/>
        <v>0.49311842105263159</v>
      </c>
      <c r="N41" s="17">
        <f t="shared" si="16"/>
        <v>0.57044444444444453</v>
      </c>
      <c r="O41" s="17">
        <f t="shared" si="16"/>
        <v>0.51339999999999997</v>
      </c>
      <c r="P41" s="17">
        <f t="shared" si="16"/>
        <v>0.46672727272727277</v>
      </c>
      <c r="Q41" s="17">
        <f t="shared" si="16"/>
        <v>0.45035087719298239</v>
      </c>
      <c r="R41" s="17">
        <f t="shared" si="16"/>
        <v>0.41026720647773279</v>
      </c>
      <c r="S41" s="17">
        <f t="shared" si="16"/>
        <v>0.51581954887218051</v>
      </c>
      <c r="T41" s="17">
        <f t="shared" si="16"/>
        <v>0.5250315789473684</v>
      </c>
      <c r="U41" s="17">
        <f t="shared" si="16"/>
        <v>0.53902631578947369</v>
      </c>
      <c r="V41" s="17">
        <f t="shared" si="16"/>
        <v>0.52229102167182662</v>
      </c>
      <c r="W41" s="17">
        <f t="shared" si="16"/>
        <v>0.51130409356725148</v>
      </c>
      <c r="X41" s="17">
        <f t="shared" si="16"/>
        <v>0.51591689750692515</v>
      </c>
      <c r="Y41" s="17">
        <f t="shared" si="16"/>
        <v>0.52882105263157897</v>
      </c>
      <c r="Z41" s="141" t="s">
        <v>74</v>
      </c>
      <c r="AA41" s="138">
        <v>105</v>
      </c>
      <c r="AX41"/>
    </row>
    <row r="42" spans="2:50">
      <c r="B42" s="4" t="s">
        <v>63</v>
      </c>
      <c r="C42" s="17"/>
      <c r="D42" s="17"/>
      <c r="E42" s="17"/>
      <c r="F42" s="17">
        <f t="shared" si="16"/>
        <v>0</v>
      </c>
      <c r="G42" s="17">
        <f t="shared" si="16"/>
        <v>0</v>
      </c>
      <c r="H42" s="17">
        <f t="shared" si="16"/>
        <v>7.7964912280701751E-2</v>
      </c>
      <c r="I42" s="17">
        <f t="shared" si="16"/>
        <v>0.11694736842105263</v>
      </c>
      <c r="J42" s="17">
        <f t="shared" si="16"/>
        <v>9.3557894736842104E-2</v>
      </c>
      <c r="K42" s="17">
        <f t="shared" si="16"/>
        <v>7.7964912280701751E-2</v>
      </c>
      <c r="L42" s="17">
        <f t="shared" si="16"/>
        <v>6.6827067669172943E-2</v>
      </c>
      <c r="M42" s="17">
        <f t="shared" si="16"/>
        <v>5.8473684210526317E-2</v>
      </c>
      <c r="N42" s="17">
        <f t="shared" si="16"/>
        <v>6.7567251461988304E-2</v>
      </c>
      <c r="O42" s="17">
        <f t="shared" si="16"/>
        <v>6.0810526315789475E-2</v>
      </c>
      <c r="P42" s="17">
        <f t="shared" si="16"/>
        <v>7.5483253588516749E-2</v>
      </c>
      <c r="Q42" s="17">
        <f t="shared" si="16"/>
        <v>6.9192982456140362E-2</v>
      </c>
      <c r="R42" s="17">
        <f t="shared" si="16"/>
        <v>6.3870445344129542E-2</v>
      </c>
      <c r="S42" s="17">
        <f t="shared" si="16"/>
        <v>5.9308270676691734E-2</v>
      </c>
      <c r="T42" s="17">
        <f t="shared" si="16"/>
        <v>6.7052631578947364E-2</v>
      </c>
      <c r="U42" s="17">
        <f t="shared" si="16"/>
        <v>6.286184210526316E-2</v>
      </c>
      <c r="V42" s="17">
        <f t="shared" si="16"/>
        <v>5.9164086687306494E-2</v>
      </c>
      <c r="W42" s="17">
        <f t="shared" si="16"/>
        <v>5.5877192982456143E-2</v>
      </c>
      <c r="X42" s="17">
        <f t="shared" si="16"/>
        <v>6.0321329639889204E-2</v>
      </c>
      <c r="Y42" s="17">
        <f t="shared" si="16"/>
        <v>5.7305263157894734E-2</v>
      </c>
      <c r="Z42" s="141" t="s">
        <v>75</v>
      </c>
      <c r="AA42" s="138">
        <v>25</v>
      </c>
      <c r="AX42"/>
    </row>
    <row r="43" spans="2:50">
      <c r="B43" s="4" t="s">
        <v>3</v>
      </c>
      <c r="C43" s="18"/>
      <c r="D43" s="18"/>
      <c r="E43" s="18"/>
      <c r="F43" s="18">
        <f t="shared" ref="F43:Y43" si="17">(F53/$C$53)</f>
        <v>0.30355555555555558</v>
      </c>
      <c r="G43" s="18">
        <f t="shared" si="17"/>
        <v>0.75424999999999998</v>
      </c>
      <c r="H43" s="18">
        <f t="shared" si="17"/>
        <v>0.50283333333333335</v>
      </c>
      <c r="I43" s="18">
        <f t="shared" si="17"/>
        <v>0.59469444444444441</v>
      </c>
      <c r="J43" s="18">
        <f t="shared" si="17"/>
        <v>0.63827777777777783</v>
      </c>
      <c r="K43" s="18">
        <f t="shared" si="17"/>
        <v>0.5844166666666667</v>
      </c>
      <c r="L43" s="18">
        <f t="shared" si="17"/>
        <v>0.551436507936508</v>
      </c>
      <c r="M43" s="18">
        <f t="shared" si="17"/>
        <v>0.56270833333333337</v>
      </c>
      <c r="N43" s="18">
        <f t="shared" si="17"/>
        <v>0.62583950617283945</v>
      </c>
      <c r="O43" s="18">
        <f t="shared" si="17"/>
        <v>0.69840000000000002</v>
      </c>
      <c r="P43" s="18">
        <f t="shared" si="17"/>
        <v>0.68521717171717167</v>
      </c>
      <c r="Q43" s="18">
        <f t="shared" si="17"/>
        <v>0.67318518518518522</v>
      </c>
      <c r="R43" s="18">
        <f t="shared" si="17"/>
        <v>0.7546452991452991</v>
      </c>
      <c r="S43" s="18">
        <f t="shared" si="17"/>
        <v>0.71050396825396833</v>
      </c>
      <c r="T43" s="18">
        <f t="shared" si="17"/>
        <v>0.76596296296296307</v>
      </c>
      <c r="U43" s="18">
        <f t="shared" si="17"/>
        <v>0.78594444444444445</v>
      </c>
      <c r="V43" s="18">
        <f t="shared" si="17"/>
        <v>0.73902614379084974</v>
      </c>
      <c r="W43" s="18">
        <f t="shared" si="17"/>
        <v>0.73022222222222222</v>
      </c>
      <c r="X43" s="18">
        <f t="shared" si="17"/>
        <v>0.68179239766081867</v>
      </c>
      <c r="Y43" s="18">
        <f t="shared" si="17"/>
        <v>0.71080555555555558</v>
      </c>
      <c r="Z43" s="142" t="s">
        <v>76</v>
      </c>
      <c r="AA43" s="138">
        <v>265</v>
      </c>
      <c r="AX43"/>
    </row>
    <row r="44" spans="2:50">
      <c r="B44" s="14" t="s">
        <v>27</v>
      </c>
      <c r="C44" s="17"/>
      <c r="D44" s="17"/>
      <c r="E44" s="17">
        <f t="shared" ref="E44:Y44" si="18">(E54/$C$54)</f>
        <v>0</v>
      </c>
      <c r="F44" s="17">
        <f t="shared" si="18"/>
        <v>0.27172727272727271</v>
      </c>
      <c r="G44" s="17">
        <f t="shared" si="18"/>
        <v>0.44105303030303028</v>
      </c>
      <c r="H44" s="17">
        <f t="shared" si="18"/>
        <v>0.49723232323232314</v>
      </c>
      <c r="I44" s="17">
        <f t="shared" si="18"/>
        <v>0.50903030303030306</v>
      </c>
      <c r="J44" s="17">
        <f t="shared" si="18"/>
        <v>0.58843636363636365</v>
      </c>
      <c r="K44" s="17">
        <f t="shared" si="18"/>
        <v>0.62120454545454551</v>
      </c>
      <c r="L44" s="17">
        <f t="shared" si="18"/>
        <v>0.63600000000000012</v>
      </c>
      <c r="M44" s="17">
        <f t="shared" si="18"/>
        <v>0.63969507575757578</v>
      </c>
      <c r="N44" s="17">
        <f t="shared" si="18"/>
        <v>0.68188383838383848</v>
      </c>
      <c r="O44" s="17">
        <f t="shared" si="18"/>
        <v>0.65040151515151512</v>
      </c>
      <c r="P44" s="17">
        <f t="shared" si="18"/>
        <v>0.66324655647382924</v>
      </c>
      <c r="Q44" s="17">
        <f t="shared" si="18"/>
        <v>0.66423863636363634</v>
      </c>
      <c r="R44" s="17">
        <f t="shared" si="18"/>
        <v>0.67446620046620043</v>
      </c>
      <c r="S44" s="17">
        <f t="shared" si="18"/>
        <v>0.67399025974025983</v>
      </c>
      <c r="T44" s="17">
        <f t="shared" si="18"/>
        <v>0.69556565656565661</v>
      </c>
      <c r="U44" s="17">
        <f t="shared" si="18"/>
        <v>0.68774337121212126</v>
      </c>
      <c r="V44" s="17">
        <f t="shared" si="18"/>
        <v>0.68141711229946522</v>
      </c>
      <c r="W44" s="17">
        <f t="shared" si="18"/>
        <v>0.68387037037037035</v>
      </c>
      <c r="X44" s="17">
        <f t="shared" si="18"/>
        <v>0.67087240829346084</v>
      </c>
      <c r="Y44" s="17">
        <f t="shared" si="18"/>
        <v>0.69162424242424247</v>
      </c>
      <c r="AA44" s="139">
        <f>SUM(AA38:AA43)</f>
        <v>990</v>
      </c>
      <c r="AX44"/>
    </row>
    <row r="45" spans="2:5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X45"/>
    </row>
    <row r="46" spans="2:50">
      <c r="B46" s="9" t="s">
        <v>26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X46"/>
    </row>
    <row r="47" spans="2:50">
      <c r="B47" s="4"/>
      <c r="C47" s="4"/>
      <c r="D47" s="4"/>
      <c r="E47" s="4"/>
      <c r="F47" s="4" t="str">
        <f>+F37</f>
        <v>Day 1</v>
      </c>
      <c r="G47" s="4" t="str">
        <f t="shared" ref="G47:Y47" si="19">+G37</f>
        <v>Day 2</v>
      </c>
      <c r="H47" s="4" t="str">
        <f t="shared" si="19"/>
        <v>Day 3</v>
      </c>
      <c r="I47" s="4" t="str">
        <f t="shared" si="19"/>
        <v>Day 4</v>
      </c>
      <c r="J47" s="4" t="str">
        <f t="shared" si="19"/>
        <v>Day 5</v>
      </c>
      <c r="K47" s="4" t="str">
        <f t="shared" si="19"/>
        <v>Day 6</v>
      </c>
      <c r="L47" s="4" t="str">
        <f t="shared" si="19"/>
        <v>Day 7</v>
      </c>
      <c r="M47" s="4" t="str">
        <f t="shared" si="19"/>
        <v>Day 8</v>
      </c>
      <c r="N47" s="4" t="str">
        <f t="shared" si="19"/>
        <v>Day 9</v>
      </c>
      <c r="O47" s="4" t="str">
        <f t="shared" si="19"/>
        <v>Day 10</v>
      </c>
      <c r="P47" s="4" t="str">
        <f t="shared" si="19"/>
        <v>Day 11</v>
      </c>
      <c r="Q47" s="4" t="str">
        <f t="shared" si="19"/>
        <v>Day 12</v>
      </c>
      <c r="R47" s="4" t="str">
        <f t="shared" si="19"/>
        <v>Day 13</v>
      </c>
      <c r="S47" s="4" t="str">
        <f t="shared" si="19"/>
        <v>Day 14</v>
      </c>
      <c r="T47" s="4" t="str">
        <f t="shared" si="19"/>
        <v>Day 15</v>
      </c>
      <c r="U47" s="4" t="str">
        <f t="shared" si="19"/>
        <v>Day 16</v>
      </c>
      <c r="V47" s="4" t="str">
        <f t="shared" si="19"/>
        <v>Day 17</v>
      </c>
      <c r="W47" s="4" t="str">
        <f t="shared" si="19"/>
        <v>Day 18</v>
      </c>
      <c r="X47" s="4" t="str">
        <f t="shared" si="19"/>
        <v>Day 19</v>
      </c>
      <c r="Y47" s="4" t="str">
        <f t="shared" si="19"/>
        <v>Day 20</v>
      </c>
      <c r="AX47"/>
    </row>
    <row r="48" spans="2:50">
      <c r="B48" s="4" t="s">
        <v>0</v>
      </c>
      <c r="C48" s="37">
        <v>345000</v>
      </c>
      <c r="D48" s="4"/>
      <c r="E48" s="4"/>
      <c r="F48" s="55">
        <f t="shared" ref="F48:Y53" si="20">(F27)/F$1*$Y$1</f>
        <v>124600</v>
      </c>
      <c r="G48" s="55">
        <f t="shared" si="20"/>
        <v>105160</v>
      </c>
      <c r="H48" s="55">
        <f t="shared" si="20"/>
        <v>180020</v>
      </c>
      <c r="I48" s="55">
        <f t="shared" si="20"/>
        <v>166165</v>
      </c>
      <c r="J48" s="55">
        <f t="shared" si="20"/>
        <v>168440</v>
      </c>
      <c r="K48" s="55">
        <f t="shared" si="20"/>
        <v>195073.33333333331</v>
      </c>
      <c r="L48" s="55">
        <f t="shared" si="20"/>
        <v>205480</v>
      </c>
      <c r="M48" s="55">
        <f t="shared" si="20"/>
        <v>207570</v>
      </c>
      <c r="N48" s="55">
        <f t="shared" si="20"/>
        <v>260717.77777777778</v>
      </c>
      <c r="O48" s="55">
        <f t="shared" si="20"/>
        <v>234446</v>
      </c>
      <c r="P48" s="55">
        <f t="shared" si="20"/>
        <v>244487.27272727271</v>
      </c>
      <c r="Q48" s="55">
        <f t="shared" si="20"/>
        <v>241343.33333333331</v>
      </c>
      <c r="R48" s="55">
        <f t="shared" si="20"/>
        <v>241213.84615384619</v>
      </c>
      <c r="S48" s="55">
        <f t="shared" si="20"/>
        <v>240697.14285714287</v>
      </c>
      <c r="T48" s="55">
        <f t="shared" si="20"/>
        <v>250270.66666666666</v>
      </c>
      <c r="U48" s="55">
        <f t="shared" si="20"/>
        <v>234628.75</v>
      </c>
      <c r="V48" s="55">
        <f t="shared" si="20"/>
        <v>239762.35294117648</v>
      </c>
      <c r="W48" s="55">
        <f t="shared" si="20"/>
        <v>259020</v>
      </c>
      <c r="X48" s="55">
        <f t="shared" si="20"/>
        <v>259384.21052631579</v>
      </c>
      <c r="Y48" s="55">
        <f t="shared" si="20"/>
        <v>264590</v>
      </c>
      <c r="AX48"/>
    </row>
    <row r="49" spans="2:50">
      <c r="B49" s="4" t="s">
        <v>64</v>
      </c>
      <c r="C49" s="37">
        <v>100000</v>
      </c>
      <c r="D49" s="4"/>
      <c r="E49" s="4"/>
      <c r="F49" s="55">
        <f t="shared" si="20"/>
        <v>0</v>
      </c>
      <c r="G49" s="55">
        <f t="shared" si="20"/>
        <v>0</v>
      </c>
      <c r="H49" s="55">
        <f t="shared" si="20"/>
        <v>15266.666666666668</v>
      </c>
      <c r="I49" s="55">
        <f t="shared" si="20"/>
        <v>45525</v>
      </c>
      <c r="J49" s="55">
        <f t="shared" si="20"/>
        <v>57600</v>
      </c>
      <c r="K49" s="55">
        <f t="shared" si="20"/>
        <v>48000</v>
      </c>
      <c r="L49" s="55">
        <f t="shared" si="20"/>
        <v>41142.857142857145</v>
      </c>
      <c r="M49" s="55">
        <f t="shared" si="20"/>
        <v>42737.5</v>
      </c>
      <c r="N49" s="55">
        <f t="shared" si="20"/>
        <v>37988.888888888891</v>
      </c>
      <c r="O49" s="55">
        <f t="shared" si="20"/>
        <v>34190</v>
      </c>
      <c r="P49" s="55">
        <f t="shared" si="20"/>
        <v>41800</v>
      </c>
      <c r="Q49" s="55">
        <f t="shared" si="20"/>
        <v>42375</v>
      </c>
      <c r="R49" s="55">
        <f t="shared" si="20"/>
        <v>46076.923076923078</v>
      </c>
      <c r="S49" s="55">
        <f t="shared" si="20"/>
        <v>50485.714285714283</v>
      </c>
      <c r="T49" s="55">
        <f t="shared" si="20"/>
        <v>47120</v>
      </c>
      <c r="U49" s="55">
        <f t="shared" si="20"/>
        <v>46675</v>
      </c>
      <c r="V49" s="55">
        <f t="shared" si="20"/>
        <v>53923.529411764699</v>
      </c>
      <c r="W49" s="55">
        <f t="shared" si="20"/>
        <v>50927.777777777774</v>
      </c>
      <c r="X49" s="55">
        <f t="shared" si="20"/>
        <v>51084.210526315794</v>
      </c>
      <c r="Y49" s="55">
        <f t="shared" si="20"/>
        <v>59425</v>
      </c>
      <c r="AX49"/>
    </row>
    <row r="50" spans="2:50">
      <c r="B50" s="4" t="s">
        <v>1</v>
      </c>
      <c r="C50" s="37">
        <v>225000</v>
      </c>
      <c r="D50" s="4"/>
      <c r="E50" s="4"/>
      <c r="F50" s="55">
        <f t="shared" si="20"/>
        <v>30000</v>
      </c>
      <c r="G50" s="55">
        <f t="shared" si="20"/>
        <v>104950</v>
      </c>
      <c r="H50" s="55">
        <f t="shared" si="20"/>
        <v>135900</v>
      </c>
      <c r="I50" s="55">
        <f t="shared" si="20"/>
        <v>126925</v>
      </c>
      <c r="J50" s="55">
        <f t="shared" si="20"/>
        <v>221460</v>
      </c>
      <c r="K50" s="55">
        <f t="shared" si="20"/>
        <v>260166.66666666669</v>
      </c>
      <c r="L50" s="55">
        <f t="shared" si="20"/>
        <v>281514.28571428574</v>
      </c>
      <c r="M50" s="55">
        <f t="shared" si="20"/>
        <v>286712.5</v>
      </c>
      <c r="N50" s="55">
        <f t="shared" si="20"/>
        <v>254855.55555555556</v>
      </c>
      <c r="O50" s="55">
        <f t="shared" si="20"/>
        <v>229370</v>
      </c>
      <c r="P50" s="55">
        <f t="shared" si="20"/>
        <v>239500</v>
      </c>
      <c r="Q50" s="55">
        <f t="shared" si="20"/>
        <v>252016.66666666669</v>
      </c>
      <c r="R50" s="55">
        <f t="shared" si="20"/>
        <v>241246.15384615381</v>
      </c>
      <c r="S50" s="55">
        <f t="shared" si="20"/>
        <v>233428.57142857142</v>
      </c>
      <c r="T50" s="55">
        <f t="shared" si="20"/>
        <v>232513.33333333331</v>
      </c>
      <c r="U50" s="55">
        <f t="shared" si="20"/>
        <v>229218.75</v>
      </c>
      <c r="V50" s="55">
        <f t="shared" si="20"/>
        <v>229258.82352941175</v>
      </c>
      <c r="W50" s="55">
        <f t="shared" si="20"/>
        <v>222116.66666666669</v>
      </c>
      <c r="X50" s="55">
        <f t="shared" si="20"/>
        <v>220152.63157894736</v>
      </c>
      <c r="Y50" s="55">
        <f t="shared" si="20"/>
        <v>221675</v>
      </c>
      <c r="AX50"/>
    </row>
    <row r="51" spans="2:50">
      <c r="B51" s="4" t="s">
        <v>2</v>
      </c>
      <c r="C51" s="37">
        <v>190000</v>
      </c>
      <c r="D51" s="4"/>
      <c r="E51" s="4"/>
      <c r="F51" s="55">
        <f t="shared" si="20"/>
        <v>94800</v>
      </c>
      <c r="G51" s="55">
        <f t="shared" si="20"/>
        <v>100550</v>
      </c>
      <c r="H51" s="55">
        <f t="shared" si="20"/>
        <v>129326.66666666666</v>
      </c>
      <c r="I51" s="55">
        <f t="shared" si="20"/>
        <v>96995</v>
      </c>
      <c r="J51" s="55">
        <f t="shared" si="20"/>
        <v>81680</v>
      </c>
      <c r="K51" s="55">
        <f t="shared" si="20"/>
        <v>91546.666666666657</v>
      </c>
      <c r="L51" s="55">
        <f t="shared" si="20"/>
        <v>100168.57142857143</v>
      </c>
      <c r="M51" s="55">
        <f t="shared" si="20"/>
        <v>93692.5</v>
      </c>
      <c r="N51" s="55">
        <f t="shared" si="20"/>
        <v>108384.44444444445</v>
      </c>
      <c r="O51" s="55">
        <f t="shared" si="20"/>
        <v>97546</v>
      </c>
      <c r="P51" s="55">
        <f t="shared" si="20"/>
        <v>88678.181818181823</v>
      </c>
      <c r="Q51" s="55">
        <f t="shared" si="20"/>
        <v>85566.666666666657</v>
      </c>
      <c r="R51" s="55">
        <f t="shared" si="20"/>
        <v>77950.769230769234</v>
      </c>
      <c r="S51" s="55">
        <f t="shared" si="20"/>
        <v>98005.71428571429</v>
      </c>
      <c r="T51" s="55">
        <f t="shared" si="20"/>
        <v>99756</v>
      </c>
      <c r="U51" s="55">
        <f t="shared" si="20"/>
        <v>102415</v>
      </c>
      <c r="V51" s="55">
        <f t="shared" si="20"/>
        <v>99235.294117647063</v>
      </c>
      <c r="W51" s="55">
        <f t="shared" si="20"/>
        <v>97147.777777777781</v>
      </c>
      <c r="X51" s="55">
        <f t="shared" si="20"/>
        <v>98024.210526315786</v>
      </c>
      <c r="Y51" s="55">
        <f t="shared" si="20"/>
        <v>100476</v>
      </c>
      <c r="AA51" s="48"/>
    </row>
    <row r="52" spans="2:50">
      <c r="B52" s="4" t="s">
        <v>63</v>
      </c>
      <c r="C52" s="37">
        <v>100000</v>
      </c>
      <c r="D52" s="4"/>
      <c r="E52" s="4"/>
      <c r="F52" s="55">
        <f t="shared" si="20"/>
        <v>0</v>
      </c>
      <c r="G52" s="55">
        <f t="shared" si="20"/>
        <v>0</v>
      </c>
      <c r="H52" s="55">
        <f t="shared" si="20"/>
        <v>14813.333333333332</v>
      </c>
      <c r="I52" s="55">
        <f t="shared" si="20"/>
        <v>22220</v>
      </c>
      <c r="J52" s="55">
        <f t="shared" si="20"/>
        <v>17776</v>
      </c>
      <c r="K52" s="55">
        <f t="shared" si="20"/>
        <v>14813.333333333332</v>
      </c>
      <c r="L52" s="55">
        <f t="shared" si="20"/>
        <v>12697.142857142859</v>
      </c>
      <c r="M52" s="55">
        <f t="shared" si="20"/>
        <v>11110</v>
      </c>
      <c r="N52" s="55">
        <f t="shared" si="20"/>
        <v>12837.777777777777</v>
      </c>
      <c r="O52" s="55">
        <f t="shared" si="20"/>
        <v>11554</v>
      </c>
      <c r="P52" s="55">
        <f t="shared" si="20"/>
        <v>14341.818181818182</v>
      </c>
      <c r="Q52" s="55">
        <f t="shared" si="20"/>
        <v>13146.666666666668</v>
      </c>
      <c r="R52" s="55">
        <f t="shared" si="20"/>
        <v>12135.384615384613</v>
      </c>
      <c r="S52" s="55">
        <f t="shared" si="20"/>
        <v>11268.571428571429</v>
      </c>
      <c r="T52" s="55">
        <f t="shared" si="20"/>
        <v>12740</v>
      </c>
      <c r="U52" s="55">
        <f t="shared" si="20"/>
        <v>11943.75</v>
      </c>
      <c r="V52" s="55">
        <f t="shared" si="20"/>
        <v>11241.176470588234</v>
      </c>
      <c r="W52" s="55">
        <f t="shared" si="20"/>
        <v>10616.666666666668</v>
      </c>
      <c r="X52" s="55">
        <f t="shared" si="20"/>
        <v>11461.052631578948</v>
      </c>
      <c r="Y52" s="55">
        <f t="shared" si="20"/>
        <v>10888</v>
      </c>
      <c r="AA52" s="48"/>
    </row>
    <row r="53" spans="2:50">
      <c r="B53" s="4" t="s">
        <v>3</v>
      </c>
      <c r="C53" s="38">
        <v>360000</v>
      </c>
      <c r="D53" s="19"/>
      <c r="E53" s="19"/>
      <c r="F53" s="98">
        <f t="shared" si="20"/>
        <v>109280</v>
      </c>
      <c r="G53" s="98">
        <f t="shared" si="20"/>
        <v>271530</v>
      </c>
      <c r="H53" s="98">
        <f t="shared" si="20"/>
        <v>181020</v>
      </c>
      <c r="I53" s="98">
        <f t="shared" si="20"/>
        <v>214090</v>
      </c>
      <c r="J53" s="98">
        <f t="shared" si="20"/>
        <v>229780</v>
      </c>
      <c r="K53" s="98">
        <f t="shared" si="20"/>
        <v>210390</v>
      </c>
      <c r="L53" s="98">
        <f t="shared" si="20"/>
        <v>198517.14285714287</v>
      </c>
      <c r="M53" s="98">
        <f t="shared" si="20"/>
        <v>202575</v>
      </c>
      <c r="N53" s="98">
        <f t="shared" si="20"/>
        <v>225302.22222222222</v>
      </c>
      <c r="O53" s="98">
        <f t="shared" si="20"/>
        <v>251424</v>
      </c>
      <c r="P53" s="98">
        <f t="shared" si="20"/>
        <v>246678.18181818179</v>
      </c>
      <c r="Q53" s="98">
        <f t="shared" si="20"/>
        <v>242346.66666666669</v>
      </c>
      <c r="R53" s="98">
        <f t="shared" si="20"/>
        <v>271672.30769230769</v>
      </c>
      <c r="S53" s="98">
        <f t="shared" si="20"/>
        <v>255781.42857142858</v>
      </c>
      <c r="T53" s="98">
        <f t="shared" si="20"/>
        <v>275746.66666666669</v>
      </c>
      <c r="U53" s="98">
        <f t="shared" si="20"/>
        <v>282940</v>
      </c>
      <c r="V53" s="98">
        <f t="shared" si="20"/>
        <v>266049.4117647059</v>
      </c>
      <c r="W53" s="98">
        <f t="shared" si="20"/>
        <v>262880</v>
      </c>
      <c r="X53" s="98">
        <f t="shared" si="20"/>
        <v>245445.26315789472</v>
      </c>
      <c r="Y53" s="98">
        <f t="shared" si="20"/>
        <v>255890</v>
      </c>
    </row>
    <row r="54" spans="2:50">
      <c r="B54" s="14" t="s">
        <v>27</v>
      </c>
      <c r="C54" s="39">
        <f>SUM(C48:C53)</f>
        <v>1320000</v>
      </c>
      <c r="D54" s="10">
        <f>SUM(D48:D53)</f>
        <v>0</v>
      </c>
      <c r="E54" s="10"/>
      <c r="F54" s="10">
        <f t="shared" ref="F54:Y54" si="21">SUM(F48:F53)</f>
        <v>358680</v>
      </c>
      <c r="G54" s="10">
        <f t="shared" si="21"/>
        <v>582190</v>
      </c>
      <c r="H54" s="10">
        <f t="shared" si="21"/>
        <v>656346.66666666651</v>
      </c>
      <c r="I54" s="10">
        <f t="shared" si="21"/>
        <v>671920</v>
      </c>
      <c r="J54" s="10">
        <f t="shared" si="21"/>
        <v>776736</v>
      </c>
      <c r="K54" s="10">
        <f t="shared" si="21"/>
        <v>819990</v>
      </c>
      <c r="L54" s="10">
        <f t="shared" si="21"/>
        <v>839520.00000000012</v>
      </c>
      <c r="M54" s="10">
        <f t="shared" si="21"/>
        <v>844397.5</v>
      </c>
      <c r="N54" s="10">
        <f t="shared" si="21"/>
        <v>900086.66666666674</v>
      </c>
      <c r="O54" s="10">
        <f t="shared" si="21"/>
        <v>858530</v>
      </c>
      <c r="P54" s="10">
        <f t="shared" si="21"/>
        <v>875485.45454545459</v>
      </c>
      <c r="Q54" s="10">
        <f t="shared" si="21"/>
        <v>876795</v>
      </c>
      <c r="R54" s="10">
        <f t="shared" si="21"/>
        <v>890295.38461538451</v>
      </c>
      <c r="S54" s="10">
        <f t="shared" si="21"/>
        <v>889667.14285714296</v>
      </c>
      <c r="T54" s="10">
        <f t="shared" si="21"/>
        <v>918146.66666666674</v>
      </c>
      <c r="U54" s="10">
        <f t="shared" si="21"/>
        <v>907821.25</v>
      </c>
      <c r="V54" s="10">
        <f t="shared" si="21"/>
        <v>899470.5882352941</v>
      </c>
      <c r="W54" s="10">
        <f t="shared" si="21"/>
        <v>902708.88888888888</v>
      </c>
      <c r="X54" s="10">
        <f t="shared" si="21"/>
        <v>885551.57894736831</v>
      </c>
      <c r="Y54" s="10">
        <f t="shared" si="21"/>
        <v>912944</v>
      </c>
    </row>
    <row r="55" spans="2:50">
      <c r="B55" s="5"/>
      <c r="C55" s="37" t="s">
        <v>28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50">
      <c r="B56" s="1"/>
      <c r="J56" s="28"/>
      <c r="K56" s="28"/>
      <c r="L56" s="28"/>
    </row>
    <row r="57" spans="2:50">
      <c r="B57" s="1"/>
      <c r="C57" s="28"/>
    </row>
    <row r="58" spans="2:50">
      <c r="B58" s="1"/>
      <c r="F58" s="1"/>
    </row>
    <row r="59" spans="2:50">
      <c r="E59" s="1"/>
      <c r="F59" s="1"/>
    </row>
    <row r="60" spans="2:50">
      <c r="B60" s="1"/>
      <c r="E60" s="1"/>
      <c r="F60" s="1"/>
    </row>
    <row r="61" spans="2:50">
      <c r="B61" s="1"/>
      <c r="E61" s="1"/>
      <c r="F61" s="1"/>
    </row>
    <row r="62" spans="2:50">
      <c r="B62" s="1"/>
      <c r="F62" s="1"/>
    </row>
    <row r="63" spans="2:50">
      <c r="E63" s="1"/>
      <c r="F63" s="1"/>
    </row>
    <row r="64" spans="2:50">
      <c r="B64" s="1"/>
      <c r="E64" s="1"/>
      <c r="F64" s="1"/>
    </row>
    <row r="65" spans="2:6">
      <c r="B65" s="1"/>
      <c r="E65" s="1"/>
      <c r="F65" s="1"/>
    </row>
    <row r="66" spans="2:6">
      <c r="B66" s="1"/>
      <c r="F66" s="1"/>
    </row>
    <row r="67" spans="2:6">
      <c r="E67" s="1"/>
      <c r="F67" s="1"/>
    </row>
    <row r="68" spans="2:6">
      <c r="B68" s="1"/>
      <c r="E68" s="1"/>
      <c r="F68" s="1"/>
    </row>
    <row r="69" spans="2:6">
      <c r="B69" s="1"/>
      <c r="E69" s="1"/>
      <c r="F69" s="1"/>
    </row>
    <row r="70" spans="2:6">
      <c r="B70" s="1"/>
      <c r="F70" s="1"/>
    </row>
    <row r="71" spans="2:6">
      <c r="B71" s="1"/>
      <c r="E71" s="1"/>
      <c r="F71" s="1"/>
    </row>
    <row r="72" spans="2:6">
      <c r="E72" s="1"/>
      <c r="F72" s="1"/>
    </row>
    <row r="73" spans="2:6">
      <c r="E73" s="1"/>
      <c r="F73" s="1"/>
    </row>
    <row r="74" spans="2:6">
      <c r="E74" s="1"/>
      <c r="F74" s="1"/>
    </row>
  </sheetData>
  <phoneticPr fontId="3" type="noConversion"/>
  <printOptions horizontalCentered="1"/>
  <pageMargins left="0.15748031496062992" right="0.15748031496062992" top="0.23622047244094491" bottom="0.15748031496062992" header="0.15748031496062992" footer="0.15748031496062992"/>
  <pageSetup paperSize="9" scale="60" fitToHeight="3" orientation="landscape"/>
  <rowBreaks count="2" manualBreakCount="2">
    <brk id="56" min="1" max="26" man="1"/>
    <brk id="10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>
      <selection activeCell="B1" sqref="B1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91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35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16000</v>
      </c>
      <c r="D6" s="10"/>
      <c r="E6" s="11">
        <v>105974</v>
      </c>
      <c r="F6" s="155">
        <v>0</v>
      </c>
      <c r="G6">
        <v>13375</v>
      </c>
      <c r="H6">
        <v>9345</v>
      </c>
      <c r="I6">
        <v>17145</v>
      </c>
      <c r="J6">
        <v>8617</v>
      </c>
      <c r="K6">
        <v>12460</v>
      </c>
      <c r="L6">
        <v>12460</v>
      </c>
      <c r="M6">
        <v>8315</v>
      </c>
      <c r="N6" s="34">
        <v>11945</v>
      </c>
      <c r="O6" s="34">
        <v>30702</v>
      </c>
      <c r="P6" s="34">
        <v>9345</v>
      </c>
      <c r="Q6" s="34">
        <v>17660</v>
      </c>
      <c r="R6" s="34">
        <v>7582</v>
      </c>
      <c r="S6" s="34">
        <v>10390</v>
      </c>
      <c r="T6" s="34">
        <v>6242</v>
      </c>
      <c r="U6" s="34">
        <v>28840</v>
      </c>
      <c r="V6" s="34">
        <v>20168</v>
      </c>
      <c r="W6" s="34">
        <v>31664</v>
      </c>
      <c r="X6" s="81">
        <v>0</v>
      </c>
      <c r="Y6" s="81">
        <v>0</v>
      </c>
      <c r="Z6" s="161">
        <f>(SUM(F6:Y6)/(COUNT(F6:Y6)))</f>
        <v>12812.75</v>
      </c>
      <c r="AA6" s="103"/>
      <c r="AX6"/>
    </row>
    <row r="7" spans="1:50">
      <c r="B7" s="4" t="s">
        <v>64</v>
      </c>
      <c r="C7" s="20">
        <f t="shared" si="0"/>
        <v>3150</v>
      </c>
      <c r="D7" s="10"/>
      <c r="E7" s="11">
        <v>25880</v>
      </c>
      <c r="F7" s="155">
        <v>0</v>
      </c>
      <c r="G7">
        <v>0</v>
      </c>
      <c r="H7">
        <v>4795</v>
      </c>
      <c r="I7">
        <v>0</v>
      </c>
      <c r="J7">
        <v>5000</v>
      </c>
      <c r="K7">
        <v>0</v>
      </c>
      <c r="L7">
        <v>14790</v>
      </c>
      <c r="M7">
        <v>4795</v>
      </c>
      <c r="N7" s="34">
        <v>0</v>
      </c>
      <c r="O7" s="34">
        <v>5000</v>
      </c>
      <c r="P7" s="34">
        <v>1500</v>
      </c>
      <c r="Q7" s="34">
        <v>5390</v>
      </c>
      <c r="R7" s="34">
        <v>0</v>
      </c>
      <c r="S7" s="34">
        <v>0</v>
      </c>
      <c r="T7" s="34">
        <v>0</v>
      </c>
      <c r="U7" s="34">
        <v>5390</v>
      </c>
      <c r="V7" s="34">
        <v>2290</v>
      </c>
      <c r="W7" s="34">
        <v>8695</v>
      </c>
      <c r="X7" s="34">
        <v>9590</v>
      </c>
      <c r="Y7" s="34">
        <v>0</v>
      </c>
      <c r="Z7" s="157">
        <f t="shared" ref="Z7:Z12" si="1">(SUM(F7:Y7)/(COUNT(F7:Y7)))</f>
        <v>3361.75</v>
      </c>
      <c r="AA7" s="103"/>
      <c r="AX7"/>
    </row>
    <row r="8" spans="1:50">
      <c r="B8" s="4" t="s">
        <v>77</v>
      </c>
      <c r="C8" s="20">
        <f t="shared" si="0"/>
        <v>3150</v>
      </c>
      <c r="D8" s="10"/>
      <c r="E8" s="11">
        <v>26470</v>
      </c>
      <c r="F8" s="155">
        <v>0</v>
      </c>
      <c r="G8">
        <v>0</v>
      </c>
      <c r="H8">
        <v>0</v>
      </c>
      <c r="I8">
        <v>2695</v>
      </c>
      <c r="J8">
        <v>0</v>
      </c>
      <c r="K8">
        <v>9995</v>
      </c>
      <c r="L8">
        <v>0</v>
      </c>
      <c r="M8">
        <v>6695</v>
      </c>
      <c r="N8" s="34">
        <v>2695</v>
      </c>
      <c r="O8" s="34">
        <v>2695</v>
      </c>
      <c r="P8" s="34">
        <v>0</v>
      </c>
      <c r="Q8" s="34">
        <v>2200</v>
      </c>
      <c r="R8" s="34">
        <v>2200</v>
      </c>
      <c r="S8" s="34">
        <v>2695</v>
      </c>
      <c r="T8" s="34">
        <v>10840</v>
      </c>
      <c r="U8" s="34">
        <v>0</v>
      </c>
      <c r="V8" s="34">
        <v>2695</v>
      </c>
      <c r="W8" s="34">
        <v>5390</v>
      </c>
      <c r="X8" s="34">
        <v>2695</v>
      </c>
      <c r="Y8" s="34">
        <v>2000</v>
      </c>
      <c r="Z8" s="157">
        <f t="shared" si="1"/>
        <v>2774.5</v>
      </c>
      <c r="AA8" s="103"/>
      <c r="AX8"/>
    </row>
    <row r="9" spans="1:50">
      <c r="B9" s="4" t="s">
        <v>1</v>
      </c>
      <c r="C9" s="20">
        <f t="shared" si="0"/>
        <v>13500</v>
      </c>
      <c r="D9" s="10"/>
      <c r="E9" s="11">
        <v>107430</v>
      </c>
      <c r="F9" s="155">
        <v>0</v>
      </c>
      <c r="G9">
        <v>6545</v>
      </c>
      <c r="H9">
        <v>8545</v>
      </c>
      <c r="I9">
        <v>16280</v>
      </c>
      <c r="J9">
        <v>18655</v>
      </c>
      <c r="K9">
        <v>11740</v>
      </c>
      <c r="L9">
        <v>13500</v>
      </c>
      <c r="M9">
        <v>8995</v>
      </c>
      <c r="N9" s="34">
        <v>18495</v>
      </c>
      <c r="O9" s="34">
        <v>17740</v>
      </c>
      <c r="P9" s="34">
        <v>6495</v>
      </c>
      <c r="Q9" s="34">
        <v>12490</v>
      </c>
      <c r="R9" s="34">
        <v>10795</v>
      </c>
      <c r="S9" s="34">
        <v>10990</v>
      </c>
      <c r="T9" s="34">
        <v>7000</v>
      </c>
      <c r="U9" s="34">
        <v>14240</v>
      </c>
      <c r="V9" s="34">
        <v>12940</v>
      </c>
      <c r="W9" s="34">
        <v>13980</v>
      </c>
      <c r="X9" s="34">
        <v>17985</v>
      </c>
      <c r="Y9" s="34">
        <v>18480</v>
      </c>
      <c r="Z9" s="157">
        <f t="shared" si="1"/>
        <v>12294.5</v>
      </c>
      <c r="AA9" s="103"/>
      <c r="AX9"/>
    </row>
    <row r="10" spans="1:50">
      <c r="B10" s="4" t="s">
        <v>2</v>
      </c>
      <c r="C10" s="20">
        <f t="shared" si="0"/>
        <v>6400</v>
      </c>
      <c r="D10" s="10"/>
      <c r="E10" s="11">
        <v>56723</v>
      </c>
      <c r="F10" s="155">
        <v>0</v>
      </c>
      <c r="G10">
        <v>4187</v>
      </c>
      <c r="H10">
        <v>2845</v>
      </c>
      <c r="I10">
        <v>0</v>
      </c>
      <c r="J10">
        <v>11908</v>
      </c>
      <c r="K10">
        <v>3325</v>
      </c>
      <c r="L10">
        <v>5220</v>
      </c>
      <c r="M10">
        <v>3325</v>
      </c>
      <c r="N10" s="34">
        <v>12112</v>
      </c>
      <c r="O10" s="34">
        <v>4295</v>
      </c>
      <c r="P10" s="34">
        <v>3847</v>
      </c>
      <c r="Q10" s="34">
        <v>2845</v>
      </c>
      <c r="R10" s="34">
        <v>1895</v>
      </c>
      <c r="S10" s="34">
        <v>12573</v>
      </c>
      <c r="T10" s="34">
        <v>0</v>
      </c>
      <c r="U10" s="34">
        <v>13235</v>
      </c>
      <c r="V10" s="34">
        <v>5495</v>
      </c>
      <c r="W10" s="34">
        <v>2396</v>
      </c>
      <c r="X10" s="34">
        <v>2195</v>
      </c>
      <c r="Y10" s="34">
        <v>7891</v>
      </c>
      <c r="Z10" s="157">
        <f t="shared" si="1"/>
        <v>4979.45</v>
      </c>
      <c r="AA10" s="103"/>
      <c r="AX10"/>
    </row>
    <row r="11" spans="1:50">
      <c r="B11" s="4" t="s">
        <v>63</v>
      </c>
      <c r="C11" s="20">
        <f t="shared" si="0"/>
        <v>3000</v>
      </c>
      <c r="D11" s="10"/>
      <c r="E11" s="11">
        <v>6444</v>
      </c>
      <c r="F11">
        <v>2222</v>
      </c>
      <c r="G11">
        <v>0</v>
      </c>
      <c r="H11">
        <v>0</v>
      </c>
      <c r="I11">
        <v>0</v>
      </c>
      <c r="J11">
        <v>3222</v>
      </c>
      <c r="K11">
        <v>0</v>
      </c>
      <c r="L11">
        <v>0</v>
      </c>
      <c r="M11">
        <v>1111</v>
      </c>
      <c r="N11" s="34">
        <v>2222</v>
      </c>
      <c r="O11" s="34">
        <v>0</v>
      </c>
      <c r="P11" s="34">
        <v>1778</v>
      </c>
      <c r="Q11" s="34">
        <v>1000</v>
      </c>
      <c r="R11" s="34">
        <v>2000</v>
      </c>
      <c r="S11" s="34">
        <v>1111</v>
      </c>
      <c r="T11" s="34">
        <v>1111</v>
      </c>
      <c r="U11" s="34">
        <v>5444</v>
      </c>
      <c r="V11" s="34">
        <v>1111</v>
      </c>
      <c r="W11" s="34">
        <v>0</v>
      </c>
      <c r="X11" s="81">
        <v>0</v>
      </c>
      <c r="Y11" s="34">
        <v>2222</v>
      </c>
      <c r="Z11" s="157">
        <f t="shared" si="1"/>
        <v>1227.7</v>
      </c>
      <c r="AA11" s="103"/>
      <c r="AX11"/>
    </row>
    <row r="12" spans="1:50">
      <c r="B12" s="4" t="s">
        <v>3</v>
      </c>
      <c r="C12" s="21">
        <f t="shared" si="0"/>
        <v>13500</v>
      </c>
      <c r="D12" s="13"/>
      <c r="E12" s="40">
        <v>165694</v>
      </c>
      <c r="F12" s="156">
        <v>0</v>
      </c>
      <c r="G12" s="129">
        <v>10202</v>
      </c>
      <c r="H12" s="129">
        <v>7653</v>
      </c>
      <c r="I12" s="129">
        <v>16759</v>
      </c>
      <c r="J12" s="129">
        <v>15863</v>
      </c>
      <c r="K12" s="129">
        <v>5963</v>
      </c>
      <c r="L12" s="129">
        <v>10850</v>
      </c>
      <c r="M12" s="129">
        <v>2563</v>
      </c>
      <c r="N12" s="35">
        <v>7816</v>
      </c>
      <c r="O12" s="35">
        <v>6397</v>
      </c>
      <c r="P12" s="35">
        <v>19137</v>
      </c>
      <c r="Q12" s="35">
        <v>12163</v>
      </c>
      <c r="R12" s="35">
        <v>16580</v>
      </c>
      <c r="S12" s="35">
        <v>7781</v>
      </c>
      <c r="T12" s="35">
        <v>9220</v>
      </c>
      <c r="U12" s="35">
        <v>16906</v>
      </c>
      <c r="V12" s="35">
        <v>17265</v>
      </c>
      <c r="W12" s="35">
        <v>7688</v>
      </c>
      <c r="X12" s="35">
        <v>16841</v>
      </c>
      <c r="Y12" s="35">
        <v>15520</v>
      </c>
      <c r="Z12" s="157">
        <f t="shared" si="1"/>
        <v>11158.35</v>
      </c>
      <c r="AA12" s="103"/>
      <c r="AX12"/>
    </row>
    <row r="13" spans="1:50">
      <c r="B13" s="14" t="s">
        <v>27</v>
      </c>
      <c r="C13" s="20">
        <f>SUM(C6:C12)</f>
        <v>58700</v>
      </c>
      <c r="D13" s="10"/>
      <c r="E13" s="11">
        <f t="shared" ref="E13:Y13" si="2">SUM(E6:E12)</f>
        <v>494615</v>
      </c>
      <c r="F13" s="10">
        <f t="shared" si="2"/>
        <v>2222</v>
      </c>
      <c r="G13" s="10">
        <f t="shared" si="2"/>
        <v>34309</v>
      </c>
      <c r="H13" s="10">
        <f t="shared" si="2"/>
        <v>33183</v>
      </c>
      <c r="I13" s="10">
        <f t="shared" si="2"/>
        <v>52879</v>
      </c>
      <c r="J13" s="10">
        <f t="shared" si="2"/>
        <v>63265</v>
      </c>
      <c r="K13" s="10">
        <f t="shared" si="2"/>
        <v>43483</v>
      </c>
      <c r="L13" s="10">
        <f t="shared" si="2"/>
        <v>56820</v>
      </c>
      <c r="M13" s="10">
        <f t="shared" si="2"/>
        <v>35799</v>
      </c>
      <c r="N13" s="10">
        <f t="shared" si="2"/>
        <v>55285</v>
      </c>
      <c r="O13" s="10">
        <f t="shared" si="2"/>
        <v>66829</v>
      </c>
      <c r="P13" s="10">
        <f t="shared" si="2"/>
        <v>42102</v>
      </c>
      <c r="Q13" s="10">
        <f t="shared" si="2"/>
        <v>53748</v>
      </c>
      <c r="R13" s="10">
        <f t="shared" si="2"/>
        <v>41052</v>
      </c>
      <c r="S13" s="10">
        <f t="shared" si="2"/>
        <v>45540</v>
      </c>
      <c r="T13" s="10">
        <f t="shared" si="2"/>
        <v>34413</v>
      </c>
      <c r="U13" s="10">
        <f t="shared" si="2"/>
        <v>84055</v>
      </c>
      <c r="V13" s="10">
        <f t="shared" si="2"/>
        <v>61964</v>
      </c>
      <c r="W13" s="10">
        <f t="shared" si="2"/>
        <v>69813</v>
      </c>
      <c r="X13" s="10">
        <f t="shared" si="2"/>
        <v>49306</v>
      </c>
      <c r="Y13" s="10">
        <f t="shared" si="2"/>
        <v>46113</v>
      </c>
      <c r="Z13" s="67"/>
      <c r="AA13" s="103"/>
      <c r="AX13"/>
    </row>
    <row r="14" spans="1:50" s="1" customFormat="1" ht="15.7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162">
        <f>(SUM(F13:Y13)/(COUNT(F13:Y13)))</f>
        <v>48609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18" si="5">(F6-$C6)/$C6+1</f>
        <v>0</v>
      </c>
      <c r="G18" s="25">
        <f t="shared" si="5"/>
        <v>0.8359375</v>
      </c>
      <c r="H18" s="25">
        <f t="shared" si="5"/>
        <v>0.58406249999999993</v>
      </c>
      <c r="I18" s="25">
        <f t="shared" si="5"/>
        <v>1.0715625</v>
      </c>
      <c r="J18" s="25">
        <f t="shared" si="5"/>
        <v>0.53856250000000006</v>
      </c>
      <c r="K18" s="25">
        <f t="shared" si="5"/>
        <v>0.77875000000000005</v>
      </c>
      <c r="L18" s="25">
        <f t="shared" si="5"/>
        <v>0.77875000000000005</v>
      </c>
      <c r="M18" s="25">
        <f t="shared" si="5"/>
        <v>0.51968750000000008</v>
      </c>
      <c r="N18" s="25">
        <f t="shared" si="5"/>
        <v>0.74656250000000002</v>
      </c>
      <c r="O18" s="25">
        <f t="shared" si="5"/>
        <v>1.9188749999999999</v>
      </c>
      <c r="P18" s="25">
        <f t="shared" si="5"/>
        <v>0.58406249999999993</v>
      </c>
      <c r="Q18" s="25">
        <f t="shared" si="5"/>
        <v>1.10375</v>
      </c>
      <c r="R18" s="25">
        <f t="shared" si="5"/>
        <v>0.47387500000000005</v>
      </c>
      <c r="S18" s="25">
        <f t="shared" si="5"/>
        <v>0.64937500000000004</v>
      </c>
      <c r="T18" s="25">
        <f t="shared" si="5"/>
        <v>0.39012500000000006</v>
      </c>
      <c r="U18" s="25">
        <f t="shared" si="5"/>
        <v>1.8025</v>
      </c>
      <c r="V18" s="25">
        <f t="shared" si="5"/>
        <v>1.2605</v>
      </c>
      <c r="W18" s="25">
        <f t="shared" si="5"/>
        <v>1.9790000000000001</v>
      </c>
      <c r="X18" s="25">
        <f t="shared" si="5"/>
        <v>0</v>
      </c>
      <c r="Y18" s="25">
        <f t="shared" si="5"/>
        <v>0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ref="F19:Y19" si="6">(F7-$C7)/$C7+1</f>
        <v>0</v>
      </c>
      <c r="G19" s="25">
        <f t="shared" si="6"/>
        <v>0</v>
      </c>
      <c r="H19" s="25">
        <f t="shared" si="6"/>
        <v>1.5222222222222221</v>
      </c>
      <c r="I19" s="25">
        <f t="shared" si="6"/>
        <v>0</v>
      </c>
      <c r="J19" s="25">
        <f t="shared" si="6"/>
        <v>1.5873015873015874</v>
      </c>
      <c r="K19" s="25">
        <f t="shared" si="6"/>
        <v>0</v>
      </c>
      <c r="L19" s="25">
        <f t="shared" si="6"/>
        <v>4.6952380952380954</v>
      </c>
      <c r="M19" s="25">
        <f t="shared" si="6"/>
        <v>1.5222222222222221</v>
      </c>
      <c r="N19" s="25">
        <f t="shared" si="6"/>
        <v>0</v>
      </c>
      <c r="O19" s="25">
        <f t="shared" si="6"/>
        <v>1.5873015873015874</v>
      </c>
      <c r="P19" s="25">
        <f t="shared" si="6"/>
        <v>0.47619047619047616</v>
      </c>
      <c r="Q19" s="25">
        <f t="shared" si="6"/>
        <v>1.7111111111111112</v>
      </c>
      <c r="R19" s="25">
        <f t="shared" si="6"/>
        <v>0</v>
      </c>
      <c r="S19" s="25">
        <f t="shared" si="6"/>
        <v>0</v>
      </c>
      <c r="T19" s="25">
        <f t="shared" si="6"/>
        <v>0</v>
      </c>
      <c r="U19" s="25">
        <f t="shared" si="6"/>
        <v>1.7111111111111112</v>
      </c>
      <c r="V19" s="25">
        <f t="shared" si="6"/>
        <v>0.72698412698412707</v>
      </c>
      <c r="W19" s="25">
        <f t="shared" si="6"/>
        <v>2.7603174603174603</v>
      </c>
      <c r="X19" s="25">
        <f t="shared" si="6"/>
        <v>3.0444444444444443</v>
      </c>
      <c r="Y19" s="25">
        <f t="shared" si="6"/>
        <v>0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ref="F20:Y20" si="7">(F8-$C8)/$C8+1</f>
        <v>0</v>
      </c>
      <c r="G20" s="25">
        <f t="shared" si="7"/>
        <v>0</v>
      </c>
      <c r="H20" s="25">
        <f t="shared" si="7"/>
        <v>0</v>
      </c>
      <c r="I20" s="25">
        <f t="shared" si="7"/>
        <v>0.85555555555555562</v>
      </c>
      <c r="J20" s="25">
        <f t="shared" si="7"/>
        <v>0</v>
      </c>
      <c r="K20" s="25">
        <f t="shared" si="7"/>
        <v>3.1730158730158728</v>
      </c>
      <c r="L20" s="25">
        <f t="shared" si="7"/>
        <v>0</v>
      </c>
      <c r="M20" s="25">
        <f t="shared" si="7"/>
        <v>2.1253968253968254</v>
      </c>
      <c r="N20" s="25">
        <f t="shared" si="7"/>
        <v>0.85555555555555562</v>
      </c>
      <c r="O20" s="25">
        <f t="shared" si="7"/>
        <v>0.85555555555555562</v>
      </c>
      <c r="P20" s="25">
        <f t="shared" si="7"/>
        <v>0</v>
      </c>
      <c r="Q20" s="25">
        <f t="shared" si="7"/>
        <v>0.69841269841269837</v>
      </c>
      <c r="R20" s="25">
        <f t="shared" si="7"/>
        <v>0.69841269841269837</v>
      </c>
      <c r="S20" s="25">
        <f t="shared" si="7"/>
        <v>0.85555555555555562</v>
      </c>
      <c r="T20" s="25">
        <f t="shared" si="7"/>
        <v>3.4412698412698415</v>
      </c>
      <c r="U20" s="25">
        <f t="shared" si="7"/>
        <v>0</v>
      </c>
      <c r="V20" s="25">
        <f t="shared" si="7"/>
        <v>0.85555555555555562</v>
      </c>
      <c r="W20" s="25">
        <f t="shared" si="7"/>
        <v>1.7111111111111112</v>
      </c>
      <c r="X20" s="25">
        <f t="shared" si="7"/>
        <v>0.85555555555555562</v>
      </c>
      <c r="Y20" s="25">
        <f t="shared" si="7"/>
        <v>0.63492063492063489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</v>
      </c>
      <c r="G21" s="25">
        <f t="shared" ref="G21:Y21" si="8">(G9-$C9)/$C9+1</f>
        <v>0.48481481481481481</v>
      </c>
      <c r="H21" s="25">
        <f t="shared" si="8"/>
        <v>0.63296296296296295</v>
      </c>
      <c r="I21" s="25">
        <f t="shared" si="8"/>
        <v>1.2059259259259258</v>
      </c>
      <c r="J21" s="25">
        <f t="shared" si="8"/>
        <v>1.3818518518518519</v>
      </c>
      <c r="K21" s="25">
        <f t="shared" si="8"/>
        <v>0.86962962962962964</v>
      </c>
      <c r="L21" s="25">
        <f t="shared" si="8"/>
        <v>1</v>
      </c>
      <c r="M21" s="25">
        <f t="shared" si="8"/>
        <v>0.66629629629629628</v>
      </c>
      <c r="N21" s="25">
        <f t="shared" si="8"/>
        <v>1.37</v>
      </c>
      <c r="O21" s="25">
        <f t="shared" si="8"/>
        <v>1.3140740740740742</v>
      </c>
      <c r="P21" s="25">
        <f t="shared" si="8"/>
        <v>0.48111111111111116</v>
      </c>
      <c r="Q21" s="25">
        <f t="shared" si="8"/>
        <v>0.92518518518518522</v>
      </c>
      <c r="R21" s="25">
        <f t="shared" si="8"/>
        <v>0.79962962962962969</v>
      </c>
      <c r="S21" s="25">
        <f t="shared" si="8"/>
        <v>0.81407407407407406</v>
      </c>
      <c r="T21" s="25">
        <f t="shared" si="8"/>
        <v>0.5185185185185186</v>
      </c>
      <c r="U21" s="25">
        <f t="shared" si="8"/>
        <v>1.0548148148148149</v>
      </c>
      <c r="V21" s="25">
        <f t="shared" si="8"/>
        <v>0.95851851851851855</v>
      </c>
      <c r="W21" s="25">
        <f t="shared" si="8"/>
        <v>1.0355555555555556</v>
      </c>
      <c r="X21" s="25">
        <f t="shared" si="8"/>
        <v>1.3322222222222222</v>
      </c>
      <c r="Y21" s="25">
        <f t="shared" si="8"/>
        <v>1.3688888888888888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9">(F10-$C10)/$C10+1</f>
        <v>0</v>
      </c>
      <c r="G22" s="25">
        <f t="shared" si="9"/>
        <v>0.65421875000000007</v>
      </c>
      <c r="H22" s="25">
        <f t="shared" si="9"/>
        <v>0.44453125000000004</v>
      </c>
      <c r="I22" s="25">
        <f t="shared" si="9"/>
        <v>0</v>
      </c>
      <c r="J22" s="25">
        <f t="shared" si="9"/>
        <v>1.860625</v>
      </c>
      <c r="K22" s="25">
        <f t="shared" si="9"/>
        <v>0.51953125</v>
      </c>
      <c r="L22" s="25">
        <f t="shared" si="9"/>
        <v>0.81562500000000004</v>
      </c>
      <c r="M22" s="25">
        <f t="shared" si="9"/>
        <v>0.51953125</v>
      </c>
      <c r="N22" s="25">
        <f t="shared" si="9"/>
        <v>1.8925000000000001</v>
      </c>
      <c r="O22" s="25">
        <f t="shared" si="9"/>
        <v>0.67109375000000004</v>
      </c>
      <c r="P22" s="25">
        <f t="shared" si="9"/>
        <v>0.60109374999999998</v>
      </c>
      <c r="Q22" s="25">
        <f t="shared" si="9"/>
        <v>0.44453125000000004</v>
      </c>
      <c r="R22" s="25">
        <f t="shared" si="9"/>
        <v>0.29609375000000004</v>
      </c>
      <c r="S22" s="25">
        <f t="shared" si="9"/>
        <v>1.9645312499999998</v>
      </c>
      <c r="T22" s="25">
        <f t="shared" si="9"/>
        <v>0</v>
      </c>
      <c r="U22" s="25">
        <f t="shared" si="9"/>
        <v>2.0679687499999999</v>
      </c>
      <c r="V22" s="25">
        <f t="shared" si="9"/>
        <v>0.85859375000000004</v>
      </c>
      <c r="W22" s="25">
        <f t="shared" si="9"/>
        <v>0.37437500000000001</v>
      </c>
      <c r="X22" s="25">
        <f t="shared" si="9"/>
        <v>0.34296875000000004</v>
      </c>
      <c r="Y22" s="25">
        <f t="shared" si="9"/>
        <v>1.2329687499999999</v>
      </c>
      <c r="Z22" s="104"/>
      <c r="AA22" s="104"/>
    </row>
    <row r="23" spans="2:50" s="1" customFormat="1" ht="12.75">
      <c r="B23" s="4" t="s">
        <v>63</v>
      </c>
      <c r="C23" s="25">
        <f t="shared" si="4"/>
        <v>1</v>
      </c>
      <c r="D23" s="25"/>
      <c r="E23" s="25"/>
      <c r="F23" s="25">
        <f t="shared" si="9"/>
        <v>0.74066666666666658</v>
      </c>
      <c r="G23" s="25">
        <f t="shared" si="9"/>
        <v>0</v>
      </c>
      <c r="H23" s="25">
        <f t="shared" si="9"/>
        <v>0</v>
      </c>
      <c r="I23" s="25">
        <f t="shared" si="9"/>
        <v>0</v>
      </c>
      <c r="J23" s="25">
        <f t="shared" si="9"/>
        <v>1.0740000000000001</v>
      </c>
      <c r="K23" s="25">
        <f t="shared" si="9"/>
        <v>0</v>
      </c>
      <c r="L23" s="25">
        <f t="shared" si="9"/>
        <v>0</v>
      </c>
      <c r="M23" s="25">
        <f t="shared" si="9"/>
        <v>0.37033333333333329</v>
      </c>
      <c r="N23" s="25">
        <f t="shared" si="9"/>
        <v>0.74066666666666658</v>
      </c>
      <c r="O23" s="25">
        <f t="shared" si="9"/>
        <v>0</v>
      </c>
      <c r="P23" s="25">
        <f t="shared" si="9"/>
        <v>0.59266666666666667</v>
      </c>
      <c r="Q23" s="25">
        <f t="shared" si="9"/>
        <v>0.33333333333333337</v>
      </c>
      <c r="R23" s="25">
        <f t="shared" si="9"/>
        <v>0.66666666666666674</v>
      </c>
      <c r="S23" s="25">
        <f t="shared" si="9"/>
        <v>0.37033333333333329</v>
      </c>
      <c r="T23" s="25">
        <f t="shared" si="9"/>
        <v>0.37033333333333329</v>
      </c>
      <c r="U23" s="25">
        <f t="shared" si="9"/>
        <v>1.8146666666666667</v>
      </c>
      <c r="V23" s="25">
        <f t="shared" si="9"/>
        <v>0.37033333333333329</v>
      </c>
      <c r="W23" s="25">
        <f t="shared" si="9"/>
        <v>0</v>
      </c>
      <c r="X23" s="25">
        <f t="shared" si="9"/>
        <v>0</v>
      </c>
      <c r="Y23" s="25">
        <f t="shared" si="9"/>
        <v>0.74066666666666658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9"/>
        <v>0</v>
      </c>
      <c r="G24" s="27">
        <f t="shared" si="9"/>
        <v>0.75570370370370377</v>
      </c>
      <c r="H24" s="27">
        <f t="shared" si="9"/>
        <v>0.56688888888888889</v>
      </c>
      <c r="I24" s="27">
        <f t="shared" si="9"/>
        <v>1.2414074074074075</v>
      </c>
      <c r="J24" s="27">
        <f t="shared" si="9"/>
        <v>1.1750370370370371</v>
      </c>
      <c r="K24" s="27">
        <f t="shared" si="9"/>
        <v>0.44170370370370371</v>
      </c>
      <c r="L24" s="27">
        <f t="shared" si="9"/>
        <v>0.8037037037037037</v>
      </c>
      <c r="M24" s="27">
        <f t="shared" si="9"/>
        <v>0.18985185185185183</v>
      </c>
      <c r="N24" s="27">
        <f t="shared" si="9"/>
        <v>0.5789629629629629</v>
      </c>
      <c r="O24" s="27">
        <f t="shared" si="9"/>
        <v>0.47385185185185186</v>
      </c>
      <c r="P24" s="27">
        <f t="shared" si="9"/>
        <v>1.4175555555555555</v>
      </c>
      <c r="Q24" s="27">
        <f t="shared" si="9"/>
        <v>0.90096296296296297</v>
      </c>
      <c r="R24" s="27">
        <f t="shared" si="9"/>
        <v>1.2281481481481482</v>
      </c>
      <c r="S24" s="27">
        <f t="shared" si="9"/>
        <v>0.57637037037037042</v>
      </c>
      <c r="T24" s="27">
        <f t="shared" si="9"/>
        <v>0.68296296296296299</v>
      </c>
      <c r="U24" s="27">
        <f t="shared" si="9"/>
        <v>1.2522962962962962</v>
      </c>
      <c r="V24" s="27">
        <f t="shared" si="9"/>
        <v>1.278888888888889</v>
      </c>
      <c r="W24" s="27">
        <f t="shared" si="9"/>
        <v>0.56948148148148148</v>
      </c>
      <c r="X24" s="27">
        <f t="shared" si="9"/>
        <v>1.2474814814814814</v>
      </c>
      <c r="Y24" s="27">
        <f t="shared" si="9"/>
        <v>1.1496296296296296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3.7853492333901229E-2</v>
      </c>
      <c r="G25" s="25">
        <f t="shared" si="9"/>
        <v>0.58448040885860308</v>
      </c>
      <c r="H25" s="25">
        <f t="shared" si="9"/>
        <v>0.56529812606473595</v>
      </c>
      <c r="I25" s="25">
        <f t="shared" si="9"/>
        <v>0.90083475298126059</v>
      </c>
      <c r="J25" s="25">
        <f>(J13-$C13)/$C13+1</f>
        <v>1.0777683134582623</v>
      </c>
      <c r="K25" s="25">
        <f>(K13-$C13)/$C13+1</f>
        <v>0.74076660988074949</v>
      </c>
      <c r="L25" s="25">
        <f>(L13-$C13)/$C13+1</f>
        <v>0.96797274275979561</v>
      </c>
      <c r="M25" s="25">
        <f t="shared" si="9"/>
        <v>0.60986371379897786</v>
      </c>
      <c r="N25" s="25">
        <f t="shared" si="9"/>
        <v>0.94182282793867123</v>
      </c>
      <c r="O25" s="25">
        <f t="shared" si="9"/>
        <v>1.1384838160136286</v>
      </c>
      <c r="P25" s="25">
        <f t="shared" si="9"/>
        <v>0.71724020442930159</v>
      </c>
      <c r="Q25" s="25">
        <f t="shared" si="9"/>
        <v>0.91563884156729136</v>
      </c>
      <c r="R25" s="25">
        <f t="shared" si="9"/>
        <v>0.69935264054514479</v>
      </c>
      <c r="S25" s="25">
        <f>(S13-$C13)/$C13+1</f>
        <v>0.77580919931856895</v>
      </c>
      <c r="T25" s="25">
        <f>(T13-$C13)/$C13+1</f>
        <v>0.58625212947189098</v>
      </c>
      <c r="U25" s="25">
        <f>(U13-$C13)/$C13+1</f>
        <v>1.4319420783645656</v>
      </c>
      <c r="V25" s="25">
        <f>(V13-$C13)/$C13+1</f>
        <v>1.0556047700170357</v>
      </c>
      <c r="W25" s="25">
        <f>(W13-$C13)/$C13+1</f>
        <v>1.1893185689948893</v>
      </c>
      <c r="X25" s="25">
        <f t="shared" si="9"/>
        <v>0.83996592844974449</v>
      </c>
      <c r="Y25" s="25">
        <f t="shared" si="9"/>
        <v>0.78557069846678029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10">+G1/$Y$1</f>
        <v>0.1</v>
      </c>
      <c r="H27" s="49">
        <f t="shared" si="10"/>
        <v>0.15</v>
      </c>
      <c r="I27" s="49">
        <f t="shared" si="10"/>
        <v>0.2</v>
      </c>
      <c r="J27" s="49">
        <f t="shared" si="10"/>
        <v>0.25</v>
      </c>
      <c r="K27" s="49">
        <f t="shared" si="10"/>
        <v>0.3</v>
      </c>
      <c r="L27" s="49">
        <f t="shared" si="10"/>
        <v>0.35</v>
      </c>
      <c r="M27" s="49">
        <f t="shared" si="10"/>
        <v>0.4</v>
      </c>
      <c r="N27" s="49">
        <f t="shared" si="10"/>
        <v>0.45</v>
      </c>
      <c r="O27" s="49">
        <f t="shared" si="10"/>
        <v>0.5</v>
      </c>
      <c r="P27" s="49">
        <f t="shared" si="10"/>
        <v>0.55000000000000004</v>
      </c>
      <c r="Q27" s="49">
        <f t="shared" si="10"/>
        <v>0.6</v>
      </c>
      <c r="R27" s="49">
        <f t="shared" si="10"/>
        <v>0.65</v>
      </c>
      <c r="S27" s="49">
        <f t="shared" si="10"/>
        <v>0.7</v>
      </c>
      <c r="T27" s="49">
        <f t="shared" si="10"/>
        <v>0.75</v>
      </c>
      <c r="U27" s="49">
        <f t="shared" si="10"/>
        <v>0.8</v>
      </c>
      <c r="V27" s="49">
        <f t="shared" si="10"/>
        <v>0.85</v>
      </c>
      <c r="W27" s="49">
        <f t="shared" si="10"/>
        <v>0.9</v>
      </c>
      <c r="X27" s="49">
        <f t="shared" si="10"/>
        <v>0.95</v>
      </c>
      <c r="Y27" s="49">
        <f t="shared" si="10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11">+F17</f>
        <v>Day 1</v>
      </c>
      <c r="G28" s="4" t="str">
        <f t="shared" si="11"/>
        <v>Day 2</v>
      </c>
      <c r="H28" s="4" t="str">
        <f t="shared" si="11"/>
        <v>Day 3</v>
      </c>
      <c r="I28" s="4" t="str">
        <f t="shared" si="11"/>
        <v>Day 4</v>
      </c>
      <c r="J28" s="4" t="str">
        <f t="shared" si="11"/>
        <v>Day 5</v>
      </c>
      <c r="K28" s="4" t="str">
        <f t="shared" si="11"/>
        <v>Day 6</v>
      </c>
      <c r="L28" s="4" t="str">
        <f t="shared" si="11"/>
        <v>Day 7</v>
      </c>
      <c r="M28" s="4" t="str">
        <f t="shared" si="11"/>
        <v>Day 8</v>
      </c>
      <c r="N28" s="4" t="str">
        <f t="shared" si="11"/>
        <v>Day 9</v>
      </c>
      <c r="O28" s="4" t="str">
        <f t="shared" si="11"/>
        <v>Day 10</v>
      </c>
      <c r="P28" s="4" t="str">
        <f t="shared" si="11"/>
        <v>Day 11</v>
      </c>
      <c r="Q28" s="4" t="str">
        <f t="shared" si="11"/>
        <v>Day 12</v>
      </c>
      <c r="R28" s="4" t="str">
        <f t="shared" si="11"/>
        <v>Day 13</v>
      </c>
      <c r="S28" s="4" t="str">
        <f t="shared" si="11"/>
        <v>Day 14</v>
      </c>
      <c r="T28" s="4" t="str">
        <f t="shared" si="11"/>
        <v>Day 15</v>
      </c>
      <c r="U28" s="4" t="str">
        <f t="shared" si="11"/>
        <v>Day 16</v>
      </c>
      <c r="V28" s="4" t="str">
        <f t="shared" si="11"/>
        <v>Day 17</v>
      </c>
      <c r="W28" s="4" t="str">
        <f t="shared" si="11"/>
        <v>Day 18</v>
      </c>
      <c r="X28" s="4" t="str">
        <f t="shared" si="11"/>
        <v>Day 19</v>
      </c>
      <c r="Y28" s="4" t="str">
        <f t="shared" si="11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105974</v>
      </c>
      <c r="G29">
        <v>122514</v>
      </c>
      <c r="H29">
        <v>131859</v>
      </c>
      <c r="I29">
        <v>149004</v>
      </c>
      <c r="J29">
        <v>157621</v>
      </c>
      <c r="K29">
        <v>170081</v>
      </c>
      <c r="L29">
        <v>182541</v>
      </c>
      <c r="M29">
        <v>190856</v>
      </c>
      <c r="N29" s="34">
        <v>202801</v>
      </c>
      <c r="O29" s="34">
        <v>233503</v>
      </c>
      <c r="P29" s="34">
        <v>248848</v>
      </c>
      <c r="Q29" s="34">
        <v>260508</v>
      </c>
      <c r="R29" s="34">
        <v>271205</v>
      </c>
      <c r="S29" s="34">
        <v>271205</v>
      </c>
      <c r="T29" s="34">
        <v>284722</v>
      </c>
      <c r="U29" s="34">
        <v>313562</v>
      </c>
      <c r="V29" s="34">
        <v>324307</v>
      </c>
      <c r="W29" s="34">
        <v>343866</v>
      </c>
      <c r="X29" s="34">
        <v>343866</v>
      </c>
      <c r="Y29" s="34">
        <v>340054</v>
      </c>
      <c r="Z29" s="109">
        <f t="shared" ref="Z29:Z36" si="12">+Y29/C52</f>
        <v>1.0626687500000001</v>
      </c>
      <c r="AA29" s="145">
        <f t="shared" ref="AA29:AA36" si="13">+Z29-Y$27</f>
        <v>6.2668750000000051E-2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25880</v>
      </c>
      <c r="G30">
        <v>25880</v>
      </c>
      <c r="H30">
        <v>30675</v>
      </c>
      <c r="I30">
        <v>30675</v>
      </c>
      <c r="J30">
        <v>35675</v>
      </c>
      <c r="K30">
        <v>35675</v>
      </c>
      <c r="L30">
        <v>50465</v>
      </c>
      <c r="M30">
        <v>55260</v>
      </c>
      <c r="N30" s="34">
        <v>55260</v>
      </c>
      <c r="O30" s="34">
        <v>55265</v>
      </c>
      <c r="P30" s="34">
        <v>56765</v>
      </c>
      <c r="Q30" s="34">
        <v>62155</v>
      </c>
      <c r="R30" s="34">
        <v>62155</v>
      </c>
      <c r="S30" s="34">
        <v>62155</v>
      </c>
      <c r="T30" s="34">
        <v>62155</v>
      </c>
      <c r="U30" s="34">
        <v>67545</v>
      </c>
      <c r="V30" s="34">
        <v>69835</v>
      </c>
      <c r="W30" s="34">
        <v>78530</v>
      </c>
      <c r="X30" s="34">
        <v>79030</v>
      </c>
      <c r="Y30" s="34">
        <v>79030</v>
      </c>
      <c r="Z30" s="109">
        <f t="shared" si="12"/>
        <v>1.2544444444444445</v>
      </c>
      <c r="AA30" s="146">
        <f t="shared" si="13"/>
        <v>0.25444444444444447</v>
      </c>
      <c r="AX30"/>
    </row>
    <row r="31" spans="2:50">
      <c r="B31" s="4" t="str">
        <f>+B20</f>
        <v>Brazil</v>
      </c>
      <c r="C31" s="4"/>
      <c r="D31" s="4"/>
      <c r="E31" s="23"/>
      <c r="F31" s="122">
        <v>26470</v>
      </c>
      <c r="G31">
        <v>26470</v>
      </c>
      <c r="H31">
        <v>26470</v>
      </c>
      <c r="I31">
        <v>29165</v>
      </c>
      <c r="J31">
        <v>29165</v>
      </c>
      <c r="K31">
        <v>39160</v>
      </c>
      <c r="L31">
        <v>39160</v>
      </c>
      <c r="M31">
        <v>45855</v>
      </c>
      <c r="N31" s="34">
        <v>48550</v>
      </c>
      <c r="O31" s="34">
        <v>51245</v>
      </c>
      <c r="P31" s="34">
        <v>51245</v>
      </c>
      <c r="Q31" s="34">
        <v>53445</v>
      </c>
      <c r="R31" s="34">
        <v>56140</v>
      </c>
      <c r="S31" s="34">
        <v>58835</v>
      </c>
      <c r="T31" s="34">
        <v>69675</v>
      </c>
      <c r="U31" s="34">
        <v>69675</v>
      </c>
      <c r="V31" s="34">
        <v>72370</v>
      </c>
      <c r="W31" s="34">
        <v>77760</v>
      </c>
      <c r="X31" s="34">
        <v>77760</v>
      </c>
      <c r="Y31" s="34">
        <v>77760</v>
      </c>
      <c r="Z31" s="109">
        <f t="shared" si="12"/>
        <v>1.2342857142857142</v>
      </c>
      <c r="AA31" s="146">
        <f t="shared" si="13"/>
        <v>0.23428571428571421</v>
      </c>
      <c r="AX31"/>
    </row>
    <row r="32" spans="2:50">
      <c r="B32" s="4" t="str">
        <f>+B21</f>
        <v>Boston</v>
      </c>
      <c r="C32" s="4"/>
      <c r="D32" s="4"/>
      <c r="E32" s="23"/>
      <c r="F32" s="122">
        <v>107430</v>
      </c>
      <c r="G32">
        <v>109430</v>
      </c>
      <c r="H32">
        <v>115430</v>
      </c>
      <c r="I32">
        <v>134255</v>
      </c>
      <c r="J32">
        <v>147415</v>
      </c>
      <c r="K32">
        <v>151660</v>
      </c>
      <c r="L32">
        <v>160660</v>
      </c>
      <c r="M32">
        <v>156165</v>
      </c>
      <c r="N32" s="34">
        <v>162175</v>
      </c>
      <c r="O32" s="34">
        <v>181165</v>
      </c>
      <c r="P32" s="34">
        <v>185915</v>
      </c>
      <c r="Q32" s="34">
        <v>192910</v>
      </c>
      <c r="R32" s="34">
        <v>199660</v>
      </c>
      <c r="S32" s="34">
        <v>202660</v>
      </c>
      <c r="T32" s="34">
        <v>208660</v>
      </c>
      <c r="U32" s="34">
        <v>214160</v>
      </c>
      <c r="V32" s="34">
        <v>227100</v>
      </c>
      <c r="W32" s="34">
        <v>238085</v>
      </c>
      <c r="X32" s="34">
        <v>245080</v>
      </c>
      <c r="Y32" s="34">
        <v>250070</v>
      </c>
      <c r="Z32" s="109">
        <f t="shared" si="12"/>
        <v>0.92618518518518522</v>
      </c>
      <c r="AA32" s="146">
        <f t="shared" si="13"/>
        <v>-7.3814814814814778E-2</v>
      </c>
      <c r="AX32"/>
    </row>
    <row r="33" spans="2:50" s="4" customFormat="1">
      <c r="B33" s="4" t="str">
        <f>+B22</f>
        <v>Canada</v>
      </c>
      <c r="E33" s="23"/>
      <c r="F33" s="122">
        <v>56723</v>
      </c>
      <c r="G33">
        <v>60911</v>
      </c>
      <c r="H33">
        <v>63756</v>
      </c>
      <c r="I33">
        <v>63756</v>
      </c>
      <c r="J33">
        <v>72819</v>
      </c>
      <c r="K33">
        <v>74481</v>
      </c>
      <c r="L33">
        <v>78519</v>
      </c>
      <c r="M33">
        <v>81844</v>
      </c>
      <c r="N33" s="34">
        <v>93927</v>
      </c>
      <c r="O33" s="34">
        <v>96365</v>
      </c>
      <c r="P33" s="34">
        <v>101875</v>
      </c>
      <c r="Q33" s="34">
        <v>104720</v>
      </c>
      <c r="R33" s="34">
        <v>106615</v>
      </c>
      <c r="S33" s="34">
        <v>119188</v>
      </c>
      <c r="T33" s="34">
        <v>125462</v>
      </c>
      <c r="U33" s="34">
        <v>135702</v>
      </c>
      <c r="V33" s="34">
        <v>135702</v>
      </c>
      <c r="W33" s="34">
        <v>135702</v>
      </c>
      <c r="X33" s="34">
        <v>133707</v>
      </c>
      <c r="Y33" s="34">
        <v>133707</v>
      </c>
      <c r="Z33" s="109">
        <f t="shared" si="12"/>
        <v>1.0445859375</v>
      </c>
      <c r="AA33" s="146">
        <f t="shared" si="13"/>
        <v>4.458593749999995E-2</v>
      </c>
    </row>
    <row r="34" spans="2:50" s="4" customFormat="1">
      <c r="B34" s="4" t="s">
        <v>63</v>
      </c>
      <c r="E34" s="23"/>
      <c r="F34" s="122">
        <v>6444</v>
      </c>
      <c r="G34">
        <v>6444</v>
      </c>
      <c r="H34">
        <v>6444</v>
      </c>
      <c r="I34">
        <v>6444</v>
      </c>
      <c r="J34">
        <v>9666</v>
      </c>
      <c r="K34">
        <v>9666</v>
      </c>
      <c r="L34">
        <v>9666</v>
      </c>
      <c r="M34">
        <v>10777</v>
      </c>
      <c r="N34" s="34">
        <v>12999</v>
      </c>
      <c r="O34" s="34">
        <v>12999</v>
      </c>
      <c r="P34" s="34">
        <v>14777</v>
      </c>
      <c r="Q34" s="34">
        <v>15777</v>
      </c>
      <c r="R34" s="34">
        <v>17777</v>
      </c>
      <c r="S34" s="34">
        <v>18888</v>
      </c>
      <c r="T34" s="34">
        <v>19999</v>
      </c>
      <c r="U34" s="34">
        <v>25443</v>
      </c>
      <c r="V34" s="34">
        <v>25998</v>
      </c>
      <c r="W34" s="34">
        <v>26553</v>
      </c>
      <c r="X34" s="34">
        <v>26553</v>
      </c>
      <c r="Y34" s="34">
        <v>35101</v>
      </c>
      <c r="Z34" s="109">
        <f t="shared" si="12"/>
        <v>0.58501666666666663</v>
      </c>
      <c r="AA34" s="146">
        <f t="shared" si="13"/>
        <v>-0.41498333333333337</v>
      </c>
    </row>
    <row r="35" spans="2:50">
      <c r="B35" s="5" t="str">
        <f>+B24</f>
        <v>Norwich</v>
      </c>
      <c r="C35" s="19"/>
      <c r="D35" s="19"/>
      <c r="E35" s="35"/>
      <c r="F35" s="124">
        <v>165694</v>
      </c>
      <c r="G35" s="129">
        <v>168080</v>
      </c>
      <c r="H35" s="129">
        <v>175734</v>
      </c>
      <c r="I35" s="129">
        <v>189390</v>
      </c>
      <c r="J35" s="129">
        <v>202272</v>
      </c>
      <c r="K35" s="129">
        <v>208235</v>
      </c>
      <c r="L35" s="129">
        <v>219085</v>
      </c>
      <c r="M35" s="129">
        <v>217549</v>
      </c>
      <c r="N35" s="35">
        <v>223946</v>
      </c>
      <c r="O35" s="35">
        <v>223946</v>
      </c>
      <c r="P35" s="35">
        <v>234744</v>
      </c>
      <c r="Q35" s="35">
        <v>246997</v>
      </c>
      <c r="R35" s="35">
        <v>263577</v>
      </c>
      <c r="S35" s="35">
        <v>271359</v>
      </c>
      <c r="T35" s="35">
        <v>271447</v>
      </c>
      <c r="U35" s="35">
        <v>277460</v>
      </c>
      <c r="V35" s="35">
        <v>286245</v>
      </c>
      <c r="W35" s="35">
        <v>278813</v>
      </c>
      <c r="X35" s="35">
        <v>285701</v>
      </c>
      <c r="Y35" s="35">
        <v>292203</v>
      </c>
      <c r="Z35" s="110">
        <f t="shared" si="12"/>
        <v>1.0822333333333334</v>
      </c>
      <c r="AA35" s="147">
        <f t="shared" si="13"/>
        <v>8.223333333333338E-2</v>
      </c>
      <c r="AX35"/>
    </row>
    <row r="36" spans="2:50">
      <c r="B36" s="4" t="str">
        <f>+B25</f>
        <v>Group</v>
      </c>
      <c r="C36" s="4"/>
      <c r="D36" s="4"/>
      <c r="E36" s="4"/>
      <c r="F36" s="10">
        <f>SUM(F29:F35)</f>
        <v>494615</v>
      </c>
      <c r="G36" s="10">
        <f>SUM(G29:G35)</f>
        <v>519729</v>
      </c>
      <c r="H36" s="10">
        <f t="shared" ref="H36:Y36" si="14">SUM(H29:H35)</f>
        <v>550368</v>
      </c>
      <c r="I36" s="10">
        <f t="shared" si="14"/>
        <v>602689</v>
      </c>
      <c r="J36" s="10">
        <f t="shared" si="14"/>
        <v>654633</v>
      </c>
      <c r="K36" s="10">
        <f t="shared" si="14"/>
        <v>688958</v>
      </c>
      <c r="L36" s="10">
        <f t="shared" si="14"/>
        <v>740096</v>
      </c>
      <c r="M36" s="10">
        <f t="shared" si="14"/>
        <v>758306</v>
      </c>
      <c r="N36" s="10">
        <f t="shared" si="14"/>
        <v>799658</v>
      </c>
      <c r="O36" s="10">
        <f t="shared" si="14"/>
        <v>854488</v>
      </c>
      <c r="P36" s="10">
        <f t="shared" si="14"/>
        <v>894169</v>
      </c>
      <c r="Q36" s="10">
        <f t="shared" si="14"/>
        <v>936512</v>
      </c>
      <c r="R36" s="10">
        <f t="shared" si="14"/>
        <v>977129</v>
      </c>
      <c r="S36" s="10">
        <f t="shared" si="14"/>
        <v>1004290</v>
      </c>
      <c r="T36" s="10">
        <f t="shared" si="14"/>
        <v>1042120</v>
      </c>
      <c r="U36" s="10">
        <f t="shared" si="14"/>
        <v>1103547</v>
      </c>
      <c r="V36" s="10">
        <f t="shared" si="14"/>
        <v>1141557</v>
      </c>
      <c r="W36" s="10">
        <f t="shared" si="14"/>
        <v>1179309</v>
      </c>
      <c r="X36" s="10">
        <f t="shared" si="14"/>
        <v>1191697</v>
      </c>
      <c r="Y36" s="10">
        <f t="shared" si="14"/>
        <v>1207925</v>
      </c>
      <c r="Z36" s="111">
        <f t="shared" si="12"/>
        <v>1.028896933560477</v>
      </c>
      <c r="AA36" s="148">
        <f t="shared" si="13"/>
        <v>2.8896933560476956E-2</v>
      </c>
      <c r="AX36"/>
    </row>
    <row r="37" spans="2:50" s="1" customFormat="1" ht="11.25">
      <c r="B37" s="1" t="s">
        <v>34</v>
      </c>
      <c r="E37" s="30"/>
      <c r="F37" s="30">
        <f>+F36/$C$59</f>
        <v>0.42130749574105619</v>
      </c>
      <c r="G37" s="30">
        <f t="shared" ref="G37:N37" si="15">+G36/$C$59</f>
        <v>0.44269931856899492</v>
      </c>
      <c r="H37" s="30">
        <f t="shared" si="15"/>
        <v>0.46879727427597956</v>
      </c>
      <c r="I37" s="30">
        <f t="shared" si="15"/>
        <v>0.51336371379897783</v>
      </c>
      <c r="J37" s="30">
        <f t="shared" si="15"/>
        <v>0.55760902896081777</v>
      </c>
      <c r="K37" s="30">
        <f t="shared" si="15"/>
        <v>0.58684667802385004</v>
      </c>
      <c r="L37" s="30">
        <f t="shared" si="15"/>
        <v>0.63040545144804083</v>
      </c>
      <c r="M37" s="30">
        <f t="shared" si="15"/>
        <v>0.64591652470187388</v>
      </c>
      <c r="N37" s="30">
        <f t="shared" si="15"/>
        <v>0.68113969335604774</v>
      </c>
      <c r="O37" s="30">
        <f>+O36/$C$59</f>
        <v>0.7278432708688245</v>
      </c>
      <c r="P37" s="30">
        <f t="shared" ref="P37:Y37" si="16">+P36/$C$59</f>
        <v>0.7616431005110732</v>
      </c>
      <c r="Q37" s="30">
        <f t="shared" si="16"/>
        <v>0.79771039182282799</v>
      </c>
      <c r="R37" s="30">
        <f t="shared" si="16"/>
        <v>0.83230749574105622</v>
      </c>
      <c r="S37" s="30">
        <f t="shared" si="16"/>
        <v>0.85544293015332196</v>
      </c>
      <c r="T37" s="30">
        <f t="shared" si="16"/>
        <v>0.8876660988074957</v>
      </c>
      <c r="U37" s="30">
        <f t="shared" si="16"/>
        <v>0.93998892674616696</v>
      </c>
      <c r="V37" s="30">
        <f t="shared" si="16"/>
        <v>0.97236541737649063</v>
      </c>
      <c r="W37" s="30">
        <f t="shared" si="16"/>
        <v>1.0045221465076661</v>
      </c>
      <c r="X37" s="30">
        <f t="shared" si="16"/>
        <v>1.0150741056218058</v>
      </c>
      <c r="Y37" s="30">
        <f t="shared" si="16"/>
        <v>1.028896933560477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7">+G17</f>
        <v>Day 2</v>
      </c>
      <c r="H40" s="4" t="str">
        <f t="shared" si="17"/>
        <v>Day 3</v>
      </c>
      <c r="I40" s="4" t="str">
        <f t="shared" si="17"/>
        <v>Day 4</v>
      </c>
      <c r="J40" s="4" t="str">
        <f t="shared" si="17"/>
        <v>Day 5</v>
      </c>
      <c r="K40" s="4" t="str">
        <f t="shared" si="17"/>
        <v>Day 6</v>
      </c>
      <c r="L40" s="4" t="str">
        <f t="shared" si="17"/>
        <v>Day 7</v>
      </c>
      <c r="M40" s="4" t="str">
        <f t="shared" si="17"/>
        <v>Day 8</v>
      </c>
      <c r="N40" s="4" t="str">
        <f t="shared" si="17"/>
        <v>Day 9</v>
      </c>
      <c r="O40" s="4" t="str">
        <f t="shared" si="17"/>
        <v>Day 10</v>
      </c>
      <c r="P40" s="4" t="str">
        <f t="shared" si="17"/>
        <v>Day 11</v>
      </c>
      <c r="Q40" s="4" t="str">
        <f t="shared" si="17"/>
        <v>Day 12</v>
      </c>
      <c r="R40" s="4" t="str">
        <f t="shared" si="17"/>
        <v>Day 13</v>
      </c>
      <c r="S40" s="4" t="str">
        <f t="shared" si="17"/>
        <v>Day 14</v>
      </c>
      <c r="T40" s="4" t="str">
        <f t="shared" si="17"/>
        <v>Day 15</v>
      </c>
      <c r="U40" s="4" t="str">
        <f t="shared" si="17"/>
        <v>Day 16</v>
      </c>
      <c r="V40" s="4" t="str">
        <f t="shared" si="17"/>
        <v>Day 17</v>
      </c>
      <c r="W40" s="4" t="str">
        <f t="shared" si="17"/>
        <v>Day 18</v>
      </c>
      <c r="X40" s="4" t="str">
        <f t="shared" si="17"/>
        <v>Day 19</v>
      </c>
      <c r="Y40" s="4" t="str">
        <f t="shared" si="17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6.6233750000000002</v>
      </c>
      <c r="G41" s="17">
        <f t="shared" ref="G41:Y41" si="18">(G52/$C$52)</f>
        <v>3.8285624999999999</v>
      </c>
      <c r="H41" s="17">
        <f t="shared" si="18"/>
        <v>2.7470625000000002</v>
      </c>
      <c r="I41" s="17">
        <f t="shared" si="18"/>
        <v>2.3281874999999999</v>
      </c>
      <c r="J41" s="17">
        <f t="shared" si="18"/>
        <v>1.9702625</v>
      </c>
      <c r="K41" s="17">
        <f t="shared" si="18"/>
        <v>1.7716770833333333</v>
      </c>
      <c r="L41" s="17">
        <f t="shared" si="18"/>
        <v>1.629830357142857</v>
      </c>
      <c r="M41" s="17">
        <f t="shared" si="18"/>
        <v>1.4910625</v>
      </c>
      <c r="N41" s="17">
        <f t="shared" si="18"/>
        <v>1.4083402777777778</v>
      </c>
      <c r="O41" s="17">
        <f t="shared" si="18"/>
        <v>1.45939375</v>
      </c>
      <c r="P41" s="17">
        <f t="shared" si="18"/>
        <v>1.413909090909091</v>
      </c>
      <c r="Q41" s="17">
        <f t="shared" si="18"/>
        <v>1.3568125</v>
      </c>
      <c r="R41" s="17">
        <f t="shared" si="18"/>
        <v>1.3038701923076923</v>
      </c>
      <c r="S41" s="17">
        <f t="shared" si="18"/>
        <v>1.2107366071428571</v>
      </c>
      <c r="T41" s="17">
        <f t="shared" si="18"/>
        <v>1.1863416666666668</v>
      </c>
      <c r="U41" s="17">
        <f t="shared" si="18"/>
        <v>1.2248515625</v>
      </c>
      <c r="V41" s="17">
        <f t="shared" si="18"/>
        <v>1.1923051470588235</v>
      </c>
      <c r="W41" s="17">
        <f t="shared" si="18"/>
        <v>1.1939791666666668</v>
      </c>
      <c r="X41" s="17">
        <f t="shared" si="18"/>
        <v>1.1311381578947368</v>
      </c>
      <c r="Y41" s="17">
        <f t="shared" si="18"/>
        <v>1.0626687500000001</v>
      </c>
      <c r="Z41" s="158" t="s">
        <v>71</v>
      </c>
      <c r="AA41" s="138">
        <v>375</v>
      </c>
      <c r="AX41"/>
    </row>
    <row r="42" spans="2:50">
      <c r="B42" s="4" t="s">
        <v>64</v>
      </c>
      <c r="C42" s="17"/>
      <c r="D42" s="17"/>
      <c r="E42" s="17"/>
      <c r="F42" s="17">
        <f>(F53/$C$53)</f>
        <v>8.2158730158730151</v>
      </c>
      <c r="G42" s="17">
        <f t="shared" ref="G42:Y42" si="19">(G53/$C$53)</f>
        <v>4.1079365079365076</v>
      </c>
      <c r="H42" s="17">
        <f t="shared" si="19"/>
        <v>3.246031746031746</v>
      </c>
      <c r="I42" s="17">
        <f t="shared" si="19"/>
        <v>2.4345238095238093</v>
      </c>
      <c r="J42" s="17">
        <f t="shared" si="19"/>
        <v>2.265079365079365</v>
      </c>
      <c r="K42" s="17">
        <f t="shared" si="19"/>
        <v>1.8875661375661374</v>
      </c>
      <c r="L42" s="17">
        <f t="shared" si="19"/>
        <v>2.2886621315192746</v>
      </c>
      <c r="M42" s="17">
        <f t="shared" si="19"/>
        <v>2.1928571428571431</v>
      </c>
      <c r="N42" s="17">
        <f t="shared" si="19"/>
        <v>1.9492063492063492</v>
      </c>
      <c r="O42" s="17">
        <f t="shared" si="19"/>
        <v>1.7544444444444445</v>
      </c>
      <c r="P42" s="17">
        <f t="shared" si="19"/>
        <v>1.6382395382395381</v>
      </c>
      <c r="Q42" s="17">
        <f t="shared" si="19"/>
        <v>1.6443121693121692</v>
      </c>
      <c r="R42" s="17">
        <f t="shared" si="19"/>
        <v>1.5178266178266175</v>
      </c>
      <c r="S42" s="17">
        <f t="shared" si="19"/>
        <v>1.4094104308390021</v>
      </c>
      <c r="T42" s="17">
        <f t="shared" si="19"/>
        <v>1.3154497354497356</v>
      </c>
      <c r="U42" s="17">
        <f t="shared" si="19"/>
        <v>1.3401785714285714</v>
      </c>
      <c r="V42" s="17">
        <f t="shared" si="19"/>
        <v>1.304108309990663</v>
      </c>
      <c r="W42" s="17">
        <f t="shared" si="19"/>
        <v>1.3850088183421516</v>
      </c>
      <c r="X42" s="17">
        <f t="shared" si="19"/>
        <v>1.3204678362573101</v>
      </c>
      <c r="Y42" s="17">
        <f t="shared" si="19"/>
        <v>1.2544444444444445</v>
      </c>
      <c r="Z42" s="158" t="s">
        <v>72</v>
      </c>
      <c r="AA42" s="138">
        <v>75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20">(F54/$C$54)</f>
        <v>8.4031746031746035</v>
      </c>
      <c r="G43" s="17">
        <f t="shared" si="20"/>
        <v>4.2015873015873018</v>
      </c>
      <c r="H43" s="17">
        <f t="shared" si="20"/>
        <v>2.8010582010582015</v>
      </c>
      <c r="I43" s="17">
        <f t="shared" si="20"/>
        <v>2.3146825396825399</v>
      </c>
      <c r="J43" s="17">
        <f t="shared" si="20"/>
        <v>1.8517460317460317</v>
      </c>
      <c r="K43" s="17">
        <f t="shared" si="20"/>
        <v>2.071957671957672</v>
      </c>
      <c r="L43" s="17">
        <f t="shared" si="20"/>
        <v>1.7759637188208617</v>
      </c>
      <c r="M43" s="17">
        <f t="shared" si="20"/>
        <v>1.8196428571428571</v>
      </c>
      <c r="N43" s="17">
        <f t="shared" si="20"/>
        <v>1.7125220458553791</v>
      </c>
      <c r="O43" s="17">
        <f t="shared" si="20"/>
        <v>1.6268253968253967</v>
      </c>
      <c r="P43" s="17">
        <f t="shared" si="20"/>
        <v>1.478932178932179</v>
      </c>
      <c r="Q43" s="17">
        <f t="shared" si="20"/>
        <v>1.413888888888889</v>
      </c>
      <c r="R43" s="17">
        <f t="shared" si="20"/>
        <v>1.370940170940171</v>
      </c>
      <c r="S43" s="17">
        <f t="shared" si="20"/>
        <v>1.3341269841269841</v>
      </c>
      <c r="T43" s="17">
        <f t="shared" si="20"/>
        <v>1.4746031746031747</v>
      </c>
      <c r="U43" s="17">
        <f t="shared" si="20"/>
        <v>1.3824404761904763</v>
      </c>
      <c r="V43" s="17">
        <f t="shared" si="20"/>
        <v>1.3514472455648927</v>
      </c>
      <c r="W43" s="17">
        <f t="shared" si="20"/>
        <v>1.3714285714285714</v>
      </c>
      <c r="X43" s="17">
        <f t="shared" si="20"/>
        <v>1.2992481203007518</v>
      </c>
      <c r="Y43" s="17">
        <f t="shared" si="20"/>
        <v>1.2342857142857142</v>
      </c>
      <c r="Z43" s="158" t="s">
        <v>94</v>
      </c>
      <c r="AA43" s="158">
        <v>75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7.9577777777777774</v>
      </c>
      <c r="G44" s="17">
        <f t="shared" ref="G44:Y44" si="21">(G55/$C$55)</f>
        <v>4.0529629629629627</v>
      </c>
      <c r="H44" s="17">
        <f t="shared" si="21"/>
        <v>2.850123456790123</v>
      </c>
      <c r="I44" s="17">
        <f t="shared" si="21"/>
        <v>2.4862037037037039</v>
      </c>
      <c r="J44" s="17">
        <f t="shared" si="21"/>
        <v>2.183925925925926</v>
      </c>
      <c r="K44" s="17">
        <f t="shared" si="21"/>
        <v>1.8723456790123458</v>
      </c>
      <c r="L44" s="17">
        <f t="shared" si="21"/>
        <v>1.7001058201058203</v>
      </c>
      <c r="M44" s="17">
        <f t="shared" si="21"/>
        <v>1.4459722222222222</v>
      </c>
      <c r="N44" s="17">
        <f t="shared" si="21"/>
        <v>1.3347736625514404</v>
      </c>
      <c r="O44" s="17">
        <f t="shared" si="21"/>
        <v>1.341962962962963</v>
      </c>
      <c r="P44" s="17">
        <f t="shared" si="21"/>
        <v>1.2519528619528619</v>
      </c>
      <c r="Q44" s="17">
        <f t="shared" si="21"/>
        <v>1.1908024691358026</v>
      </c>
      <c r="R44" s="17">
        <f t="shared" si="21"/>
        <v>1.1376638176638176</v>
      </c>
      <c r="S44" s="17">
        <f t="shared" si="21"/>
        <v>1.0722751322751323</v>
      </c>
      <c r="T44" s="17">
        <f t="shared" si="21"/>
        <v>1.0304197530864196</v>
      </c>
      <c r="U44" s="17">
        <f t="shared" si="21"/>
        <v>0.99148148148148152</v>
      </c>
      <c r="V44" s="17">
        <f t="shared" si="21"/>
        <v>0.98954248366013076</v>
      </c>
      <c r="W44" s="17">
        <f t="shared" si="21"/>
        <v>0.97977366255144027</v>
      </c>
      <c r="X44" s="17">
        <f t="shared" si="21"/>
        <v>0.95547758284600393</v>
      </c>
      <c r="Y44" s="17">
        <f t="shared" si="21"/>
        <v>0.92618518518518522</v>
      </c>
      <c r="Z44" s="160" t="s">
        <v>73</v>
      </c>
      <c r="AA44" s="138">
        <v>350</v>
      </c>
      <c r="AX44"/>
    </row>
    <row r="45" spans="2:50">
      <c r="B45" s="4" t="s">
        <v>2</v>
      </c>
      <c r="C45" s="17"/>
      <c r="D45" s="17"/>
      <c r="E45" s="17"/>
      <c r="F45" s="17">
        <f t="shared" ref="F45:Y46" si="22">(F56/$C$56)</f>
        <v>8.8629687500000003</v>
      </c>
      <c r="G45" s="17">
        <f t="shared" si="22"/>
        <v>4.7586718750000001</v>
      </c>
      <c r="H45" s="17">
        <f t="shared" si="22"/>
        <v>3.3206250000000002</v>
      </c>
      <c r="I45" s="17">
        <f t="shared" si="22"/>
        <v>2.4904687499999998</v>
      </c>
      <c r="J45" s="17">
        <f t="shared" si="22"/>
        <v>2.2755937500000001</v>
      </c>
      <c r="K45" s="17">
        <f t="shared" si="22"/>
        <v>1.9396093750000001</v>
      </c>
      <c r="L45" s="17">
        <f t="shared" si="22"/>
        <v>1.75265625</v>
      </c>
      <c r="M45" s="17">
        <f t="shared" si="22"/>
        <v>1.5985156250000001</v>
      </c>
      <c r="N45" s="17">
        <f t="shared" si="22"/>
        <v>1.6306770833333335</v>
      </c>
      <c r="O45" s="17">
        <f t="shared" si="22"/>
        <v>1.5057031249999999</v>
      </c>
      <c r="P45" s="17">
        <f t="shared" si="22"/>
        <v>1.4470880681818181</v>
      </c>
      <c r="Q45" s="17">
        <f t="shared" si="22"/>
        <v>1.3635416666666664</v>
      </c>
      <c r="R45" s="17">
        <f t="shared" si="22"/>
        <v>1.2814302884615383</v>
      </c>
      <c r="S45" s="17">
        <f t="shared" si="22"/>
        <v>1.3302232142857142</v>
      </c>
      <c r="T45" s="17">
        <f t="shared" si="22"/>
        <v>1.3068958333333334</v>
      </c>
      <c r="U45" s="17">
        <f t="shared" si="22"/>
        <v>1.32521484375</v>
      </c>
      <c r="V45" s="17">
        <f t="shared" si="22"/>
        <v>1.2472610294117645</v>
      </c>
      <c r="W45" s="17">
        <f t="shared" si="22"/>
        <v>1.17796875</v>
      </c>
      <c r="X45" s="17">
        <f t="shared" si="22"/>
        <v>1.0995641447368421</v>
      </c>
      <c r="Y45" s="17">
        <f t="shared" si="22"/>
        <v>1.0445859375</v>
      </c>
      <c r="Z45" s="160" t="s">
        <v>74</v>
      </c>
      <c r="AA45" s="138">
        <v>135</v>
      </c>
      <c r="AX45"/>
    </row>
    <row r="46" spans="2:50">
      <c r="B46" s="4" t="s">
        <v>63</v>
      </c>
      <c r="C46" s="17"/>
      <c r="D46" s="17"/>
      <c r="E46" s="17"/>
      <c r="F46" s="17">
        <f t="shared" si="22"/>
        <v>1.006875</v>
      </c>
      <c r="G46" s="17">
        <f t="shared" si="22"/>
        <v>0.50343749999999998</v>
      </c>
      <c r="H46" s="17">
        <f t="shared" si="22"/>
        <v>0.33562500000000001</v>
      </c>
      <c r="I46" s="17">
        <f t="shared" si="22"/>
        <v>0.25171874999999999</v>
      </c>
      <c r="J46" s="17">
        <f t="shared" si="22"/>
        <v>0.30206250000000001</v>
      </c>
      <c r="K46" s="17">
        <f t="shared" si="22"/>
        <v>0.25171874999999999</v>
      </c>
      <c r="L46" s="17">
        <f t="shared" si="22"/>
        <v>0.21575892857142859</v>
      </c>
      <c r="M46" s="17">
        <f t="shared" si="22"/>
        <v>0.21048828124999999</v>
      </c>
      <c r="N46" s="17">
        <f t="shared" si="22"/>
        <v>0.22567708333333331</v>
      </c>
      <c r="O46" s="17">
        <f t="shared" si="22"/>
        <v>0.20310937500000001</v>
      </c>
      <c r="P46" s="17">
        <f t="shared" si="22"/>
        <v>0.20990056818181815</v>
      </c>
      <c r="Q46" s="17">
        <f t="shared" si="22"/>
        <v>0.20542968750000001</v>
      </c>
      <c r="R46" s="17">
        <f t="shared" si="22"/>
        <v>0.21366586538461541</v>
      </c>
      <c r="S46" s="17">
        <f t="shared" si="22"/>
        <v>0.21080357142857142</v>
      </c>
      <c r="T46" s="17">
        <f t="shared" si="22"/>
        <v>0.20832291666666666</v>
      </c>
      <c r="U46" s="17">
        <f t="shared" si="22"/>
        <v>0.24846679687500001</v>
      </c>
      <c r="V46" s="17">
        <f t="shared" si="22"/>
        <v>0.23895220588235294</v>
      </c>
      <c r="W46" s="17">
        <f t="shared" si="22"/>
        <v>0.2304947916666667</v>
      </c>
      <c r="X46" s="17">
        <f t="shared" si="22"/>
        <v>0.21836348684210527</v>
      </c>
      <c r="Y46" s="17">
        <f t="shared" si="22"/>
        <v>0.27422656249999999</v>
      </c>
      <c r="Z46" s="160" t="s">
        <v>75</v>
      </c>
      <c r="AA46" s="138">
        <v>35</v>
      </c>
      <c r="AX46"/>
    </row>
    <row r="47" spans="2:50">
      <c r="B47" s="4" t="s">
        <v>3</v>
      </c>
      <c r="C47" s="18"/>
      <c r="D47" s="18"/>
      <c r="E47" s="18"/>
      <c r="F47" s="18">
        <f t="shared" ref="F47:Y47" si="23">(F58/$C$58)</f>
        <v>12.27362962962963</v>
      </c>
      <c r="G47" s="18">
        <f t="shared" si="23"/>
        <v>6.2251851851851852</v>
      </c>
      <c r="H47" s="18">
        <f t="shared" si="23"/>
        <v>4.3391111111111114</v>
      </c>
      <c r="I47" s="18">
        <f t="shared" si="23"/>
        <v>3.507222222222222</v>
      </c>
      <c r="J47" s="18">
        <f t="shared" si="23"/>
        <v>2.9966222222222223</v>
      </c>
      <c r="K47" s="18">
        <f t="shared" si="23"/>
        <v>2.5708024691358027</v>
      </c>
      <c r="L47" s="18">
        <f t="shared" si="23"/>
        <v>2.3183597883597882</v>
      </c>
      <c r="M47" s="18">
        <f t="shared" si="23"/>
        <v>2.0143425925925924</v>
      </c>
      <c r="N47" s="18">
        <f t="shared" si="23"/>
        <v>1.8431769547325103</v>
      </c>
      <c r="O47" s="18">
        <f t="shared" si="23"/>
        <v>1.6588592592592593</v>
      </c>
      <c r="P47" s="18">
        <f t="shared" si="23"/>
        <v>1.5807676767676766</v>
      </c>
      <c r="Q47" s="18">
        <f t="shared" si="23"/>
        <v>1.5246728395061726</v>
      </c>
      <c r="R47" s="18">
        <f t="shared" si="23"/>
        <v>1.5018632478632479</v>
      </c>
      <c r="S47" s="18">
        <f t="shared" si="23"/>
        <v>1.4357619047619046</v>
      </c>
      <c r="T47" s="18">
        <f t="shared" si="23"/>
        <v>1.3404790123456791</v>
      </c>
      <c r="U47" s="18">
        <f t="shared" si="23"/>
        <v>1.284537037037037</v>
      </c>
      <c r="V47" s="18">
        <f t="shared" si="23"/>
        <v>1.2472549019607841</v>
      </c>
      <c r="W47" s="18">
        <f t="shared" si="23"/>
        <v>1.1473786008230453</v>
      </c>
      <c r="X47" s="18">
        <f t="shared" si="23"/>
        <v>1.1138440545808965</v>
      </c>
      <c r="Y47" s="18">
        <f t="shared" si="23"/>
        <v>1.0822333333333334</v>
      </c>
      <c r="Z47" s="159" t="s">
        <v>76</v>
      </c>
      <c r="AA47" s="138">
        <v>325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4">(F59/$C$59)</f>
        <v>8.4261499148211243</v>
      </c>
      <c r="G48" s="17">
        <f t="shared" si="24"/>
        <v>4.4269931856899492</v>
      </c>
      <c r="H48" s="17">
        <f t="shared" si="24"/>
        <v>3.1253151618398638</v>
      </c>
      <c r="I48" s="17">
        <f t="shared" si="24"/>
        <v>2.5668185689948895</v>
      </c>
      <c r="J48" s="17">
        <f t="shared" si="24"/>
        <v>2.2304361158432711</v>
      </c>
      <c r="K48" s="17">
        <f t="shared" si="24"/>
        <v>1.9561555934128338</v>
      </c>
      <c r="L48" s="17">
        <f t="shared" si="24"/>
        <v>1.8011584327086883</v>
      </c>
      <c r="M48" s="17">
        <f t="shared" si="24"/>
        <v>1.6147913117546848</v>
      </c>
      <c r="N48" s="17">
        <f t="shared" si="24"/>
        <v>1.5136437630134394</v>
      </c>
      <c r="O48" s="17">
        <f t="shared" si="24"/>
        <v>1.455686541737649</v>
      </c>
      <c r="P48" s="17">
        <f t="shared" si="24"/>
        <v>1.3848056372928603</v>
      </c>
      <c r="Q48" s="17">
        <f t="shared" si="24"/>
        <v>1.329517319704713</v>
      </c>
      <c r="R48" s="17">
        <f t="shared" si="24"/>
        <v>1.2804730703708558</v>
      </c>
      <c r="S48" s="17">
        <f t="shared" si="24"/>
        <v>1.2220613287904598</v>
      </c>
      <c r="T48" s="17">
        <f t="shared" si="24"/>
        <v>1.1835547984099946</v>
      </c>
      <c r="U48" s="17">
        <f t="shared" si="24"/>
        <v>1.1749861584327086</v>
      </c>
      <c r="V48" s="17">
        <f t="shared" si="24"/>
        <v>1.1439593145605771</v>
      </c>
      <c r="W48" s="17">
        <f t="shared" si="24"/>
        <v>1.1161357183418514</v>
      </c>
      <c r="X48" s="17">
        <f t="shared" si="24"/>
        <v>1.0684990585492691</v>
      </c>
      <c r="Y48" s="17">
        <f t="shared" si="24"/>
        <v>1.028896933560477</v>
      </c>
      <c r="AA48" s="139">
        <f>SUM(AA41:AA47)</f>
        <v>1370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5">+G40</f>
        <v>Day 2</v>
      </c>
      <c r="H51" s="4" t="str">
        <f t="shared" si="25"/>
        <v>Day 3</v>
      </c>
      <c r="I51" s="4" t="str">
        <f t="shared" si="25"/>
        <v>Day 4</v>
      </c>
      <c r="J51" s="4" t="str">
        <f t="shared" si="25"/>
        <v>Day 5</v>
      </c>
      <c r="K51" s="4" t="str">
        <f t="shared" si="25"/>
        <v>Day 6</v>
      </c>
      <c r="L51" s="4" t="str">
        <f t="shared" si="25"/>
        <v>Day 7</v>
      </c>
      <c r="M51" s="4" t="str">
        <f t="shared" si="25"/>
        <v>Day 8</v>
      </c>
      <c r="N51" s="4" t="str">
        <f t="shared" si="25"/>
        <v>Day 9</v>
      </c>
      <c r="O51" s="4" t="str">
        <f t="shared" si="25"/>
        <v>Day 10</v>
      </c>
      <c r="P51" s="4" t="str">
        <f t="shared" si="25"/>
        <v>Day 11</v>
      </c>
      <c r="Q51" s="4" t="str">
        <f t="shared" si="25"/>
        <v>Day 12</v>
      </c>
      <c r="R51" s="4" t="str">
        <f t="shared" si="25"/>
        <v>Day 13</v>
      </c>
      <c r="S51" s="4" t="str">
        <f t="shared" si="25"/>
        <v>Day 14</v>
      </c>
      <c r="T51" s="4" t="str">
        <f t="shared" si="25"/>
        <v>Day 15</v>
      </c>
      <c r="U51" s="4" t="str">
        <f t="shared" si="25"/>
        <v>Day 16</v>
      </c>
      <c r="V51" s="4" t="str">
        <f t="shared" si="25"/>
        <v>Day 17</v>
      </c>
      <c r="W51" s="4" t="str">
        <f t="shared" si="25"/>
        <v>Day 18</v>
      </c>
      <c r="X51" s="4" t="str">
        <f t="shared" si="25"/>
        <v>Day 19</v>
      </c>
      <c r="Y51" s="4" t="str">
        <f t="shared" si="25"/>
        <v>Day 20</v>
      </c>
      <c r="AX51"/>
    </row>
    <row r="52" spans="2:50">
      <c r="B52" s="4" t="s">
        <v>0</v>
      </c>
      <c r="C52" s="149">
        <v>320000</v>
      </c>
      <c r="D52" s="4"/>
      <c r="E52" s="4"/>
      <c r="F52" s="55">
        <f t="shared" ref="F52:Y52" si="26">(F29)/F$1*$Y$1</f>
        <v>2119480</v>
      </c>
      <c r="G52" s="55">
        <f t="shared" si="26"/>
        <v>1225140</v>
      </c>
      <c r="H52" s="55">
        <f t="shared" si="26"/>
        <v>879060</v>
      </c>
      <c r="I52" s="55">
        <f t="shared" si="26"/>
        <v>745020</v>
      </c>
      <c r="J52" s="55">
        <f t="shared" si="26"/>
        <v>630484</v>
      </c>
      <c r="K52" s="55">
        <f t="shared" si="26"/>
        <v>566936.66666666663</v>
      </c>
      <c r="L52" s="55">
        <f t="shared" si="26"/>
        <v>521545.71428571426</v>
      </c>
      <c r="M52" s="55">
        <f t="shared" si="26"/>
        <v>477140</v>
      </c>
      <c r="N52" s="55">
        <f t="shared" si="26"/>
        <v>450668.88888888888</v>
      </c>
      <c r="O52" s="55">
        <f t="shared" si="26"/>
        <v>467006</v>
      </c>
      <c r="P52" s="55">
        <f t="shared" si="26"/>
        <v>452450.90909090912</v>
      </c>
      <c r="Q52" s="55">
        <f t="shared" si="26"/>
        <v>434180</v>
      </c>
      <c r="R52" s="55">
        <f t="shared" si="26"/>
        <v>417238.46153846156</v>
      </c>
      <c r="S52" s="55">
        <f t="shared" si="26"/>
        <v>387435.71428571426</v>
      </c>
      <c r="T52" s="55">
        <f t="shared" si="26"/>
        <v>379629.33333333337</v>
      </c>
      <c r="U52" s="55">
        <f t="shared" si="26"/>
        <v>391952.5</v>
      </c>
      <c r="V52" s="55">
        <f t="shared" si="26"/>
        <v>381537.6470588235</v>
      </c>
      <c r="W52" s="55">
        <f t="shared" si="26"/>
        <v>382073.33333333337</v>
      </c>
      <c r="X52" s="55">
        <f t="shared" si="26"/>
        <v>361964.21052631579</v>
      </c>
      <c r="Y52" s="55">
        <f t="shared" si="26"/>
        <v>340054</v>
      </c>
      <c r="AX52"/>
    </row>
    <row r="53" spans="2:50">
      <c r="B53" s="4" t="s">
        <v>64</v>
      </c>
      <c r="C53" s="149">
        <v>63000</v>
      </c>
      <c r="D53" s="4"/>
      <c r="E53" s="4"/>
      <c r="F53" s="55">
        <f t="shared" ref="F53:Y53" si="27">(F30)/F$1*$Y$1</f>
        <v>517600</v>
      </c>
      <c r="G53" s="55">
        <f t="shared" si="27"/>
        <v>258800</v>
      </c>
      <c r="H53" s="55">
        <f t="shared" si="27"/>
        <v>204500</v>
      </c>
      <c r="I53" s="55">
        <f t="shared" si="27"/>
        <v>153375</v>
      </c>
      <c r="J53" s="55">
        <f t="shared" si="27"/>
        <v>142700</v>
      </c>
      <c r="K53" s="55">
        <f t="shared" si="27"/>
        <v>118916.66666666666</v>
      </c>
      <c r="L53" s="55">
        <f t="shared" si="27"/>
        <v>144185.71428571429</v>
      </c>
      <c r="M53" s="55">
        <f t="shared" si="27"/>
        <v>138150</v>
      </c>
      <c r="N53" s="55">
        <f t="shared" si="27"/>
        <v>122800</v>
      </c>
      <c r="O53" s="55">
        <f t="shared" si="27"/>
        <v>110530</v>
      </c>
      <c r="P53" s="55">
        <f t="shared" si="27"/>
        <v>103209.0909090909</v>
      </c>
      <c r="Q53" s="55">
        <f t="shared" si="27"/>
        <v>103591.66666666666</v>
      </c>
      <c r="R53" s="55">
        <f t="shared" si="27"/>
        <v>95623.076923076907</v>
      </c>
      <c r="S53" s="55">
        <f t="shared" si="27"/>
        <v>88792.85714285713</v>
      </c>
      <c r="T53" s="55">
        <f t="shared" si="27"/>
        <v>82873.333333333343</v>
      </c>
      <c r="U53" s="55">
        <f t="shared" si="27"/>
        <v>84431.25</v>
      </c>
      <c r="V53" s="55">
        <f t="shared" si="27"/>
        <v>82158.823529411762</v>
      </c>
      <c r="W53" s="55">
        <f t="shared" si="27"/>
        <v>87255.555555555547</v>
      </c>
      <c r="X53" s="55">
        <f t="shared" si="27"/>
        <v>83189.473684210534</v>
      </c>
      <c r="Y53" s="55">
        <f t="shared" si="27"/>
        <v>79030</v>
      </c>
      <c r="AX53"/>
    </row>
    <row r="54" spans="2:50">
      <c r="B54" s="4" t="str">
        <f>+B43</f>
        <v>Brazil</v>
      </c>
      <c r="C54" s="149">
        <v>63000</v>
      </c>
      <c r="D54" s="4"/>
      <c r="E54" s="4"/>
      <c r="F54" s="55">
        <f t="shared" ref="F54:Y54" si="28">(F31)/F$1*$Y$1</f>
        <v>529400</v>
      </c>
      <c r="G54" s="55">
        <f t="shared" si="28"/>
        <v>264700</v>
      </c>
      <c r="H54" s="55">
        <f t="shared" si="28"/>
        <v>176466.66666666669</v>
      </c>
      <c r="I54" s="55">
        <f t="shared" si="28"/>
        <v>145825</v>
      </c>
      <c r="J54" s="55">
        <f t="shared" si="28"/>
        <v>116660</v>
      </c>
      <c r="K54" s="55">
        <f t="shared" si="28"/>
        <v>130533.33333333334</v>
      </c>
      <c r="L54" s="55">
        <f t="shared" si="28"/>
        <v>111885.71428571429</v>
      </c>
      <c r="M54" s="55">
        <f t="shared" si="28"/>
        <v>114637.5</v>
      </c>
      <c r="N54" s="55">
        <f t="shared" si="28"/>
        <v>107888.88888888889</v>
      </c>
      <c r="O54" s="55">
        <f t="shared" si="28"/>
        <v>102490</v>
      </c>
      <c r="P54" s="55">
        <f t="shared" si="28"/>
        <v>93172.727272727279</v>
      </c>
      <c r="Q54" s="55">
        <f t="shared" si="28"/>
        <v>89075</v>
      </c>
      <c r="R54" s="55">
        <f t="shared" si="28"/>
        <v>86369.230769230766</v>
      </c>
      <c r="S54" s="55">
        <f t="shared" si="28"/>
        <v>84050</v>
      </c>
      <c r="T54" s="55">
        <f t="shared" si="28"/>
        <v>92900</v>
      </c>
      <c r="U54" s="55">
        <f t="shared" si="28"/>
        <v>87093.75</v>
      </c>
      <c r="V54" s="55">
        <f t="shared" si="28"/>
        <v>85141.176470588238</v>
      </c>
      <c r="W54" s="55">
        <f t="shared" si="28"/>
        <v>86400</v>
      </c>
      <c r="X54" s="55">
        <f t="shared" si="28"/>
        <v>81852.631578947359</v>
      </c>
      <c r="Y54" s="55">
        <f t="shared" si="28"/>
        <v>77760</v>
      </c>
      <c r="AX54"/>
    </row>
    <row r="55" spans="2:50">
      <c r="B55" s="4" t="str">
        <f>+B44</f>
        <v>Boston</v>
      </c>
      <c r="C55" s="149">
        <v>270000</v>
      </c>
      <c r="D55" s="4"/>
      <c r="E55" s="4"/>
      <c r="F55" s="55">
        <f t="shared" ref="F55:Y55" si="29">(F32)/F$1*$Y$1</f>
        <v>2148600</v>
      </c>
      <c r="G55" s="55">
        <f t="shared" si="29"/>
        <v>1094300</v>
      </c>
      <c r="H55" s="55">
        <f t="shared" si="29"/>
        <v>769533.33333333326</v>
      </c>
      <c r="I55" s="55">
        <f t="shared" si="29"/>
        <v>671275</v>
      </c>
      <c r="J55" s="55">
        <f t="shared" si="29"/>
        <v>589660</v>
      </c>
      <c r="K55" s="55">
        <f t="shared" si="29"/>
        <v>505533.33333333337</v>
      </c>
      <c r="L55" s="55">
        <f t="shared" si="29"/>
        <v>459028.57142857148</v>
      </c>
      <c r="M55" s="55">
        <f t="shared" si="29"/>
        <v>390412.5</v>
      </c>
      <c r="N55" s="55">
        <f t="shared" si="29"/>
        <v>360388.88888888888</v>
      </c>
      <c r="O55" s="55">
        <f t="shared" si="29"/>
        <v>362330</v>
      </c>
      <c r="P55" s="55">
        <f t="shared" si="29"/>
        <v>338027.27272727271</v>
      </c>
      <c r="Q55" s="55">
        <f t="shared" si="29"/>
        <v>321516.66666666669</v>
      </c>
      <c r="R55" s="55">
        <f t="shared" si="29"/>
        <v>307169.23076923075</v>
      </c>
      <c r="S55" s="55">
        <f t="shared" si="29"/>
        <v>289514.28571428574</v>
      </c>
      <c r="T55" s="55">
        <f t="shared" si="29"/>
        <v>278213.33333333331</v>
      </c>
      <c r="U55" s="55">
        <f t="shared" si="29"/>
        <v>267700</v>
      </c>
      <c r="V55" s="55">
        <f t="shared" si="29"/>
        <v>267176.4705882353</v>
      </c>
      <c r="W55" s="55">
        <f t="shared" si="29"/>
        <v>264538.88888888888</v>
      </c>
      <c r="X55" s="55">
        <f t="shared" si="29"/>
        <v>257978.94736842107</v>
      </c>
      <c r="Y55" s="55">
        <f t="shared" si="29"/>
        <v>250070</v>
      </c>
      <c r="AX55"/>
    </row>
    <row r="56" spans="2:50">
      <c r="B56" s="4" t="s">
        <v>2</v>
      </c>
      <c r="C56" s="149">
        <v>128000</v>
      </c>
      <c r="D56" s="4"/>
      <c r="E56" s="4"/>
      <c r="F56" s="55">
        <f t="shared" ref="F56:U58" si="30">(F33)/F$1*$Y$1</f>
        <v>1134460</v>
      </c>
      <c r="G56" s="55">
        <f t="shared" si="30"/>
        <v>609110</v>
      </c>
      <c r="H56" s="55">
        <f t="shared" si="30"/>
        <v>425040</v>
      </c>
      <c r="I56" s="55">
        <f t="shared" si="30"/>
        <v>318780</v>
      </c>
      <c r="J56" s="55">
        <f t="shared" si="30"/>
        <v>291276</v>
      </c>
      <c r="K56" s="55">
        <f t="shared" si="30"/>
        <v>248270</v>
      </c>
      <c r="L56" s="55">
        <f t="shared" si="30"/>
        <v>224340</v>
      </c>
      <c r="M56" s="55">
        <f t="shared" si="30"/>
        <v>204610</v>
      </c>
      <c r="N56" s="55">
        <f t="shared" si="30"/>
        <v>208726.66666666669</v>
      </c>
      <c r="O56" s="55">
        <f t="shared" si="30"/>
        <v>192730</v>
      </c>
      <c r="P56" s="55">
        <f t="shared" si="30"/>
        <v>185227.27272727271</v>
      </c>
      <c r="Q56" s="55">
        <f t="shared" si="30"/>
        <v>174533.33333333331</v>
      </c>
      <c r="R56" s="55">
        <f t="shared" si="30"/>
        <v>164023.07692307691</v>
      </c>
      <c r="S56" s="55">
        <f t="shared" si="30"/>
        <v>170268.57142857142</v>
      </c>
      <c r="T56" s="55">
        <f t="shared" si="30"/>
        <v>167282.66666666666</v>
      </c>
      <c r="U56" s="55">
        <f t="shared" si="30"/>
        <v>169627.5</v>
      </c>
      <c r="V56" s="55">
        <f t="shared" ref="V56:Y58" si="31">(V33)/V$1*$Y$1</f>
        <v>159649.41176470587</v>
      </c>
      <c r="W56" s="55">
        <f t="shared" si="31"/>
        <v>150780</v>
      </c>
      <c r="X56" s="55">
        <f t="shared" si="31"/>
        <v>140744.21052631579</v>
      </c>
      <c r="Y56" s="55">
        <f t="shared" si="31"/>
        <v>133707</v>
      </c>
      <c r="AA56" s="48"/>
    </row>
    <row r="57" spans="2:50">
      <c r="B57" s="4" t="s">
        <v>63</v>
      </c>
      <c r="C57" s="149">
        <v>60000</v>
      </c>
      <c r="D57" s="4"/>
      <c r="E57" s="4"/>
      <c r="F57" s="55">
        <f t="shared" si="30"/>
        <v>128880</v>
      </c>
      <c r="G57" s="55">
        <f t="shared" si="30"/>
        <v>64440</v>
      </c>
      <c r="H57" s="55">
        <f t="shared" si="30"/>
        <v>42960</v>
      </c>
      <c r="I57" s="55">
        <f t="shared" si="30"/>
        <v>32220</v>
      </c>
      <c r="J57" s="55">
        <f t="shared" si="30"/>
        <v>38664</v>
      </c>
      <c r="K57" s="55">
        <f t="shared" si="30"/>
        <v>32220</v>
      </c>
      <c r="L57" s="55">
        <f t="shared" si="30"/>
        <v>27617.142857142859</v>
      </c>
      <c r="M57" s="55">
        <f t="shared" si="30"/>
        <v>26942.5</v>
      </c>
      <c r="N57" s="55">
        <f t="shared" si="30"/>
        <v>28886.666666666664</v>
      </c>
      <c r="O57" s="55">
        <f t="shared" si="30"/>
        <v>25998</v>
      </c>
      <c r="P57" s="55">
        <f t="shared" si="30"/>
        <v>26867.272727272724</v>
      </c>
      <c r="Q57" s="55">
        <f t="shared" si="30"/>
        <v>26295</v>
      </c>
      <c r="R57" s="55">
        <f t="shared" si="30"/>
        <v>27349.230769230773</v>
      </c>
      <c r="S57" s="55">
        <f t="shared" si="30"/>
        <v>26982.857142857141</v>
      </c>
      <c r="T57" s="55">
        <f t="shared" si="30"/>
        <v>26665.333333333332</v>
      </c>
      <c r="U57" s="55">
        <f t="shared" si="30"/>
        <v>31803.75</v>
      </c>
      <c r="V57" s="55">
        <f t="shared" si="31"/>
        <v>30585.882352941175</v>
      </c>
      <c r="W57" s="55">
        <f t="shared" si="31"/>
        <v>29503.333333333336</v>
      </c>
      <c r="X57" s="55">
        <f t="shared" si="31"/>
        <v>27950.526315789473</v>
      </c>
      <c r="Y57" s="55">
        <f t="shared" si="31"/>
        <v>35101</v>
      </c>
      <c r="AA57" s="48"/>
    </row>
    <row r="58" spans="2:50">
      <c r="B58" s="4" t="s">
        <v>3</v>
      </c>
      <c r="C58" s="150">
        <v>270000</v>
      </c>
      <c r="D58" s="19"/>
      <c r="E58" s="19"/>
      <c r="F58" s="98">
        <f t="shared" si="30"/>
        <v>3313880</v>
      </c>
      <c r="G58" s="98">
        <f t="shared" si="30"/>
        <v>1680800</v>
      </c>
      <c r="H58" s="98">
        <f t="shared" si="30"/>
        <v>1171560</v>
      </c>
      <c r="I58" s="98">
        <f t="shared" si="30"/>
        <v>946950</v>
      </c>
      <c r="J58" s="98">
        <f t="shared" si="30"/>
        <v>809088</v>
      </c>
      <c r="K58" s="98">
        <f t="shared" si="30"/>
        <v>694116.66666666674</v>
      </c>
      <c r="L58" s="98">
        <f t="shared" si="30"/>
        <v>625957.14285714284</v>
      </c>
      <c r="M58" s="98">
        <f t="shared" si="30"/>
        <v>543872.5</v>
      </c>
      <c r="N58" s="98">
        <f t="shared" si="30"/>
        <v>497657.77777777781</v>
      </c>
      <c r="O58" s="98">
        <f t="shared" si="30"/>
        <v>447892</v>
      </c>
      <c r="P58" s="98">
        <f t="shared" si="30"/>
        <v>426807.27272727271</v>
      </c>
      <c r="Q58" s="98">
        <f t="shared" si="30"/>
        <v>411661.66666666663</v>
      </c>
      <c r="R58" s="98">
        <f t="shared" si="30"/>
        <v>405503.07692307694</v>
      </c>
      <c r="S58" s="98">
        <f t="shared" si="30"/>
        <v>387655.71428571426</v>
      </c>
      <c r="T58" s="98">
        <f t="shared" si="30"/>
        <v>361929.33333333337</v>
      </c>
      <c r="U58" s="98">
        <f t="shared" si="30"/>
        <v>346825</v>
      </c>
      <c r="V58" s="98">
        <f t="shared" si="31"/>
        <v>336758.82352941175</v>
      </c>
      <c r="W58" s="98">
        <f t="shared" si="31"/>
        <v>309792.22222222225</v>
      </c>
      <c r="X58" s="98">
        <f t="shared" si="31"/>
        <v>300737.89473684208</v>
      </c>
      <c r="Y58" s="98">
        <f t="shared" si="31"/>
        <v>292203</v>
      </c>
    </row>
    <row r="59" spans="2:50">
      <c r="B59" s="153" t="s">
        <v>27</v>
      </c>
      <c r="C59" s="151">
        <f>SUM(C52:C58)</f>
        <v>1174000</v>
      </c>
      <c r="D59" s="10">
        <f>SUM(D52:D58)</f>
        <v>0</v>
      </c>
      <c r="E59" s="10"/>
      <c r="F59" s="10">
        <f t="shared" ref="F59:Y59" si="32">SUM(F52:F58)</f>
        <v>9892300</v>
      </c>
      <c r="G59" s="10">
        <f t="shared" si="32"/>
        <v>5197290</v>
      </c>
      <c r="H59" s="10">
        <f t="shared" si="32"/>
        <v>3669120</v>
      </c>
      <c r="I59" s="10">
        <f t="shared" si="32"/>
        <v>3013445</v>
      </c>
      <c r="J59" s="10">
        <f t="shared" si="32"/>
        <v>2618532</v>
      </c>
      <c r="K59" s="10">
        <f t="shared" si="32"/>
        <v>2296526.666666667</v>
      </c>
      <c r="L59" s="10">
        <f t="shared" si="32"/>
        <v>2114560</v>
      </c>
      <c r="M59" s="10">
        <f t="shared" si="32"/>
        <v>1895765</v>
      </c>
      <c r="N59" s="10">
        <f t="shared" si="32"/>
        <v>1777017.7777777778</v>
      </c>
      <c r="O59" s="10">
        <f t="shared" si="32"/>
        <v>1708976</v>
      </c>
      <c r="P59" s="10">
        <f t="shared" si="32"/>
        <v>1625761.8181818181</v>
      </c>
      <c r="Q59" s="10">
        <f t="shared" si="32"/>
        <v>1560853.333333333</v>
      </c>
      <c r="R59" s="10">
        <f t="shared" si="32"/>
        <v>1503275.3846153847</v>
      </c>
      <c r="S59" s="10">
        <f t="shared" si="32"/>
        <v>1434699.9999999998</v>
      </c>
      <c r="T59" s="10">
        <f t="shared" si="32"/>
        <v>1389493.3333333335</v>
      </c>
      <c r="U59" s="10">
        <f t="shared" si="32"/>
        <v>1379433.75</v>
      </c>
      <c r="V59" s="10">
        <f t="shared" si="32"/>
        <v>1343008.2352941176</v>
      </c>
      <c r="W59" s="10">
        <f t="shared" si="32"/>
        <v>1310343.3333333335</v>
      </c>
      <c r="X59" s="10">
        <f t="shared" si="32"/>
        <v>1254417.894736842</v>
      </c>
      <c r="Y59" s="10">
        <f t="shared" si="32"/>
        <v>1207925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58700</v>
      </c>
      <c r="G62" s="144">
        <f t="shared" ref="G62:Y62" si="33">+$C$13*G1</f>
        <v>117400</v>
      </c>
      <c r="H62" s="144">
        <f t="shared" si="33"/>
        <v>176100</v>
      </c>
      <c r="I62" s="144">
        <f t="shared" si="33"/>
        <v>234800</v>
      </c>
      <c r="J62" s="144">
        <f t="shared" si="33"/>
        <v>293500</v>
      </c>
      <c r="K62" s="144">
        <f t="shared" si="33"/>
        <v>352200</v>
      </c>
      <c r="L62" s="144">
        <f t="shared" si="33"/>
        <v>410900</v>
      </c>
      <c r="M62" s="144">
        <f t="shared" si="33"/>
        <v>469600</v>
      </c>
      <c r="N62" s="144">
        <f t="shared" si="33"/>
        <v>528300</v>
      </c>
      <c r="O62" s="144">
        <f t="shared" si="33"/>
        <v>587000</v>
      </c>
      <c r="P62" s="144">
        <f t="shared" si="33"/>
        <v>645700</v>
      </c>
      <c r="Q62" s="144">
        <f t="shared" si="33"/>
        <v>704400</v>
      </c>
      <c r="R62" s="144">
        <f t="shared" si="33"/>
        <v>763100</v>
      </c>
      <c r="S62" s="144">
        <f t="shared" si="33"/>
        <v>821800</v>
      </c>
      <c r="T62" s="144">
        <f t="shared" si="33"/>
        <v>880500</v>
      </c>
      <c r="U62" s="144">
        <f t="shared" si="33"/>
        <v>939200</v>
      </c>
      <c r="V62" s="144">
        <f t="shared" si="33"/>
        <v>997900</v>
      </c>
      <c r="W62" s="144">
        <f t="shared" si="33"/>
        <v>1056600</v>
      </c>
      <c r="X62" s="144">
        <f t="shared" si="33"/>
        <v>1115300</v>
      </c>
      <c r="Y62" s="144">
        <f t="shared" si="33"/>
        <v>1174000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4" type="noConversion"/>
  <conditionalFormatting sqref="AA29:AA36">
    <cfRule type="cellIs" dxfId="119" priority="7" stopIfTrue="1" operator="lessThan">
      <formula>0</formula>
    </cfRule>
    <cfRule type="cellIs" dxfId="118" priority="8" stopIfTrue="1" operator="greaterThan">
      <formula>0</formula>
    </cfRule>
    <cfRule type="cellIs" dxfId="117" priority="9" stopIfTrue="1" operator="lessThan">
      <formula>0</formula>
    </cfRule>
    <cfRule type="cellIs" dxfId="116" priority="10" stopIfTrue="1" operator="greaterThan">
      <formula>0</formula>
    </cfRule>
  </conditionalFormatting>
  <conditionalFormatting sqref="Z7:Z12">
    <cfRule type="cellIs" dxfId="115" priority="1" stopIfTrue="1" operator="greaterThan">
      <formula>#REF!</formula>
    </cfRule>
  </conditionalFormatting>
  <printOptions horizontalCentered="1"/>
  <pageMargins left="0.15748031496062992" right="0.15748031496062992" top="0.23622047244094491" bottom="0.15748031496062992" header="0.15748031496062992" footer="0.15748031496062992"/>
  <pageSetup paperSize="9" scale="55" fitToHeight="3" orientation="landscape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>
      <selection activeCell="B4" sqref="B4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92</v>
      </c>
      <c r="M2" s="170" t="s">
        <v>45</v>
      </c>
      <c r="O2" s="183" t="s">
        <v>95</v>
      </c>
      <c r="P2" s="184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17000</v>
      </c>
      <c r="D6" s="10"/>
      <c r="E6" s="11">
        <v>18404</v>
      </c>
      <c r="F6" s="167">
        <v>28880</v>
      </c>
      <c r="G6" s="167">
        <v>28814</v>
      </c>
      <c r="H6" s="167">
        <v>17819</v>
      </c>
      <c r="I6" s="167">
        <v>12347</v>
      </c>
      <c r="J6" s="167">
        <v>14118</v>
      </c>
      <c r="K6" s="167">
        <v>3220</v>
      </c>
      <c r="L6" s="167">
        <v>15110</v>
      </c>
      <c r="M6" s="167">
        <v>14875</v>
      </c>
      <c r="N6" s="169">
        <v>9170</v>
      </c>
      <c r="O6" s="169">
        <v>14461</v>
      </c>
      <c r="P6" s="169">
        <v>14960</v>
      </c>
      <c r="Q6" s="169">
        <v>26548</v>
      </c>
      <c r="R6" s="169">
        <v>18220</v>
      </c>
      <c r="S6" s="169">
        <v>20905</v>
      </c>
      <c r="T6" s="169">
        <v>19663</v>
      </c>
      <c r="U6" s="169">
        <v>13242</v>
      </c>
      <c r="V6" s="169">
        <v>18739</v>
      </c>
      <c r="W6" s="169">
        <v>17265</v>
      </c>
      <c r="X6" s="34">
        <v>21040</v>
      </c>
      <c r="Y6" s="34">
        <v>30228</v>
      </c>
      <c r="Z6" s="175">
        <f>(SUM(F6:Y6)/(COUNT(F6:Y6)))</f>
        <v>17981.2</v>
      </c>
      <c r="AA6" s="103"/>
      <c r="AX6"/>
    </row>
    <row r="7" spans="1:50">
      <c r="B7" s="4" t="s">
        <v>64</v>
      </c>
      <c r="C7" s="20">
        <f t="shared" si="0"/>
        <v>4750</v>
      </c>
      <c r="D7" s="10"/>
      <c r="E7" s="11">
        <v>4795</v>
      </c>
      <c r="F7" s="167">
        <v>0</v>
      </c>
      <c r="G7" s="167">
        <v>18785</v>
      </c>
      <c r="H7" s="167">
        <v>14790</v>
      </c>
      <c r="I7" s="167">
        <v>7490</v>
      </c>
      <c r="J7" s="167">
        <v>11300</v>
      </c>
      <c r="K7" s="167">
        <v>0</v>
      </c>
      <c r="L7" s="167">
        <v>2695</v>
      </c>
      <c r="M7" s="167">
        <v>2695</v>
      </c>
      <c r="N7" s="169">
        <v>11390</v>
      </c>
      <c r="O7" s="169">
        <v>13390</v>
      </c>
      <c r="P7" s="169">
        <v>6000</v>
      </c>
      <c r="Q7" s="169">
        <v>0</v>
      </c>
      <c r="R7" s="169">
        <v>0</v>
      </c>
      <c r="S7" s="169">
        <v>10795</v>
      </c>
      <c r="T7" s="169">
        <v>6995</v>
      </c>
      <c r="U7" s="81">
        <v>0</v>
      </c>
      <c r="V7" s="169">
        <v>0</v>
      </c>
      <c r="W7" s="169">
        <v>0</v>
      </c>
      <c r="X7" s="34">
        <v>5390</v>
      </c>
      <c r="Y7" s="34">
        <v>0</v>
      </c>
      <c r="Z7" s="166">
        <f t="shared" ref="Z7:Z12" si="1">(SUM(F7:Y7)/(COUNT(F7:Y7)))</f>
        <v>5585.75</v>
      </c>
      <c r="AA7" s="103"/>
      <c r="AX7"/>
    </row>
    <row r="8" spans="1:50">
      <c r="B8" s="4" t="s">
        <v>77</v>
      </c>
      <c r="C8" s="20">
        <f t="shared" si="0"/>
        <v>4750</v>
      </c>
      <c r="D8" s="10"/>
      <c r="E8" s="11">
        <v>4695</v>
      </c>
      <c r="F8" s="163">
        <v>0</v>
      </c>
      <c r="G8">
        <v>0</v>
      </c>
      <c r="H8">
        <v>16375</v>
      </c>
      <c r="I8">
        <v>2695</v>
      </c>
      <c r="J8">
        <v>0</v>
      </c>
      <c r="K8">
        <v>8495</v>
      </c>
      <c r="L8">
        <v>0</v>
      </c>
      <c r="M8">
        <v>0</v>
      </c>
      <c r="N8" s="34">
        <v>9285</v>
      </c>
      <c r="O8" s="34">
        <v>2055</v>
      </c>
      <c r="P8" s="34">
        <v>2200</v>
      </c>
      <c r="Q8" s="34">
        <v>1050</v>
      </c>
      <c r="R8" s="34">
        <v>2695</v>
      </c>
      <c r="S8" s="34">
        <v>2600</v>
      </c>
      <c r="T8" s="34">
        <v>2695</v>
      </c>
      <c r="U8" s="81">
        <v>0</v>
      </c>
      <c r="V8" s="81">
        <v>0</v>
      </c>
      <c r="W8" s="81">
        <v>0</v>
      </c>
      <c r="X8" s="34">
        <v>4985</v>
      </c>
      <c r="Y8" s="34">
        <v>0</v>
      </c>
      <c r="Z8" s="157">
        <f t="shared" si="1"/>
        <v>2756.5</v>
      </c>
      <c r="AA8" s="103"/>
      <c r="AX8"/>
    </row>
    <row r="9" spans="1:50">
      <c r="B9" s="4" t="s">
        <v>1</v>
      </c>
      <c r="C9" s="20">
        <f t="shared" si="0"/>
        <v>13500</v>
      </c>
      <c r="D9" s="10"/>
      <c r="E9" s="11">
        <v>7995</v>
      </c>
      <c r="F9" s="168">
        <v>11240</v>
      </c>
      <c r="G9" s="167">
        <v>10165</v>
      </c>
      <c r="H9" s="167">
        <v>13480</v>
      </c>
      <c r="I9" s="167">
        <v>9490</v>
      </c>
      <c r="J9" s="167">
        <v>18780</v>
      </c>
      <c r="K9" s="167">
        <v>22725</v>
      </c>
      <c r="L9" s="167">
        <v>19230</v>
      </c>
      <c r="M9" s="167">
        <v>29470</v>
      </c>
      <c r="N9" s="169">
        <v>16485</v>
      </c>
      <c r="O9" s="169">
        <v>15535</v>
      </c>
      <c r="P9" s="169">
        <v>13485</v>
      </c>
      <c r="Q9" s="169">
        <v>11540</v>
      </c>
      <c r="R9" s="169">
        <v>18035</v>
      </c>
      <c r="S9" s="169">
        <v>11485</v>
      </c>
      <c r="T9" s="169">
        <v>22975</v>
      </c>
      <c r="U9" s="81">
        <v>0</v>
      </c>
      <c r="V9" s="169">
        <v>16480</v>
      </c>
      <c r="W9" s="169">
        <v>18880</v>
      </c>
      <c r="X9" s="34">
        <v>20830</v>
      </c>
      <c r="Y9" s="34">
        <v>20495</v>
      </c>
      <c r="Z9" s="166">
        <f t="shared" si="1"/>
        <v>16040.25</v>
      </c>
      <c r="AA9" s="103"/>
      <c r="AX9"/>
    </row>
    <row r="10" spans="1:50">
      <c r="B10" s="4" t="s">
        <v>2</v>
      </c>
      <c r="C10" s="20">
        <f t="shared" si="0"/>
        <v>7200</v>
      </c>
      <c r="D10" s="10"/>
      <c r="E10" s="11">
        <v>20772</v>
      </c>
      <c r="F10" s="165">
        <v>0</v>
      </c>
      <c r="G10">
        <v>10485</v>
      </c>
      <c r="H10">
        <v>2995</v>
      </c>
      <c r="I10">
        <v>7745</v>
      </c>
      <c r="J10">
        <v>2995</v>
      </c>
      <c r="K10">
        <v>8490</v>
      </c>
      <c r="L10">
        <v>7740</v>
      </c>
      <c r="M10" s="103">
        <v>2995</v>
      </c>
      <c r="N10" s="34">
        <v>2995</v>
      </c>
      <c r="O10" s="34">
        <v>5995</v>
      </c>
      <c r="P10" s="34">
        <v>8790</v>
      </c>
      <c r="Q10" s="34">
        <v>2995</v>
      </c>
      <c r="R10" s="34">
        <v>0</v>
      </c>
      <c r="S10" s="34">
        <v>0</v>
      </c>
      <c r="T10" s="34">
        <v>1995</v>
      </c>
      <c r="U10" s="81">
        <v>0</v>
      </c>
      <c r="V10" s="34">
        <v>0</v>
      </c>
      <c r="W10" s="34">
        <v>0</v>
      </c>
      <c r="X10" s="34">
        <v>4000</v>
      </c>
      <c r="Y10" s="34">
        <v>2995</v>
      </c>
      <c r="Z10" s="157">
        <f t="shared" si="1"/>
        <v>3660.5</v>
      </c>
      <c r="AA10" s="103"/>
      <c r="AX10"/>
    </row>
    <row r="11" spans="1:50">
      <c r="B11" s="4" t="s">
        <v>63</v>
      </c>
      <c r="C11" s="20">
        <f t="shared" si="0"/>
        <v>3500</v>
      </c>
      <c r="D11" s="10"/>
      <c r="E11" s="11">
        <v>0</v>
      </c>
      <c r="F11" s="163">
        <v>6326</v>
      </c>
      <c r="G11">
        <v>2995</v>
      </c>
      <c r="H11">
        <v>2861</v>
      </c>
      <c r="I11">
        <v>1327</v>
      </c>
      <c r="J11">
        <v>5102</v>
      </c>
      <c r="K11">
        <v>0</v>
      </c>
      <c r="L11">
        <v>1633</v>
      </c>
      <c r="M11" s="103">
        <v>1734</v>
      </c>
      <c r="N11" s="34">
        <v>2041</v>
      </c>
      <c r="O11" s="34">
        <v>0</v>
      </c>
      <c r="P11" s="34">
        <v>3265</v>
      </c>
      <c r="Q11" s="34">
        <v>0</v>
      </c>
      <c r="R11" s="34">
        <v>0</v>
      </c>
      <c r="S11" s="34">
        <v>3500</v>
      </c>
      <c r="T11" s="34">
        <v>1633</v>
      </c>
      <c r="U11" s="34">
        <v>0</v>
      </c>
      <c r="V11" s="34">
        <v>6995</v>
      </c>
      <c r="W11" s="34">
        <v>2396</v>
      </c>
      <c r="X11" s="34">
        <v>0</v>
      </c>
      <c r="Y11" s="34">
        <v>0</v>
      </c>
      <c r="Z11" s="157">
        <f t="shared" si="1"/>
        <v>2090.4</v>
      </c>
      <c r="AA11" s="103"/>
      <c r="AX11"/>
    </row>
    <row r="12" spans="1:50">
      <c r="B12" s="4" t="s">
        <v>3</v>
      </c>
      <c r="C12" s="21">
        <f t="shared" si="0"/>
        <v>15500</v>
      </c>
      <c r="D12" s="13"/>
      <c r="E12" s="40">
        <v>51510</v>
      </c>
      <c r="F12" s="164">
        <v>9653</v>
      </c>
      <c r="G12" s="129">
        <v>13779</v>
      </c>
      <c r="H12" s="129">
        <v>13531</v>
      </c>
      <c r="I12" s="129">
        <v>12413</v>
      </c>
      <c r="J12" s="129">
        <v>17441</v>
      </c>
      <c r="K12" s="129">
        <v>11867</v>
      </c>
      <c r="L12" s="129">
        <v>14104</v>
      </c>
      <c r="M12" s="129">
        <v>12783</v>
      </c>
      <c r="N12" s="35">
        <v>14256</v>
      </c>
      <c r="O12" s="35">
        <v>2981</v>
      </c>
      <c r="P12" s="35">
        <v>10202</v>
      </c>
      <c r="Q12" s="35">
        <v>13493</v>
      </c>
      <c r="R12" s="35">
        <v>13185</v>
      </c>
      <c r="S12" s="35">
        <v>22489</v>
      </c>
      <c r="T12" s="35">
        <v>18138</v>
      </c>
      <c r="U12" s="35">
        <v>19406</v>
      </c>
      <c r="V12" s="35">
        <v>14107</v>
      </c>
      <c r="W12" s="35">
        <v>11740</v>
      </c>
      <c r="X12" s="35">
        <v>10789</v>
      </c>
      <c r="Y12" s="35">
        <v>14518</v>
      </c>
      <c r="Z12" s="157">
        <f t="shared" si="1"/>
        <v>13543.75</v>
      </c>
      <c r="AA12" s="103"/>
      <c r="AX12"/>
    </row>
    <row r="13" spans="1:50">
      <c r="B13" s="14" t="s">
        <v>27</v>
      </c>
      <c r="C13" s="20">
        <f>SUM(C6:C12)</f>
        <v>66200</v>
      </c>
      <c r="D13" s="10"/>
      <c r="E13" s="11">
        <f t="shared" ref="E13:Y13" si="2">SUM(E6:E12)</f>
        <v>108171</v>
      </c>
      <c r="F13" s="10">
        <f t="shared" si="2"/>
        <v>56099</v>
      </c>
      <c r="G13" s="10">
        <f t="shared" si="2"/>
        <v>85023</v>
      </c>
      <c r="H13" s="10">
        <f t="shared" si="2"/>
        <v>81851</v>
      </c>
      <c r="I13" s="10">
        <f t="shared" si="2"/>
        <v>53507</v>
      </c>
      <c r="J13" s="10">
        <f t="shared" si="2"/>
        <v>69736</v>
      </c>
      <c r="K13" s="10">
        <f t="shared" si="2"/>
        <v>54797</v>
      </c>
      <c r="L13" s="10">
        <f t="shared" si="2"/>
        <v>60512</v>
      </c>
      <c r="M13" s="10">
        <f t="shared" si="2"/>
        <v>64552</v>
      </c>
      <c r="N13" s="10">
        <f t="shared" si="2"/>
        <v>65622</v>
      </c>
      <c r="O13" s="10">
        <f t="shared" si="2"/>
        <v>54417</v>
      </c>
      <c r="P13" s="10">
        <f t="shared" si="2"/>
        <v>58902</v>
      </c>
      <c r="Q13" s="10">
        <f t="shared" si="2"/>
        <v>55626</v>
      </c>
      <c r="R13" s="10">
        <f t="shared" si="2"/>
        <v>52135</v>
      </c>
      <c r="S13" s="10">
        <f t="shared" si="2"/>
        <v>71774</v>
      </c>
      <c r="T13" s="10">
        <f t="shared" si="2"/>
        <v>74094</v>
      </c>
      <c r="U13" s="10">
        <f t="shared" si="2"/>
        <v>32648</v>
      </c>
      <c r="V13" s="10">
        <f t="shared" si="2"/>
        <v>56321</v>
      </c>
      <c r="W13" s="10">
        <f t="shared" si="2"/>
        <v>50281</v>
      </c>
      <c r="X13" s="10">
        <f t="shared" si="2"/>
        <v>67034</v>
      </c>
      <c r="Y13" s="10">
        <f t="shared" si="2"/>
        <v>68236</v>
      </c>
      <c r="Z13" s="67"/>
      <c r="AA13" s="103"/>
      <c r="AX13"/>
    </row>
    <row r="14" spans="1:50" s="1" customFormat="1" ht="15.7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162">
        <f>(SUM(F13:Y13)/(COUNT(F13:Y13)))</f>
        <v>61658.35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 t="shared" ref="F17:Y17" si="3">+F5</f>
        <v>Day 1</v>
      </c>
      <c r="G17" s="23" t="str">
        <f t="shared" si="3"/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18" si="5">(F6-$C6)/$C6+1</f>
        <v>1.6988235294117646</v>
      </c>
      <c r="G18" s="25">
        <f t="shared" si="5"/>
        <v>1.6949411764705884</v>
      </c>
      <c r="H18" s="25">
        <f t="shared" si="5"/>
        <v>1.0481764705882353</v>
      </c>
      <c r="I18" s="25">
        <f t="shared" si="5"/>
        <v>0.72629411764705876</v>
      </c>
      <c r="J18" s="25">
        <f t="shared" si="5"/>
        <v>0.83047058823529407</v>
      </c>
      <c r="K18" s="25">
        <f t="shared" si="5"/>
        <v>0.18941176470588239</v>
      </c>
      <c r="L18" s="25">
        <f t="shared" si="5"/>
        <v>0.88882352941176468</v>
      </c>
      <c r="M18" s="25">
        <f t="shared" si="5"/>
        <v>0.875</v>
      </c>
      <c r="N18" s="25">
        <f t="shared" si="5"/>
        <v>0.53941176470588237</v>
      </c>
      <c r="O18" s="25">
        <f t="shared" si="5"/>
        <v>0.85064705882352942</v>
      </c>
      <c r="P18" s="25">
        <f t="shared" si="5"/>
        <v>0.88</v>
      </c>
      <c r="Q18" s="25">
        <f t="shared" si="5"/>
        <v>1.5616470588235294</v>
      </c>
      <c r="R18" s="25">
        <f t="shared" si="5"/>
        <v>1.071764705882353</v>
      </c>
      <c r="S18" s="25">
        <f t="shared" si="5"/>
        <v>1.2297058823529412</v>
      </c>
      <c r="T18" s="25">
        <f t="shared" si="5"/>
        <v>1.1566470588235294</v>
      </c>
      <c r="U18" s="25">
        <f t="shared" si="5"/>
        <v>0.77894117647058825</v>
      </c>
      <c r="V18" s="25">
        <f t="shared" si="5"/>
        <v>1.1022941176470589</v>
      </c>
      <c r="W18" s="25">
        <f t="shared" si="5"/>
        <v>1.0155882352941177</v>
      </c>
      <c r="X18" s="25">
        <f t="shared" si="5"/>
        <v>1.2376470588235293</v>
      </c>
      <c r="Y18" s="25">
        <f t="shared" si="5"/>
        <v>1.7781176470588236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ref="F19:Y19" si="6">(F7-$C7)/$C7+1</f>
        <v>0</v>
      </c>
      <c r="G19" s="25">
        <f t="shared" si="6"/>
        <v>3.9547368421052633</v>
      </c>
      <c r="H19" s="25">
        <f t="shared" si="6"/>
        <v>3.1136842105263156</v>
      </c>
      <c r="I19" s="25">
        <f t="shared" si="6"/>
        <v>1.5768421052631578</v>
      </c>
      <c r="J19" s="25">
        <f t="shared" si="6"/>
        <v>2.3789473684210529</v>
      </c>
      <c r="K19" s="25">
        <f t="shared" si="6"/>
        <v>0</v>
      </c>
      <c r="L19" s="25">
        <f t="shared" si="6"/>
        <v>0.56736842105263152</v>
      </c>
      <c r="M19" s="25">
        <f t="shared" si="6"/>
        <v>0.56736842105263152</v>
      </c>
      <c r="N19" s="25">
        <f t="shared" si="6"/>
        <v>2.3978947368421055</v>
      </c>
      <c r="O19" s="25">
        <f t="shared" si="6"/>
        <v>2.8189473684210524</v>
      </c>
      <c r="P19" s="25">
        <f t="shared" si="6"/>
        <v>1.263157894736842</v>
      </c>
      <c r="Q19" s="25">
        <f t="shared" si="6"/>
        <v>0</v>
      </c>
      <c r="R19" s="25">
        <f t="shared" si="6"/>
        <v>0</v>
      </c>
      <c r="S19" s="25">
        <f t="shared" si="6"/>
        <v>2.2726315789473683</v>
      </c>
      <c r="T19" s="25">
        <f t="shared" si="6"/>
        <v>1.4726315789473685</v>
      </c>
      <c r="U19" s="25">
        <f t="shared" si="6"/>
        <v>0</v>
      </c>
      <c r="V19" s="25">
        <f t="shared" si="6"/>
        <v>0</v>
      </c>
      <c r="W19" s="25">
        <f t="shared" si="6"/>
        <v>0</v>
      </c>
      <c r="X19" s="25">
        <f t="shared" si="6"/>
        <v>1.134736842105263</v>
      </c>
      <c r="Y19" s="25">
        <f t="shared" si="6"/>
        <v>0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ref="F20:Y20" si="7">(F8-$C8)/$C8+1</f>
        <v>0</v>
      </c>
      <c r="G20" s="25">
        <f t="shared" si="7"/>
        <v>0</v>
      </c>
      <c r="H20" s="25">
        <f t="shared" si="7"/>
        <v>3.4473684210526314</v>
      </c>
      <c r="I20" s="25">
        <f t="shared" si="7"/>
        <v>0.56736842105263152</v>
      </c>
      <c r="J20" s="25">
        <f t="shared" si="7"/>
        <v>0</v>
      </c>
      <c r="K20" s="25">
        <f t="shared" si="7"/>
        <v>1.7884210526315789</v>
      </c>
      <c r="L20" s="25">
        <f t="shared" si="7"/>
        <v>0</v>
      </c>
      <c r="M20" s="25">
        <f t="shared" si="7"/>
        <v>0</v>
      </c>
      <c r="N20" s="25">
        <f t="shared" si="7"/>
        <v>1.9547368421052631</v>
      </c>
      <c r="O20" s="25">
        <f t="shared" si="7"/>
        <v>0.43263157894736837</v>
      </c>
      <c r="P20" s="25">
        <f t="shared" si="7"/>
        <v>0.4631578947368421</v>
      </c>
      <c r="Q20" s="25">
        <f t="shared" si="7"/>
        <v>0.22105263157894739</v>
      </c>
      <c r="R20" s="25">
        <f t="shared" si="7"/>
        <v>0.56736842105263152</v>
      </c>
      <c r="S20" s="25">
        <f t="shared" si="7"/>
        <v>0.5473684210526315</v>
      </c>
      <c r="T20" s="25">
        <f t="shared" si="7"/>
        <v>0.56736842105263152</v>
      </c>
      <c r="U20" s="25">
        <f t="shared" si="7"/>
        <v>0</v>
      </c>
      <c r="V20" s="25">
        <f t="shared" si="7"/>
        <v>0</v>
      </c>
      <c r="W20" s="25">
        <f t="shared" si="7"/>
        <v>0</v>
      </c>
      <c r="X20" s="25">
        <f t="shared" si="7"/>
        <v>1.0494736842105263</v>
      </c>
      <c r="Y20" s="25">
        <f t="shared" si="7"/>
        <v>0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 t="shared" ref="F21:Y21" si="8">(F9-$C9)/$C9+1</f>
        <v>0.83259259259259255</v>
      </c>
      <c r="G21" s="25">
        <f t="shared" si="8"/>
        <v>0.75296296296296295</v>
      </c>
      <c r="H21" s="25">
        <f t="shared" si="8"/>
        <v>0.99851851851851847</v>
      </c>
      <c r="I21" s="25">
        <f t="shared" si="8"/>
        <v>0.70296296296296301</v>
      </c>
      <c r="J21" s="25">
        <f t="shared" si="8"/>
        <v>1.3911111111111112</v>
      </c>
      <c r="K21" s="25">
        <f t="shared" si="8"/>
        <v>1.6833333333333333</v>
      </c>
      <c r="L21" s="25">
        <f t="shared" si="8"/>
        <v>1.4244444444444444</v>
      </c>
      <c r="M21" s="25">
        <f t="shared" si="8"/>
        <v>2.182962962962963</v>
      </c>
      <c r="N21" s="25">
        <f t="shared" si="8"/>
        <v>1.221111111111111</v>
      </c>
      <c r="O21" s="25">
        <f t="shared" si="8"/>
        <v>1.1507407407407406</v>
      </c>
      <c r="P21" s="25">
        <f t="shared" si="8"/>
        <v>0.99888888888888894</v>
      </c>
      <c r="Q21" s="25">
        <f t="shared" si="8"/>
        <v>0.85481481481481481</v>
      </c>
      <c r="R21" s="25">
        <f t="shared" si="8"/>
        <v>1.335925925925926</v>
      </c>
      <c r="S21" s="25">
        <f t="shared" si="8"/>
        <v>0.8507407407407408</v>
      </c>
      <c r="T21" s="25">
        <f t="shared" si="8"/>
        <v>1.7018518518518517</v>
      </c>
      <c r="U21" s="25">
        <f t="shared" si="8"/>
        <v>0</v>
      </c>
      <c r="V21" s="25">
        <f t="shared" si="8"/>
        <v>1.2207407407407407</v>
      </c>
      <c r="W21" s="25">
        <f t="shared" si="8"/>
        <v>1.3985185185185185</v>
      </c>
      <c r="X21" s="25">
        <f t="shared" si="8"/>
        <v>1.5429629629629629</v>
      </c>
      <c r="Y21" s="25">
        <f t="shared" si="8"/>
        <v>1.518148148148148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2" si="9">(F10-$C10)/$C10+1</f>
        <v>0</v>
      </c>
      <c r="G22" s="25">
        <f t="shared" si="9"/>
        <v>1.45625</v>
      </c>
      <c r="H22" s="25">
        <f t="shared" si="9"/>
        <v>0.41597222222222219</v>
      </c>
      <c r="I22" s="25">
        <f t="shared" si="9"/>
        <v>1.0756944444444445</v>
      </c>
      <c r="J22" s="25">
        <f t="shared" si="9"/>
        <v>0.41597222222222219</v>
      </c>
      <c r="K22" s="25">
        <f t="shared" si="9"/>
        <v>1.1791666666666667</v>
      </c>
      <c r="L22" s="25">
        <f t="shared" si="9"/>
        <v>1.075</v>
      </c>
      <c r="M22" s="25">
        <f t="shared" si="9"/>
        <v>0.41597222222222219</v>
      </c>
      <c r="N22" s="25">
        <f t="shared" si="9"/>
        <v>0.41597222222222219</v>
      </c>
      <c r="O22" s="25">
        <f t="shared" si="9"/>
        <v>0.83263888888888893</v>
      </c>
      <c r="P22" s="25">
        <f t="shared" si="9"/>
        <v>1.2208333333333332</v>
      </c>
      <c r="Q22" s="25">
        <f t="shared" si="9"/>
        <v>0.41597222222222219</v>
      </c>
      <c r="R22" s="25">
        <f t="shared" si="9"/>
        <v>0</v>
      </c>
      <c r="S22" s="25">
        <f t="shared" si="9"/>
        <v>0</v>
      </c>
      <c r="T22" s="25">
        <f t="shared" si="9"/>
        <v>0.27708333333333335</v>
      </c>
      <c r="U22" s="25">
        <f t="shared" si="9"/>
        <v>0</v>
      </c>
      <c r="V22" s="25">
        <f t="shared" si="9"/>
        <v>0</v>
      </c>
      <c r="W22" s="25">
        <f t="shared" si="9"/>
        <v>0</v>
      </c>
      <c r="X22" s="25">
        <f t="shared" si="9"/>
        <v>0.55555555555555558</v>
      </c>
      <c r="Y22" s="25">
        <f t="shared" si="9"/>
        <v>0.41597222222222219</v>
      </c>
      <c r="Z22" s="104"/>
      <c r="AA22" s="104"/>
    </row>
    <row r="23" spans="2:50" s="1" customFormat="1" ht="12.75">
      <c r="B23" s="4" t="s">
        <v>63</v>
      </c>
      <c r="C23" s="25">
        <f t="shared" si="4"/>
        <v>1</v>
      </c>
      <c r="D23" s="25"/>
      <c r="E23" s="25"/>
      <c r="F23" s="25">
        <f t="shared" ref="F23:Y23" si="10">(F11-$C11)/$C11+1</f>
        <v>1.8074285714285714</v>
      </c>
      <c r="G23" s="25">
        <f t="shared" si="10"/>
        <v>0.85571428571428565</v>
      </c>
      <c r="H23" s="25">
        <f t="shared" si="10"/>
        <v>0.81742857142857139</v>
      </c>
      <c r="I23" s="25">
        <f t="shared" si="10"/>
        <v>0.37914285714285711</v>
      </c>
      <c r="J23" s="25">
        <f t="shared" si="10"/>
        <v>1.4577142857142857</v>
      </c>
      <c r="K23" s="25">
        <f t="shared" si="10"/>
        <v>0</v>
      </c>
      <c r="L23" s="25">
        <f t="shared" si="10"/>
        <v>0.46657142857142853</v>
      </c>
      <c r="M23" s="25">
        <f t="shared" si="10"/>
        <v>0.49542857142857144</v>
      </c>
      <c r="N23" s="25">
        <f t="shared" si="10"/>
        <v>0.58314285714285718</v>
      </c>
      <c r="O23" s="25">
        <f t="shared" si="10"/>
        <v>0</v>
      </c>
      <c r="P23" s="25">
        <f t="shared" si="10"/>
        <v>0.93285714285714283</v>
      </c>
      <c r="Q23" s="25">
        <f t="shared" si="10"/>
        <v>0</v>
      </c>
      <c r="R23" s="25">
        <f t="shared" si="10"/>
        <v>0</v>
      </c>
      <c r="S23" s="25">
        <f t="shared" si="10"/>
        <v>1</v>
      </c>
      <c r="T23" s="25">
        <f t="shared" si="10"/>
        <v>0.46657142857142853</v>
      </c>
      <c r="U23" s="25">
        <f t="shared" si="10"/>
        <v>0</v>
      </c>
      <c r="V23" s="25">
        <f t="shared" si="10"/>
        <v>1.9985714285714287</v>
      </c>
      <c r="W23" s="25">
        <f t="shared" si="10"/>
        <v>0.68457142857142861</v>
      </c>
      <c r="X23" s="25">
        <f t="shared" si="10"/>
        <v>0</v>
      </c>
      <c r="Y23" s="25">
        <f t="shared" si="10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ref="F24:Y24" si="11">(F12-$C12)/$C12+1</f>
        <v>0.62277419354838703</v>
      </c>
      <c r="G24" s="27">
        <f t="shared" si="11"/>
        <v>0.88896774193548389</v>
      </c>
      <c r="H24" s="27">
        <f t="shared" si="11"/>
        <v>0.87296774193548388</v>
      </c>
      <c r="I24" s="27">
        <f t="shared" si="11"/>
        <v>0.80083870967741932</v>
      </c>
      <c r="J24" s="27">
        <f t="shared" si="11"/>
        <v>1.125225806451613</v>
      </c>
      <c r="K24" s="27">
        <f t="shared" si="11"/>
        <v>0.76561290322580644</v>
      </c>
      <c r="L24" s="27">
        <f t="shared" si="11"/>
        <v>0.90993548387096779</v>
      </c>
      <c r="M24" s="27">
        <f t="shared" si="11"/>
        <v>0.82470967741935486</v>
      </c>
      <c r="N24" s="27">
        <f t="shared" si="11"/>
        <v>0.91974193548387095</v>
      </c>
      <c r="O24" s="27">
        <f t="shared" si="11"/>
        <v>0.19232258064516128</v>
      </c>
      <c r="P24" s="27">
        <f t="shared" si="11"/>
        <v>0.65819354838709676</v>
      </c>
      <c r="Q24" s="27">
        <f t="shared" si="11"/>
        <v>0.87051612903225806</v>
      </c>
      <c r="R24" s="27">
        <f t="shared" si="11"/>
        <v>0.85064516129032253</v>
      </c>
      <c r="S24" s="27">
        <f t="shared" si="11"/>
        <v>1.4509032258064516</v>
      </c>
      <c r="T24" s="27">
        <f t="shared" si="11"/>
        <v>1.1701935483870969</v>
      </c>
      <c r="U24" s="27">
        <f t="shared" si="11"/>
        <v>1.252</v>
      </c>
      <c r="V24" s="27">
        <f t="shared" si="11"/>
        <v>0.91012903225806452</v>
      </c>
      <c r="W24" s="27">
        <f t="shared" si="11"/>
        <v>0.7574193548387097</v>
      </c>
      <c r="X24" s="27">
        <f t="shared" si="11"/>
        <v>0.6960645161290322</v>
      </c>
      <c r="Y24" s="27">
        <f t="shared" si="11"/>
        <v>0.9366451612903226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 t="shared" ref="F25:Y25" si="12">(F13-$C13)/$C13+1</f>
        <v>0.84741691842900302</v>
      </c>
      <c r="G25" s="25">
        <f t="shared" si="12"/>
        <v>1.284335347432024</v>
      </c>
      <c r="H25" s="25">
        <f t="shared" si="12"/>
        <v>1.2364199395770392</v>
      </c>
      <c r="I25" s="25">
        <f t="shared" si="12"/>
        <v>0.80826283987915404</v>
      </c>
      <c r="J25" s="25">
        <f t="shared" si="12"/>
        <v>1.0534138972809668</v>
      </c>
      <c r="K25" s="25">
        <f t="shared" si="12"/>
        <v>0.82774924471299094</v>
      </c>
      <c r="L25" s="25">
        <f t="shared" si="12"/>
        <v>0.91407854984894255</v>
      </c>
      <c r="M25" s="25">
        <f t="shared" si="12"/>
        <v>0.97510574018126883</v>
      </c>
      <c r="N25" s="25">
        <f t="shared" si="12"/>
        <v>0.99126888217522657</v>
      </c>
      <c r="O25" s="25">
        <f t="shared" si="12"/>
        <v>0.82200906344410873</v>
      </c>
      <c r="P25" s="25">
        <f t="shared" si="12"/>
        <v>0.88975830815709966</v>
      </c>
      <c r="Q25" s="25">
        <f t="shared" si="12"/>
        <v>0.84027190332326285</v>
      </c>
      <c r="R25" s="25">
        <f t="shared" si="12"/>
        <v>0.7875377643504532</v>
      </c>
      <c r="S25" s="25">
        <f t="shared" si="12"/>
        <v>1.0841993957703928</v>
      </c>
      <c r="T25" s="25">
        <f t="shared" si="12"/>
        <v>1.1192447129909366</v>
      </c>
      <c r="U25" s="25">
        <f t="shared" si="12"/>
        <v>0.4931722054380665</v>
      </c>
      <c r="V25" s="25">
        <f t="shared" si="12"/>
        <v>0.85077039274924471</v>
      </c>
      <c r="W25" s="25">
        <f t="shared" si="12"/>
        <v>0.75953172205438069</v>
      </c>
      <c r="X25" s="25">
        <f t="shared" si="12"/>
        <v>1.0125981873111782</v>
      </c>
      <c r="Y25" s="25">
        <f t="shared" si="12"/>
        <v>1.0307552870090635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 t="shared" ref="F27:Y27" si="13">+F1/$Y$1</f>
        <v>0.05</v>
      </c>
      <c r="G27" s="49">
        <f t="shared" si="13"/>
        <v>0.1</v>
      </c>
      <c r="H27" s="49">
        <f t="shared" si="13"/>
        <v>0.15</v>
      </c>
      <c r="I27" s="49">
        <f t="shared" si="13"/>
        <v>0.2</v>
      </c>
      <c r="J27" s="49">
        <f t="shared" si="13"/>
        <v>0.25</v>
      </c>
      <c r="K27" s="49">
        <f t="shared" si="13"/>
        <v>0.3</v>
      </c>
      <c r="L27" s="49">
        <f t="shared" si="13"/>
        <v>0.35</v>
      </c>
      <c r="M27" s="49">
        <f t="shared" si="13"/>
        <v>0.4</v>
      </c>
      <c r="N27" s="49">
        <f t="shared" si="13"/>
        <v>0.45</v>
      </c>
      <c r="O27" s="49">
        <f t="shared" si="13"/>
        <v>0.5</v>
      </c>
      <c r="P27" s="49">
        <f t="shared" si="13"/>
        <v>0.55000000000000004</v>
      </c>
      <c r="Q27" s="49">
        <f t="shared" si="13"/>
        <v>0.6</v>
      </c>
      <c r="R27" s="49">
        <f t="shared" si="13"/>
        <v>0.65</v>
      </c>
      <c r="S27" s="49">
        <f t="shared" si="13"/>
        <v>0.7</v>
      </c>
      <c r="T27" s="49">
        <f t="shared" si="13"/>
        <v>0.75</v>
      </c>
      <c r="U27" s="49">
        <f t="shared" si="13"/>
        <v>0.8</v>
      </c>
      <c r="V27" s="49">
        <f t="shared" si="13"/>
        <v>0.85</v>
      </c>
      <c r="W27" s="49">
        <f t="shared" si="13"/>
        <v>0.9</v>
      </c>
      <c r="X27" s="49">
        <f t="shared" si="13"/>
        <v>0.95</v>
      </c>
      <c r="Y27" s="49">
        <f t="shared" si="13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14">+F17</f>
        <v>Day 1</v>
      </c>
      <c r="G28" s="4" t="str">
        <f t="shared" si="14"/>
        <v>Day 2</v>
      </c>
      <c r="H28" s="4" t="str">
        <f t="shared" si="14"/>
        <v>Day 3</v>
      </c>
      <c r="I28" s="4" t="str">
        <f t="shared" si="14"/>
        <v>Day 4</v>
      </c>
      <c r="J28" s="4" t="str">
        <f t="shared" si="14"/>
        <v>Day 5</v>
      </c>
      <c r="K28" s="4" t="str">
        <f t="shared" si="14"/>
        <v>Day 6</v>
      </c>
      <c r="L28" s="4" t="str">
        <f t="shared" si="14"/>
        <v>Day 7</v>
      </c>
      <c r="M28" s="4" t="str">
        <f t="shared" si="14"/>
        <v>Day 8</v>
      </c>
      <c r="N28" s="4" t="str">
        <f t="shared" si="14"/>
        <v>Day 9</v>
      </c>
      <c r="O28" s="4" t="str">
        <f t="shared" si="14"/>
        <v>Day 10</v>
      </c>
      <c r="P28" s="4" t="str">
        <f t="shared" si="14"/>
        <v>Day 11</v>
      </c>
      <c r="Q28" s="4" t="str">
        <f t="shared" si="14"/>
        <v>Day 12</v>
      </c>
      <c r="R28" s="4" t="str">
        <f t="shared" si="14"/>
        <v>Day 13</v>
      </c>
      <c r="S28" s="4" t="str">
        <f t="shared" si="14"/>
        <v>Day 14</v>
      </c>
      <c r="T28" s="4" t="str">
        <f t="shared" si="14"/>
        <v>Day 15</v>
      </c>
      <c r="U28" s="4" t="str">
        <f t="shared" si="14"/>
        <v>Day 16</v>
      </c>
      <c r="V28" s="4" t="str">
        <f t="shared" si="14"/>
        <v>Day 17</v>
      </c>
      <c r="W28" s="4" t="str">
        <f t="shared" si="14"/>
        <v>Day 18</v>
      </c>
      <c r="X28" s="4" t="str">
        <f t="shared" si="14"/>
        <v>Day 19</v>
      </c>
      <c r="Y28" s="4" t="str">
        <f t="shared" si="14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69">
        <v>51096</v>
      </c>
      <c r="G29" s="167">
        <v>76844</v>
      </c>
      <c r="H29" s="167">
        <v>94664</v>
      </c>
      <c r="I29" s="167">
        <v>107011</v>
      </c>
      <c r="J29" s="167">
        <v>121129</v>
      </c>
      <c r="K29" s="167">
        <v>124349</v>
      </c>
      <c r="L29" s="167">
        <v>139459</v>
      </c>
      <c r="M29" s="167">
        <v>154334</v>
      </c>
      <c r="N29" s="169">
        <v>163504</v>
      </c>
      <c r="O29" s="169">
        <v>176345</v>
      </c>
      <c r="P29" s="169">
        <v>192925</v>
      </c>
      <c r="Q29" s="169">
        <v>213574</v>
      </c>
      <c r="R29" s="169">
        <v>225899</v>
      </c>
      <c r="S29" s="169">
        <v>246804</v>
      </c>
      <c r="T29" s="169">
        <v>266554</v>
      </c>
      <c r="U29" s="169">
        <v>279796</v>
      </c>
      <c r="V29" s="169">
        <v>298536</v>
      </c>
      <c r="W29" s="169">
        <v>315801</v>
      </c>
      <c r="X29" s="169">
        <v>336200</v>
      </c>
      <c r="Y29" s="169">
        <v>363193</v>
      </c>
      <c r="Z29" s="109">
        <f t="shared" ref="Z29:Z36" si="15">+Y29/C52</f>
        <v>1.068214705882353</v>
      </c>
      <c r="AA29" s="145">
        <f t="shared" ref="AA29:AA36" si="16">+Z29-Y$27</f>
        <v>6.8214705882353011E-2</v>
      </c>
      <c r="AX29"/>
    </row>
    <row r="30" spans="2:50">
      <c r="B30" s="4" t="str">
        <f>+B19</f>
        <v>Latin America</v>
      </c>
      <c r="C30" s="4"/>
      <c r="D30" s="4"/>
      <c r="E30" s="23"/>
      <c r="F30" s="169">
        <v>4795</v>
      </c>
      <c r="G30" s="167">
        <v>23580</v>
      </c>
      <c r="H30" s="167">
        <v>38370</v>
      </c>
      <c r="I30" s="167">
        <v>45860</v>
      </c>
      <c r="J30" s="167">
        <v>57160</v>
      </c>
      <c r="K30" s="167">
        <v>57160</v>
      </c>
      <c r="L30" s="167">
        <v>58855</v>
      </c>
      <c r="M30" s="167">
        <v>61550</v>
      </c>
      <c r="N30" s="169">
        <v>62945</v>
      </c>
      <c r="O30" s="169">
        <v>76335</v>
      </c>
      <c r="P30" s="169">
        <v>82335</v>
      </c>
      <c r="Q30" s="169">
        <v>82335</v>
      </c>
      <c r="R30" s="169">
        <v>82335</v>
      </c>
      <c r="S30" s="169">
        <v>93130</v>
      </c>
      <c r="T30" s="169">
        <v>100125</v>
      </c>
      <c r="U30" s="169">
        <v>100125</v>
      </c>
      <c r="V30" s="169">
        <v>100125</v>
      </c>
      <c r="W30" s="169">
        <v>100125</v>
      </c>
      <c r="X30" s="169">
        <v>105515</v>
      </c>
      <c r="Y30" s="169">
        <v>105515</v>
      </c>
      <c r="Z30" s="109">
        <f t="shared" si="15"/>
        <v>1.1106842105263157</v>
      </c>
      <c r="AA30" s="146">
        <f t="shared" si="16"/>
        <v>0.11068421052631572</v>
      </c>
      <c r="AX30"/>
    </row>
    <row r="31" spans="2:50">
      <c r="B31" s="4" t="str">
        <f>+B20</f>
        <v>Brazil</v>
      </c>
      <c r="C31" s="4"/>
      <c r="D31" s="4"/>
      <c r="E31" s="23"/>
      <c r="F31" s="122">
        <v>4695</v>
      </c>
      <c r="G31">
        <v>4695</v>
      </c>
      <c r="H31">
        <v>21070</v>
      </c>
      <c r="I31">
        <v>21070</v>
      </c>
      <c r="J31">
        <v>23765</v>
      </c>
      <c r="K31">
        <v>23765</v>
      </c>
      <c r="L31">
        <v>32260</v>
      </c>
      <c r="M31">
        <v>32260</v>
      </c>
      <c r="N31" s="34">
        <v>41545</v>
      </c>
      <c r="O31" s="34">
        <v>43600</v>
      </c>
      <c r="P31" s="34">
        <v>45800</v>
      </c>
      <c r="Q31" s="34">
        <v>46850</v>
      </c>
      <c r="R31" s="34">
        <v>49545</v>
      </c>
      <c r="S31" s="34">
        <v>52145</v>
      </c>
      <c r="T31" s="34">
        <v>54840</v>
      </c>
      <c r="U31" s="34">
        <v>54840</v>
      </c>
      <c r="V31" s="34">
        <v>54840</v>
      </c>
      <c r="W31" s="34">
        <v>54840</v>
      </c>
      <c r="X31" s="34">
        <v>57535</v>
      </c>
      <c r="Y31" s="34">
        <v>57535</v>
      </c>
      <c r="Z31" s="109">
        <f t="shared" si="15"/>
        <v>0.60563157894736841</v>
      </c>
      <c r="AA31" s="146">
        <f t="shared" si="16"/>
        <v>-0.39436842105263159</v>
      </c>
      <c r="AX31"/>
    </row>
    <row r="32" spans="2:50">
      <c r="B32" s="4" t="str">
        <f>+B21</f>
        <v>Boston</v>
      </c>
      <c r="C32" s="4"/>
      <c r="D32" s="4"/>
      <c r="E32" s="23"/>
      <c r="F32" s="171">
        <v>13490</v>
      </c>
      <c r="G32" s="103">
        <v>18160</v>
      </c>
      <c r="H32" s="103">
        <v>22655</v>
      </c>
      <c r="I32" s="103">
        <v>30645</v>
      </c>
      <c r="J32" s="103">
        <v>54420</v>
      </c>
      <c r="K32" s="103">
        <v>77145</v>
      </c>
      <c r="L32" s="103">
        <v>89880</v>
      </c>
      <c r="M32" s="103">
        <v>116860</v>
      </c>
      <c r="N32" s="171">
        <v>127850</v>
      </c>
      <c r="O32" s="171">
        <v>132395</v>
      </c>
      <c r="P32" s="171">
        <v>147880</v>
      </c>
      <c r="Q32" s="34">
        <v>147880</v>
      </c>
      <c r="R32" s="34">
        <v>169915</v>
      </c>
      <c r="S32" s="34">
        <v>178405</v>
      </c>
      <c r="T32" s="34">
        <v>193390</v>
      </c>
      <c r="U32" s="34">
        <v>193390</v>
      </c>
      <c r="V32" s="34">
        <v>206875</v>
      </c>
      <c r="W32" s="34">
        <v>223756</v>
      </c>
      <c r="X32" s="34">
        <v>247576</v>
      </c>
      <c r="Y32" s="34">
        <v>281061</v>
      </c>
      <c r="Z32" s="109">
        <f t="shared" si="15"/>
        <v>1.0409666666666666</v>
      </c>
      <c r="AA32" s="174">
        <f t="shared" si="16"/>
        <v>4.0966666666666596E-2</v>
      </c>
      <c r="AX32"/>
    </row>
    <row r="33" spans="2:50" s="4" customFormat="1">
      <c r="B33" s="4" t="str">
        <f>+B22</f>
        <v>Canada</v>
      </c>
      <c r="E33" s="23"/>
      <c r="F33" s="171">
        <v>20772</v>
      </c>
      <c r="G33" s="103">
        <v>26267</v>
      </c>
      <c r="H33" s="103">
        <v>31257</v>
      </c>
      <c r="I33" s="103">
        <v>37252</v>
      </c>
      <c r="J33" s="103">
        <v>41997</v>
      </c>
      <c r="K33" s="103">
        <v>50487</v>
      </c>
      <c r="L33" s="103">
        <v>55232</v>
      </c>
      <c r="M33" s="103">
        <v>55232</v>
      </c>
      <c r="N33" s="171">
        <v>61222</v>
      </c>
      <c r="O33" s="34">
        <v>66717</v>
      </c>
      <c r="P33" s="34">
        <v>67217</v>
      </c>
      <c r="Q33" s="34">
        <v>79002</v>
      </c>
      <c r="R33" s="34">
        <v>79002</v>
      </c>
      <c r="S33" s="34">
        <v>79002</v>
      </c>
      <c r="T33" s="34">
        <v>80997</v>
      </c>
      <c r="U33" s="34">
        <v>80997</v>
      </c>
      <c r="V33" s="34">
        <v>80997</v>
      </c>
      <c r="W33" s="34">
        <v>80997</v>
      </c>
      <c r="X33" s="34">
        <v>84997</v>
      </c>
      <c r="Y33" s="34">
        <v>84997</v>
      </c>
      <c r="Z33" s="109">
        <f t="shared" si="15"/>
        <v>0.59025694444444443</v>
      </c>
      <c r="AA33" s="146">
        <f t="shared" si="16"/>
        <v>-0.40974305555555557</v>
      </c>
    </row>
    <row r="34" spans="2:50" s="4" customFormat="1">
      <c r="B34" s="4" t="s">
        <v>63</v>
      </c>
      <c r="E34" s="23"/>
      <c r="F34" s="122">
        <v>0</v>
      </c>
      <c r="G34">
        <v>2995</v>
      </c>
      <c r="H34">
        <v>5856</v>
      </c>
      <c r="I34">
        <v>7183</v>
      </c>
      <c r="J34">
        <v>12204</v>
      </c>
      <c r="K34">
        <v>12285</v>
      </c>
      <c r="L34">
        <v>13918</v>
      </c>
      <c r="M34" s="103">
        <v>15652</v>
      </c>
      <c r="N34" s="34">
        <v>17693</v>
      </c>
      <c r="O34" s="34">
        <v>17693</v>
      </c>
      <c r="P34" s="34">
        <v>20958</v>
      </c>
      <c r="Q34" s="34">
        <v>20958</v>
      </c>
      <c r="R34" s="34">
        <v>20958</v>
      </c>
      <c r="S34" s="34">
        <v>24458</v>
      </c>
      <c r="T34" s="34">
        <v>26091</v>
      </c>
      <c r="U34" s="34">
        <v>26091</v>
      </c>
      <c r="V34" s="34">
        <v>33086</v>
      </c>
      <c r="W34" s="34">
        <v>35482</v>
      </c>
      <c r="X34" s="34">
        <v>35482</v>
      </c>
      <c r="Y34" s="34">
        <v>35482</v>
      </c>
      <c r="Z34" s="109">
        <f t="shared" si="15"/>
        <v>0.50688571428571427</v>
      </c>
      <c r="AA34" s="146">
        <f t="shared" si="16"/>
        <v>-0.49311428571428573</v>
      </c>
    </row>
    <row r="35" spans="2:50">
      <c r="B35" s="5" t="str">
        <f>+B24</f>
        <v>Norwich</v>
      </c>
      <c r="C35" s="19"/>
      <c r="D35" s="19"/>
      <c r="E35" s="35"/>
      <c r="F35" s="172">
        <v>51510</v>
      </c>
      <c r="G35" s="173">
        <v>66930</v>
      </c>
      <c r="H35" s="173">
        <v>80461</v>
      </c>
      <c r="I35" s="173">
        <v>88635</v>
      </c>
      <c r="J35" s="173">
        <v>106075</v>
      </c>
      <c r="K35" s="173">
        <v>114960</v>
      </c>
      <c r="L35" s="173">
        <v>129064</v>
      </c>
      <c r="M35" s="173">
        <v>140695</v>
      </c>
      <c r="N35" s="172">
        <v>140721</v>
      </c>
      <c r="O35" s="35">
        <v>143211</v>
      </c>
      <c r="P35" s="35">
        <v>150430</v>
      </c>
      <c r="Q35" s="35">
        <v>163924</v>
      </c>
      <c r="R35" s="35">
        <v>174127</v>
      </c>
      <c r="S35" s="35">
        <v>193634</v>
      </c>
      <c r="T35" s="35">
        <v>210133</v>
      </c>
      <c r="U35" s="35">
        <v>229539</v>
      </c>
      <c r="V35" s="35">
        <v>238615</v>
      </c>
      <c r="W35" s="35">
        <v>247374</v>
      </c>
      <c r="X35" s="35">
        <v>253381</v>
      </c>
      <c r="Y35" s="35">
        <v>271113</v>
      </c>
      <c r="Z35" s="110">
        <f t="shared" si="15"/>
        <v>0.87455806451612905</v>
      </c>
      <c r="AA35" s="147">
        <f t="shared" si="16"/>
        <v>-0.12544193548387095</v>
      </c>
      <c r="AX35"/>
    </row>
    <row r="36" spans="2:50">
      <c r="B36" s="4" t="str">
        <f>+B25</f>
        <v>Group</v>
      </c>
      <c r="C36" s="4"/>
      <c r="D36" s="4"/>
      <c r="E36" s="4"/>
      <c r="F36" s="171">
        <f t="shared" ref="F36:Y36" si="17">SUM(F29:F35)</f>
        <v>146358</v>
      </c>
      <c r="G36" s="171">
        <f t="shared" si="17"/>
        <v>219471</v>
      </c>
      <c r="H36" s="171">
        <f t="shared" si="17"/>
        <v>294333</v>
      </c>
      <c r="I36" s="171">
        <f t="shared" si="17"/>
        <v>337656</v>
      </c>
      <c r="J36" s="171">
        <f t="shared" si="17"/>
        <v>416750</v>
      </c>
      <c r="K36" s="171">
        <f t="shared" si="17"/>
        <v>460151</v>
      </c>
      <c r="L36" s="171">
        <f t="shared" si="17"/>
        <v>518668</v>
      </c>
      <c r="M36" s="171">
        <f t="shared" si="17"/>
        <v>576583</v>
      </c>
      <c r="N36" s="171">
        <f t="shared" si="17"/>
        <v>615480</v>
      </c>
      <c r="O36" s="171">
        <f t="shared" si="17"/>
        <v>656296</v>
      </c>
      <c r="P36" s="171">
        <f t="shared" si="17"/>
        <v>707545</v>
      </c>
      <c r="Q36" s="171">
        <f t="shared" si="17"/>
        <v>754523</v>
      </c>
      <c r="R36" s="171">
        <f t="shared" si="17"/>
        <v>801781</v>
      </c>
      <c r="S36" s="171">
        <f t="shared" si="17"/>
        <v>867578</v>
      </c>
      <c r="T36" s="171">
        <f t="shared" si="17"/>
        <v>932130</v>
      </c>
      <c r="U36" s="171">
        <f t="shared" si="17"/>
        <v>964778</v>
      </c>
      <c r="V36" s="171">
        <f t="shared" si="17"/>
        <v>1013074</v>
      </c>
      <c r="W36" s="171">
        <f t="shared" si="17"/>
        <v>1058375</v>
      </c>
      <c r="X36" s="171">
        <f t="shared" si="17"/>
        <v>1120686</v>
      </c>
      <c r="Y36" s="171">
        <f t="shared" si="17"/>
        <v>1198896</v>
      </c>
      <c r="Z36" s="111">
        <f t="shared" si="15"/>
        <v>0.90551057401812685</v>
      </c>
      <c r="AA36" s="148">
        <f t="shared" si="16"/>
        <v>-9.4489425981873154E-2</v>
      </c>
      <c r="AX36"/>
    </row>
    <row r="37" spans="2:50" s="1" customFormat="1" ht="11.25">
      <c r="B37" s="1" t="s">
        <v>34</v>
      </c>
      <c r="E37" s="30"/>
      <c r="F37" s="30">
        <f>+F36/$C$59</f>
        <v>0.11054229607250755</v>
      </c>
      <c r="G37" s="30">
        <f t="shared" ref="G37:N37" si="18">+G36/$C$59</f>
        <v>0.16576359516616315</v>
      </c>
      <c r="H37" s="30">
        <f t="shared" si="18"/>
        <v>0.2223058912386707</v>
      </c>
      <c r="I37" s="30">
        <f t="shared" si="18"/>
        <v>0.25502719033232629</v>
      </c>
      <c r="J37" s="30">
        <f t="shared" si="18"/>
        <v>0.31476586102719034</v>
      </c>
      <c r="K37" s="30">
        <f t="shared" si="18"/>
        <v>0.34754607250755287</v>
      </c>
      <c r="L37" s="30">
        <f t="shared" si="18"/>
        <v>0.3917432024169184</v>
      </c>
      <c r="M37" s="30">
        <f t="shared" si="18"/>
        <v>0.43548564954682778</v>
      </c>
      <c r="N37" s="30">
        <f t="shared" si="18"/>
        <v>0.46486404833836859</v>
      </c>
      <c r="O37" s="30">
        <f>+O36/$C$59</f>
        <v>0.4956918429003021</v>
      </c>
      <c r="P37" s="30">
        <f t="shared" ref="P37:Y37" si="19">+P36/$C$59</f>
        <v>0.53439954682779456</v>
      </c>
      <c r="Q37" s="30">
        <f t="shared" si="19"/>
        <v>0.56988141993957708</v>
      </c>
      <c r="R37" s="30">
        <f t="shared" si="19"/>
        <v>0.60557477341389732</v>
      </c>
      <c r="S37" s="30">
        <f t="shared" si="19"/>
        <v>0.6552703927492447</v>
      </c>
      <c r="T37" s="30">
        <f t="shared" si="19"/>
        <v>0.70402567975830821</v>
      </c>
      <c r="U37" s="30">
        <f t="shared" si="19"/>
        <v>0.72868429003021151</v>
      </c>
      <c r="V37" s="30">
        <f t="shared" si="19"/>
        <v>0.76516163141993954</v>
      </c>
      <c r="W37" s="30">
        <f t="shared" si="19"/>
        <v>0.79937688821752262</v>
      </c>
      <c r="X37" s="30">
        <f t="shared" si="19"/>
        <v>0.84643957703927497</v>
      </c>
      <c r="Y37" s="30">
        <f t="shared" si="19"/>
        <v>0.90551057401812685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 t="shared" ref="F40:Y40" si="20">+F17</f>
        <v>Day 1</v>
      </c>
      <c r="G40" s="4" t="str">
        <f t="shared" si="20"/>
        <v>Day 2</v>
      </c>
      <c r="H40" s="4" t="str">
        <f t="shared" si="20"/>
        <v>Day 3</v>
      </c>
      <c r="I40" s="4" t="str">
        <f t="shared" si="20"/>
        <v>Day 4</v>
      </c>
      <c r="J40" s="4" t="str">
        <f t="shared" si="20"/>
        <v>Day 5</v>
      </c>
      <c r="K40" s="4" t="str">
        <f t="shared" si="20"/>
        <v>Day 6</v>
      </c>
      <c r="L40" s="4" t="str">
        <f t="shared" si="20"/>
        <v>Day 7</v>
      </c>
      <c r="M40" s="4" t="str">
        <f t="shared" si="20"/>
        <v>Day 8</v>
      </c>
      <c r="N40" s="4" t="str">
        <f t="shared" si="20"/>
        <v>Day 9</v>
      </c>
      <c r="O40" s="4" t="str">
        <f t="shared" si="20"/>
        <v>Day 10</v>
      </c>
      <c r="P40" s="4" t="str">
        <f t="shared" si="20"/>
        <v>Day 11</v>
      </c>
      <c r="Q40" s="4" t="str">
        <f t="shared" si="20"/>
        <v>Day 12</v>
      </c>
      <c r="R40" s="4" t="str">
        <f t="shared" si="20"/>
        <v>Day 13</v>
      </c>
      <c r="S40" s="4" t="str">
        <f t="shared" si="20"/>
        <v>Day 14</v>
      </c>
      <c r="T40" s="4" t="str">
        <f t="shared" si="20"/>
        <v>Day 15</v>
      </c>
      <c r="U40" s="4" t="str">
        <f t="shared" si="20"/>
        <v>Day 16</v>
      </c>
      <c r="V40" s="4" t="str">
        <f t="shared" si="20"/>
        <v>Day 17</v>
      </c>
      <c r="W40" s="4" t="str">
        <f t="shared" si="20"/>
        <v>Day 18</v>
      </c>
      <c r="X40" s="4" t="str">
        <f t="shared" si="20"/>
        <v>Day 19</v>
      </c>
      <c r="Y40" s="4" t="str">
        <f t="shared" si="20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3.0056470588235293</v>
      </c>
      <c r="G41" s="17">
        <f t="shared" ref="G41:Y41" si="21">(G52/$C$52)</f>
        <v>2.2601176470588236</v>
      </c>
      <c r="H41" s="17">
        <f t="shared" si="21"/>
        <v>1.8561568627450982</v>
      </c>
      <c r="I41" s="17">
        <f t="shared" si="21"/>
        <v>1.5736911764705883</v>
      </c>
      <c r="J41" s="17">
        <f t="shared" si="21"/>
        <v>1.4250470588235293</v>
      </c>
      <c r="K41" s="17">
        <f t="shared" si="21"/>
        <v>1.2191078431372548</v>
      </c>
      <c r="L41" s="17">
        <f t="shared" si="21"/>
        <v>1.1719243697478992</v>
      </c>
      <c r="M41" s="17">
        <f t="shared" si="21"/>
        <v>1.1348088235294118</v>
      </c>
      <c r="N41" s="17">
        <f t="shared" si="21"/>
        <v>1.0686535947712417</v>
      </c>
      <c r="O41" s="17">
        <f t="shared" si="21"/>
        <v>1.0373235294117646</v>
      </c>
      <c r="P41" s="17">
        <f t="shared" si="21"/>
        <v>1.0316844919786097</v>
      </c>
      <c r="Q41" s="17">
        <f t="shared" si="21"/>
        <v>1.0469313725490195</v>
      </c>
      <c r="R41" s="17">
        <f t="shared" si="21"/>
        <v>1.0221674208144795</v>
      </c>
      <c r="S41" s="17">
        <f t="shared" si="21"/>
        <v>1.0369915966386554</v>
      </c>
      <c r="T41" s="17">
        <f t="shared" si="21"/>
        <v>1.0453098039215685</v>
      </c>
      <c r="U41" s="17">
        <f t="shared" si="21"/>
        <v>1.0286617647058824</v>
      </c>
      <c r="V41" s="17">
        <f t="shared" si="21"/>
        <v>1.0329965397923875</v>
      </c>
      <c r="W41" s="17">
        <f t="shared" si="21"/>
        <v>1.032029411764706</v>
      </c>
      <c r="X41" s="17">
        <f t="shared" si="21"/>
        <v>1.0408668730650155</v>
      </c>
      <c r="Y41" s="17">
        <f t="shared" si="21"/>
        <v>1.068214705882353</v>
      </c>
      <c r="Z41" s="158" t="s">
        <v>71</v>
      </c>
      <c r="AA41" s="138">
        <v>350</v>
      </c>
      <c r="AX41"/>
    </row>
    <row r="42" spans="2:50">
      <c r="B42" s="4" t="s">
        <v>64</v>
      </c>
      <c r="C42" s="17"/>
      <c r="D42" s="17"/>
      <c r="E42" s="17"/>
      <c r="F42" s="17">
        <f>(F53/$C$53)</f>
        <v>1.0094736842105263</v>
      </c>
      <c r="G42" s="17">
        <f t="shared" ref="G42:Y42" si="22">(G53/$C$53)</f>
        <v>2.4821052631578948</v>
      </c>
      <c r="H42" s="17">
        <f t="shared" si="22"/>
        <v>2.6926315789473683</v>
      </c>
      <c r="I42" s="17">
        <f t="shared" si="22"/>
        <v>2.4136842105263159</v>
      </c>
      <c r="J42" s="17">
        <f t="shared" si="22"/>
        <v>2.4067368421052633</v>
      </c>
      <c r="K42" s="17">
        <f t="shared" si="22"/>
        <v>2.005614035087719</v>
      </c>
      <c r="L42" s="17">
        <f t="shared" si="22"/>
        <v>1.770075187969925</v>
      </c>
      <c r="M42" s="17">
        <f t="shared" si="22"/>
        <v>1.6197368421052631</v>
      </c>
      <c r="N42" s="17">
        <f t="shared" si="22"/>
        <v>1.4723976608187135</v>
      </c>
      <c r="O42" s="17">
        <f t="shared" si="22"/>
        <v>1.6070526315789473</v>
      </c>
      <c r="P42" s="17">
        <f t="shared" si="22"/>
        <v>1.5757894736842106</v>
      </c>
      <c r="Q42" s="17">
        <f t="shared" si="22"/>
        <v>1.4444736842105264</v>
      </c>
      <c r="R42" s="17">
        <f t="shared" si="22"/>
        <v>1.3333603238866396</v>
      </c>
      <c r="S42" s="17">
        <f t="shared" si="22"/>
        <v>1.4004511278195488</v>
      </c>
      <c r="T42" s="17">
        <f t="shared" si="22"/>
        <v>1.4052631578947368</v>
      </c>
      <c r="U42" s="17">
        <f t="shared" si="22"/>
        <v>1.3174342105263157</v>
      </c>
      <c r="V42" s="17">
        <f t="shared" si="22"/>
        <v>1.2399380804953561</v>
      </c>
      <c r="W42" s="17">
        <f t="shared" si="22"/>
        <v>1.1710526315789473</v>
      </c>
      <c r="X42" s="17">
        <f t="shared" si="22"/>
        <v>1.1691412742382272</v>
      </c>
      <c r="Y42" s="17">
        <f t="shared" si="22"/>
        <v>1.1106842105263157</v>
      </c>
      <c r="Z42" s="158" t="s">
        <v>72</v>
      </c>
      <c r="AA42" s="138">
        <v>110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23">(F54/$C$54)</f>
        <v>0.98842105263157898</v>
      </c>
      <c r="G43" s="17">
        <f t="shared" si="23"/>
        <v>0.49421052631578949</v>
      </c>
      <c r="H43" s="17">
        <f t="shared" si="23"/>
        <v>1.47859649122807</v>
      </c>
      <c r="I43" s="17">
        <f t="shared" si="23"/>
        <v>1.1089473684210527</v>
      </c>
      <c r="J43" s="17">
        <f t="shared" si="23"/>
        <v>1.0006315789473683</v>
      </c>
      <c r="K43" s="17">
        <f t="shared" si="23"/>
        <v>0.83385964912280708</v>
      </c>
      <c r="L43" s="17">
        <f t="shared" si="23"/>
        <v>0.97022556390977432</v>
      </c>
      <c r="M43" s="17">
        <f t="shared" si="23"/>
        <v>0.84894736842105267</v>
      </c>
      <c r="N43" s="17">
        <f t="shared" si="23"/>
        <v>0.97181286549707602</v>
      </c>
      <c r="O43" s="17">
        <f t="shared" si="23"/>
        <v>0.91789473684210521</v>
      </c>
      <c r="P43" s="17">
        <f t="shared" si="23"/>
        <v>0.87655502392344509</v>
      </c>
      <c r="Q43" s="17">
        <f t="shared" si="23"/>
        <v>0.82192982456140351</v>
      </c>
      <c r="R43" s="17">
        <f t="shared" si="23"/>
        <v>0.8023481781376518</v>
      </c>
      <c r="S43" s="17">
        <f t="shared" si="23"/>
        <v>0.78413533834586469</v>
      </c>
      <c r="T43" s="17">
        <f t="shared" si="23"/>
        <v>0.76968421052631575</v>
      </c>
      <c r="U43" s="17">
        <f t="shared" si="23"/>
        <v>0.7215789473684211</v>
      </c>
      <c r="V43" s="17">
        <f t="shared" si="23"/>
        <v>0.67913312693498451</v>
      </c>
      <c r="W43" s="17">
        <f t="shared" si="23"/>
        <v>0.64140350877192975</v>
      </c>
      <c r="X43" s="17">
        <f t="shared" si="23"/>
        <v>0.6375069252077562</v>
      </c>
      <c r="Y43" s="17">
        <f t="shared" si="23"/>
        <v>0.60563157894736841</v>
      </c>
      <c r="Z43" s="158" t="s">
        <v>94</v>
      </c>
      <c r="AA43" s="158">
        <v>70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0.99925925925925929</v>
      </c>
      <c r="G44" s="17">
        <f t="shared" ref="G44:Y44" si="24">(G55/$C$55)</f>
        <v>0.67259259259259263</v>
      </c>
      <c r="H44" s="17">
        <f t="shared" si="24"/>
        <v>0.55938271604938272</v>
      </c>
      <c r="I44" s="17">
        <f t="shared" si="24"/>
        <v>0.5675</v>
      </c>
      <c r="J44" s="17">
        <f t="shared" si="24"/>
        <v>0.80622222222222217</v>
      </c>
      <c r="K44" s="17">
        <f t="shared" si="24"/>
        <v>0.95240740740740737</v>
      </c>
      <c r="L44" s="17">
        <f t="shared" si="24"/>
        <v>0.95111111111111113</v>
      </c>
      <c r="M44" s="17">
        <f t="shared" si="24"/>
        <v>1.0820370370370371</v>
      </c>
      <c r="N44" s="17">
        <f t="shared" si="24"/>
        <v>1.0522633744855967</v>
      </c>
      <c r="O44" s="17">
        <f t="shared" si="24"/>
        <v>0.98070370370370374</v>
      </c>
      <c r="P44" s="17">
        <f t="shared" si="24"/>
        <v>0.99582491582491595</v>
      </c>
      <c r="Q44" s="17">
        <f t="shared" si="24"/>
        <v>0.9128395061728396</v>
      </c>
      <c r="R44" s="17">
        <f t="shared" si="24"/>
        <v>0.96817663817663824</v>
      </c>
      <c r="S44" s="17">
        <f t="shared" si="24"/>
        <v>0.94394179894179908</v>
      </c>
      <c r="T44" s="17">
        <f t="shared" si="24"/>
        <v>0.95501234567901228</v>
      </c>
      <c r="U44" s="17">
        <f t="shared" si="24"/>
        <v>0.89532407407407411</v>
      </c>
      <c r="V44" s="17">
        <f t="shared" si="24"/>
        <v>0.90141612200435728</v>
      </c>
      <c r="W44" s="17">
        <f t="shared" si="24"/>
        <v>0.92080658436213991</v>
      </c>
      <c r="X44" s="17">
        <f t="shared" si="24"/>
        <v>0.96520857699805074</v>
      </c>
      <c r="Y44" s="17">
        <f t="shared" si="24"/>
        <v>1.0409666666666666</v>
      </c>
      <c r="Z44" s="160" t="s">
        <v>73</v>
      </c>
      <c r="AA44" s="138">
        <v>275</v>
      </c>
      <c r="AX44"/>
    </row>
    <row r="45" spans="2:50">
      <c r="B45" s="4" t="s">
        <v>2</v>
      </c>
      <c r="C45" s="17"/>
      <c r="D45" s="17"/>
      <c r="E45" s="17"/>
      <c r="F45" s="17">
        <f t="shared" ref="F45:Y46" si="25">(F56/$C$56)</f>
        <v>2.8849999999999998</v>
      </c>
      <c r="G45" s="17">
        <f t="shared" si="25"/>
        <v>1.8240972222222223</v>
      </c>
      <c r="H45" s="17">
        <f t="shared" si="25"/>
        <v>1.4470833333333333</v>
      </c>
      <c r="I45" s="17">
        <f t="shared" si="25"/>
        <v>1.2934722222222221</v>
      </c>
      <c r="J45" s="17">
        <f t="shared" si="25"/>
        <v>1.1665833333333333</v>
      </c>
      <c r="K45" s="17">
        <f t="shared" si="25"/>
        <v>1.1686805555555555</v>
      </c>
      <c r="L45" s="17">
        <f t="shared" si="25"/>
        <v>1.0958730158730159</v>
      </c>
      <c r="M45" s="17">
        <f t="shared" si="25"/>
        <v>0.9588888888888889</v>
      </c>
      <c r="N45" s="17">
        <f t="shared" si="25"/>
        <v>0.94478395061728382</v>
      </c>
      <c r="O45" s="17">
        <f t="shared" si="25"/>
        <v>0.92662500000000003</v>
      </c>
      <c r="P45" s="17">
        <f t="shared" si="25"/>
        <v>0.84869949494949504</v>
      </c>
      <c r="Q45" s="17">
        <f t="shared" si="25"/>
        <v>0.91437500000000005</v>
      </c>
      <c r="R45" s="17">
        <f t="shared" si="25"/>
        <v>0.84403846153846152</v>
      </c>
      <c r="S45" s="17">
        <f t="shared" si="25"/>
        <v>0.78374999999999995</v>
      </c>
      <c r="T45" s="17">
        <f t="shared" si="25"/>
        <v>0.74997222222222226</v>
      </c>
      <c r="U45" s="17">
        <f t="shared" si="25"/>
        <v>0.70309895833333336</v>
      </c>
      <c r="V45" s="17">
        <f t="shared" si="25"/>
        <v>0.66174019607843149</v>
      </c>
      <c r="W45" s="17">
        <f t="shared" si="25"/>
        <v>0.62497685185185181</v>
      </c>
      <c r="X45" s="17">
        <f t="shared" si="25"/>
        <v>0.62132309941520458</v>
      </c>
      <c r="Y45" s="17">
        <f t="shared" si="25"/>
        <v>0.59025694444444443</v>
      </c>
      <c r="Z45" s="160" t="s">
        <v>74</v>
      </c>
      <c r="AA45" s="138">
        <v>125</v>
      </c>
      <c r="AX45"/>
    </row>
    <row r="46" spans="2:50">
      <c r="B46" s="4" t="s">
        <v>63</v>
      </c>
      <c r="C46" s="17"/>
      <c r="D46" s="17"/>
      <c r="E46" s="17"/>
      <c r="F46" s="17">
        <f t="shared" si="25"/>
        <v>0</v>
      </c>
      <c r="G46" s="17">
        <f t="shared" si="25"/>
        <v>0.20798611111111112</v>
      </c>
      <c r="H46" s="17">
        <f t="shared" si="25"/>
        <v>0.27111111111111114</v>
      </c>
      <c r="I46" s="17">
        <f t="shared" si="25"/>
        <v>0.24940972222222221</v>
      </c>
      <c r="J46" s="17">
        <f t="shared" si="25"/>
        <v>0.33900000000000002</v>
      </c>
      <c r="K46" s="17">
        <f t="shared" si="25"/>
        <v>0.28437499999999999</v>
      </c>
      <c r="L46" s="17">
        <f t="shared" si="25"/>
        <v>0.27615079365079365</v>
      </c>
      <c r="M46" s="17">
        <f t="shared" si="25"/>
        <v>0.27173611111111112</v>
      </c>
      <c r="N46" s="17">
        <f t="shared" si="25"/>
        <v>0.27304012345679013</v>
      </c>
      <c r="O46" s="17">
        <f t="shared" si="25"/>
        <v>0.2457361111111111</v>
      </c>
      <c r="P46" s="17">
        <f t="shared" si="25"/>
        <v>0.26462121212121209</v>
      </c>
      <c r="Q46" s="17">
        <f t="shared" si="25"/>
        <v>0.24256944444444445</v>
      </c>
      <c r="R46" s="17">
        <f t="shared" si="25"/>
        <v>0.22391025641025641</v>
      </c>
      <c r="S46" s="17">
        <f t="shared" si="25"/>
        <v>0.24263888888888888</v>
      </c>
      <c r="T46" s="17">
        <f t="shared" si="25"/>
        <v>0.24158333333333334</v>
      </c>
      <c r="U46" s="17">
        <f t="shared" si="25"/>
        <v>0.22648437499999999</v>
      </c>
      <c r="V46" s="17">
        <f t="shared" si="25"/>
        <v>0.27031045751633986</v>
      </c>
      <c r="W46" s="17">
        <f t="shared" si="25"/>
        <v>0.27378086419753089</v>
      </c>
      <c r="X46" s="17">
        <f t="shared" si="25"/>
        <v>0.25937134502923975</v>
      </c>
      <c r="Y46" s="17">
        <f t="shared" si="25"/>
        <v>0.24640277777777778</v>
      </c>
      <c r="Z46" s="160" t="s">
        <v>75</v>
      </c>
      <c r="AA46" s="138">
        <v>35</v>
      </c>
      <c r="AX46"/>
    </row>
    <row r="47" spans="2:50">
      <c r="B47" s="4" t="s">
        <v>3</v>
      </c>
      <c r="C47" s="18"/>
      <c r="D47" s="18"/>
      <c r="E47" s="18"/>
      <c r="F47" s="18">
        <f t="shared" ref="F47:Y47" si="26">(F58/$C$58)</f>
        <v>3.3232258064516129</v>
      </c>
      <c r="G47" s="18">
        <f t="shared" si="26"/>
        <v>2.1590322580645163</v>
      </c>
      <c r="H47" s="18">
        <f t="shared" si="26"/>
        <v>1.7303440860215054</v>
      </c>
      <c r="I47" s="18">
        <f t="shared" si="26"/>
        <v>1.4295967741935485</v>
      </c>
      <c r="J47" s="18">
        <f t="shared" si="26"/>
        <v>1.3687096774193548</v>
      </c>
      <c r="K47" s="18">
        <f t="shared" si="26"/>
        <v>1.2361290322580645</v>
      </c>
      <c r="L47" s="18">
        <f t="shared" si="26"/>
        <v>1.1895299539170507</v>
      </c>
      <c r="M47" s="18">
        <f t="shared" si="26"/>
        <v>1.1346370967741934</v>
      </c>
      <c r="N47" s="18">
        <f t="shared" si="26"/>
        <v>1.008752688172043</v>
      </c>
      <c r="O47" s="18">
        <f t="shared" si="26"/>
        <v>0.92394193548387094</v>
      </c>
      <c r="P47" s="18">
        <f t="shared" si="26"/>
        <v>0.88228739002932566</v>
      </c>
      <c r="Q47" s="18">
        <f t="shared" si="26"/>
        <v>0.88131182795698926</v>
      </c>
      <c r="R47" s="18">
        <f t="shared" si="26"/>
        <v>0.86415384615384616</v>
      </c>
      <c r="S47" s="18">
        <f t="shared" si="26"/>
        <v>0.89232258064516135</v>
      </c>
      <c r="T47" s="18">
        <f t="shared" si="26"/>
        <v>0.90379784946236552</v>
      </c>
      <c r="U47" s="18">
        <f t="shared" si="26"/>
        <v>0.92556048387096779</v>
      </c>
      <c r="V47" s="18">
        <f t="shared" si="26"/>
        <v>0.90555977229601514</v>
      </c>
      <c r="W47" s="18">
        <f t="shared" si="26"/>
        <v>0.88664516129032256</v>
      </c>
      <c r="X47" s="18">
        <f t="shared" si="26"/>
        <v>0.86037691001697791</v>
      </c>
      <c r="Y47" s="18">
        <f t="shared" si="26"/>
        <v>0.87455806451612905</v>
      </c>
      <c r="Z47" s="159" t="s">
        <v>76</v>
      </c>
      <c r="AA47" s="138">
        <v>310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7">(F59/$C$59)</f>
        <v>2.2108459214501512</v>
      </c>
      <c r="G48" s="17">
        <f t="shared" si="27"/>
        <v>1.6576359516616315</v>
      </c>
      <c r="H48" s="17">
        <f t="shared" si="27"/>
        <v>1.4820392749244713</v>
      </c>
      <c r="I48" s="17">
        <f t="shared" si="27"/>
        <v>1.2751359516616314</v>
      </c>
      <c r="J48" s="17">
        <f t="shared" si="27"/>
        <v>1.2590634441087614</v>
      </c>
      <c r="K48" s="17">
        <f t="shared" si="27"/>
        <v>1.1584869083585094</v>
      </c>
      <c r="L48" s="17">
        <f t="shared" si="27"/>
        <v>1.119266292619767</v>
      </c>
      <c r="M48" s="17">
        <f t="shared" si="27"/>
        <v>1.0887141238670694</v>
      </c>
      <c r="N48" s="17">
        <f t="shared" si="27"/>
        <v>1.0330312185297079</v>
      </c>
      <c r="O48" s="17">
        <f t="shared" si="27"/>
        <v>0.99138368580060421</v>
      </c>
      <c r="P48" s="17">
        <f t="shared" si="27"/>
        <v>0.9716355396868992</v>
      </c>
      <c r="Q48" s="17">
        <f t="shared" si="27"/>
        <v>0.94980236656596184</v>
      </c>
      <c r="R48" s="17">
        <f t="shared" si="27"/>
        <v>0.93165349755984195</v>
      </c>
      <c r="S48" s="17">
        <f t="shared" si="27"/>
        <v>0.93610056107034967</v>
      </c>
      <c r="T48" s="17">
        <f t="shared" si="27"/>
        <v>0.93870090634441072</v>
      </c>
      <c r="U48" s="17">
        <f t="shared" si="27"/>
        <v>0.91085536253776433</v>
      </c>
      <c r="V48" s="17">
        <f t="shared" si="27"/>
        <v>0.90019015461169372</v>
      </c>
      <c r="W48" s="17">
        <f t="shared" si="27"/>
        <v>0.88819654246391411</v>
      </c>
      <c r="X48" s="17">
        <f t="shared" si="27"/>
        <v>0.89098902846239469</v>
      </c>
      <c r="Y48" s="17">
        <f t="shared" si="27"/>
        <v>0.90551057401812685</v>
      </c>
      <c r="AA48" s="139">
        <f>SUM(AA41:AA47)</f>
        <v>1275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8">+G40</f>
        <v>Day 2</v>
      </c>
      <c r="H51" s="4" t="str">
        <f t="shared" si="28"/>
        <v>Day 3</v>
      </c>
      <c r="I51" s="4" t="str">
        <f t="shared" si="28"/>
        <v>Day 4</v>
      </c>
      <c r="J51" s="4" t="str">
        <f t="shared" si="28"/>
        <v>Day 5</v>
      </c>
      <c r="K51" s="4" t="str">
        <f t="shared" si="28"/>
        <v>Day 6</v>
      </c>
      <c r="L51" s="4" t="str">
        <f t="shared" si="28"/>
        <v>Day 7</v>
      </c>
      <c r="M51" s="4" t="str">
        <f t="shared" si="28"/>
        <v>Day 8</v>
      </c>
      <c r="N51" s="4" t="str">
        <f t="shared" si="28"/>
        <v>Day 9</v>
      </c>
      <c r="O51" s="4" t="str">
        <f t="shared" si="28"/>
        <v>Day 10</v>
      </c>
      <c r="P51" s="4" t="str">
        <f t="shared" si="28"/>
        <v>Day 11</v>
      </c>
      <c r="Q51" s="4" t="str">
        <f t="shared" si="28"/>
        <v>Day 12</v>
      </c>
      <c r="R51" s="4" t="str">
        <f t="shared" si="28"/>
        <v>Day 13</v>
      </c>
      <c r="S51" s="4" t="str">
        <f t="shared" si="28"/>
        <v>Day 14</v>
      </c>
      <c r="T51" s="4" t="str">
        <f t="shared" si="28"/>
        <v>Day 15</v>
      </c>
      <c r="U51" s="4" t="str">
        <f t="shared" si="28"/>
        <v>Day 16</v>
      </c>
      <c r="V51" s="4" t="str">
        <f t="shared" si="28"/>
        <v>Day 17</v>
      </c>
      <c r="W51" s="4" t="str">
        <f t="shared" si="28"/>
        <v>Day 18</v>
      </c>
      <c r="X51" s="4" t="str">
        <f t="shared" si="28"/>
        <v>Day 19</v>
      </c>
      <c r="Y51" s="4" t="str">
        <f t="shared" si="28"/>
        <v>Day 20</v>
      </c>
      <c r="AX51"/>
    </row>
    <row r="52" spans="2:50">
      <c r="B52" s="4" t="s">
        <v>0</v>
      </c>
      <c r="C52" s="149">
        <v>340000</v>
      </c>
      <c r="D52" s="4"/>
      <c r="E52" s="4"/>
      <c r="F52" s="55">
        <f t="shared" ref="F52:Y52" si="29">(F29)/F$1*$Y$1</f>
        <v>1021920</v>
      </c>
      <c r="G52" s="55">
        <f t="shared" si="29"/>
        <v>768440</v>
      </c>
      <c r="H52" s="55">
        <f t="shared" si="29"/>
        <v>631093.33333333337</v>
      </c>
      <c r="I52" s="55">
        <f t="shared" si="29"/>
        <v>535055</v>
      </c>
      <c r="J52" s="55">
        <f t="shared" si="29"/>
        <v>484516</v>
      </c>
      <c r="K52" s="55">
        <f t="shared" si="29"/>
        <v>414496.66666666663</v>
      </c>
      <c r="L52" s="55">
        <f t="shared" si="29"/>
        <v>398454.28571428574</v>
      </c>
      <c r="M52" s="55">
        <f t="shared" si="29"/>
        <v>385835</v>
      </c>
      <c r="N52" s="55">
        <f t="shared" si="29"/>
        <v>363342.22222222219</v>
      </c>
      <c r="O52" s="55">
        <f t="shared" si="29"/>
        <v>352690</v>
      </c>
      <c r="P52" s="55">
        <f t="shared" si="29"/>
        <v>350772.72727272729</v>
      </c>
      <c r="Q52" s="55">
        <f t="shared" si="29"/>
        <v>355956.66666666663</v>
      </c>
      <c r="R52" s="55">
        <f t="shared" si="29"/>
        <v>347536.92307692306</v>
      </c>
      <c r="S52" s="55">
        <f t="shared" si="29"/>
        <v>352577.14285714284</v>
      </c>
      <c r="T52" s="55">
        <f t="shared" si="29"/>
        <v>355405.33333333331</v>
      </c>
      <c r="U52" s="55">
        <f t="shared" si="29"/>
        <v>349745</v>
      </c>
      <c r="V52" s="55">
        <f t="shared" si="29"/>
        <v>351218.82352941175</v>
      </c>
      <c r="W52" s="55">
        <f t="shared" si="29"/>
        <v>350890</v>
      </c>
      <c r="X52" s="55">
        <f t="shared" si="29"/>
        <v>353894.73684210528</v>
      </c>
      <c r="Y52" s="55">
        <f t="shared" si="29"/>
        <v>363193</v>
      </c>
      <c r="AX52"/>
    </row>
    <row r="53" spans="2:50">
      <c r="B53" s="4" t="s">
        <v>64</v>
      </c>
      <c r="C53" s="149">
        <v>95000</v>
      </c>
      <c r="D53" s="4"/>
      <c r="E53" s="4"/>
      <c r="F53" s="55">
        <f t="shared" ref="F53:Y53" si="30">(F30)/F$1*$Y$1</f>
        <v>95900</v>
      </c>
      <c r="G53" s="55">
        <f t="shared" si="30"/>
        <v>235800</v>
      </c>
      <c r="H53" s="55">
        <f t="shared" si="30"/>
        <v>255800</v>
      </c>
      <c r="I53" s="55">
        <f t="shared" si="30"/>
        <v>229300</v>
      </c>
      <c r="J53" s="55">
        <f t="shared" si="30"/>
        <v>228640</v>
      </c>
      <c r="K53" s="55">
        <f t="shared" si="30"/>
        <v>190533.33333333331</v>
      </c>
      <c r="L53" s="55">
        <f t="shared" si="30"/>
        <v>168157.14285714287</v>
      </c>
      <c r="M53" s="55">
        <f t="shared" si="30"/>
        <v>153875</v>
      </c>
      <c r="N53" s="55">
        <f t="shared" si="30"/>
        <v>139877.77777777778</v>
      </c>
      <c r="O53" s="55">
        <f t="shared" si="30"/>
        <v>152670</v>
      </c>
      <c r="P53" s="55">
        <f t="shared" si="30"/>
        <v>149700</v>
      </c>
      <c r="Q53" s="55">
        <f t="shared" si="30"/>
        <v>137225</v>
      </c>
      <c r="R53" s="55">
        <f t="shared" si="30"/>
        <v>126669.23076923077</v>
      </c>
      <c r="S53" s="55">
        <f t="shared" si="30"/>
        <v>133042.85714285713</v>
      </c>
      <c r="T53" s="55">
        <f t="shared" si="30"/>
        <v>133500</v>
      </c>
      <c r="U53" s="55">
        <f t="shared" si="30"/>
        <v>125156.25</v>
      </c>
      <c r="V53" s="55">
        <f t="shared" si="30"/>
        <v>117794.11764705883</v>
      </c>
      <c r="W53" s="55">
        <f t="shared" si="30"/>
        <v>111250</v>
      </c>
      <c r="X53" s="55">
        <f t="shared" si="30"/>
        <v>111068.42105263159</v>
      </c>
      <c r="Y53" s="55">
        <f t="shared" si="30"/>
        <v>105515</v>
      </c>
      <c r="AX53"/>
    </row>
    <row r="54" spans="2:50">
      <c r="B54" s="4" t="str">
        <f>+B43</f>
        <v>Brazil</v>
      </c>
      <c r="C54" s="149">
        <v>95000</v>
      </c>
      <c r="D54" s="4"/>
      <c r="E54" s="4"/>
      <c r="F54" s="55">
        <f t="shared" ref="F54:Y54" si="31">(F31)/F$1*$Y$1</f>
        <v>93900</v>
      </c>
      <c r="G54" s="55">
        <f t="shared" si="31"/>
        <v>46950</v>
      </c>
      <c r="H54" s="55">
        <f t="shared" si="31"/>
        <v>140466.66666666666</v>
      </c>
      <c r="I54" s="55">
        <f t="shared" si="31"/>
        <v>105350</v>
      </c>
      <c r="J54" s="55">
        <f t="shared" si="31"/>
        <v>95060</v>
      </c>
      <c r="K54" s="55">
        <f t="shared" si="31"/>
        <v>79216.666666666672</v>
      </c>
      <c r="L54" s="55">
        <f t="shared" si="31"/>
        <v>92171.428571428565</v>
      </c>
      <c r="M54" s="55">
        <f t="shared" si="31"/>
        <v>80650</v>
      </c>
      <c r="N54" s="55">
        <f t="shared" si="31"/>
        <v>92322.222222222219</v>
      </c>
      <c r="O54" s="55">
        <f t="shared" si="31"/>
        <v>87200</v>
      </c>
      <c r="P54" s="55">
        <f t="shared" si="31"/>
        <v>83272.727272727279</v>
      </c>
      <c r="Q54" s="55">
        <f t="shared" si="31"/>
        <v>78083.333333333328</v>
      </c>
      <c r="R54" s="55">
        <f t="shared" si="31"/>
        <v>76223.076923076922</v>
      </c>
      <c r="S54" s="55">
        <f t="shared" si="31"/>
        <v>74492.857142857145</v>
      </c>
      <c r="T54" s="55">
        <f t="shared" si="31"/>
        <v>73120</v>
      </c>
      <c r="U54" s="55">
        <f t="shared" si="31"/>
        <v>68550</v>
      </c>
      <c r="V54" s="55">
        <f t="shared" si="31"/>
        <v>64517.647058823532</v>
      </c>
      <c r="W54" s="55">
        <f t="shared" si="31"/>
        <v>60933.333333333328</v>
      </c>
      <c r="X54" s="55">
        <f t="shared" si="31"/>
        <v>60563.15789473684</v>
      </c>
      <c r="Y54" s="55">
        <f t="shared" si="31"/>
        <v>57535</v>
      </c>
      <c r="AX54"/>
    </row>
    <row r="55" spans="2:50">
      <c r="B55" s="4" t="str">
        <f>+B44</f>
        <v>Boston</v>
      </c>
      <c r="C55" s="149">
        <v>270000</v>
      </c>
      <c r="D55" s="4"/>
      <c r="E55" s="4"/>
      <c r="F55" s="55">
        <f t="shared" ref="F55:Y55" si="32">(F32)/F$1*$Y$1</f>
        <v>269800</v>
      </c>
      <c r="G55" s="55">
        <f t="shared" si="32"/>
        <v>181600</v>
      </c>
      <c r="H55" s="55">
        <f t="shared" si="32"/>
        <v>151033.33333333334</v>
      </c>
      <c r="I55" s="55">
        <f t="shared" si="32"/>
        <v>153225</v>
      </c>
      <c r="J55" s="55">
        <f t="shared" si="32"/>
        <v>217680</v>
      </c>
      <c r="K55" s="55">
        <f t="shared" si="32"/>
        <v>257150</v>
      </c>
      <c r="L55" s="55">
        <f t="shared" si="32"/>
        <v>256800</v>
      </c>
      <c r="M55" s="55">
        <f t="shared" si="32"/>
        <v>292150</v>
      </c>
      <c r="N55" s="55">
        <f t="shared" si="32"/>
        <v>284111.11111111112</v>
      </c>
      <c r="O55" s="55">
        <f t="shared" si="32"/>
        <v>264790</v>
      </c>
      <c r="P55" s="55">
        <f t="shared" si="32"/>
        <v>268872.72727272729</v>
      </c>
      <c r="Q55" s="55">
        <f t="shared" si="32"/>
        <v>246466.66666666669</v>
      </c>
      <c r="R55" s="55">
        <f t="shared" si="32"/>
        <v>261407.69230769231</v>
      </c>
      <c r="S55" s="55">
        <f t="shared" si="32"/>
        <v>254864.28571428574</v>
      </c>
      <c r="T55" s="55">
        <f t="shared" si="32"/>
        <v>257853.33333333331</v>
      </c>
      <c r="U55" s="55">
        <f t="shared" si="32"/>
        <v>241737.5</v>
      </c>
      <c r="V55" s="55">
        <f t="shared" si="32"/>
        <v>243382.35294117648</v>
      </c>
      <c r="W55" s="55">
        <f t="shared" si="32"/>
        <v>248617.77777777778</v>
      </c>
      <c r="X55" s="55">
        <f t="shared" si="32"/>
        <v>260606.31578947371</v>
      </c>
      <c r="Y55" s="55">
        <f t="shared" si="32"/>
        <v>281061</v>
      </c>
      <c r="AX55"/>
    </row>
    <row r="56" spans="2:50">
      <c r="B56" s="4" t="s">
        <v>2</v>
      </c>
      <c r="C56" s="149">
        <v>144000</v>
      </c>
      <c r="D56" s="4"/>
      <c r="E56" s="4"/>
      <c r="F56" s="55">
        <f t="shared" ref="F56:Y56" si="33">(F33)/F$1*$Y$1</f>
        <v>415440</v>
      </c>
      <c r="G56" s="55">
        <f t="shared" si="33"/>
        <v>262670</v>
      </c>
      <c r="H56" s="55">
        <f t="shared" si="33"/>
        <v>208380</v>
      </c>
      <c r="I56" s="55">
        <f t="shared" si="33"/>
        <v>186260</v>
      </c>
      <c r="J56" s="55">
        <f t="shared" si="33"/>
        <v>167988</v>
      </c>
      <c r="K56" s="55">
        <f t="shared" si="33"/>
        <v>168290</v>
      </c>
      <c r="L56" s="55">
        <f t="shared" si="33"/>
        <v>157805.71428571429</v>
      </c>
      <c r="M56" s="55">
        <f t="shared" si="33"/>
        <v>138080</v>
      </c>
      <c r="N56" s="55">
        <f t="shared" si="33"/>
        <v>136048.88888888888</v>
      </c>
      <c r="O56" s="55">
        <f t="shared" si="33"/>
        <v>133434</v>
      </c>
      <c r="P56" s="55">
        <f t="shared" si="33"/>
        <v>122212.72727272728</v>
      </c>
      <c r="Q56" s="55">
        <f t="shared" si="33"/>
        <v>131670</v>
      </c>
      <c r="R56" s="55">
        <f t="shared" si="33"/>
        <v>121541.53846153845</v>
      </c>
      <c r="S56" s="55">
        <f t="shared" si="33"/>
        <v>112860</v>
      </c>
      <c r="T56" s="55">
        <f t="shared" si="33"/>
        <v>107996</v>
      </c>
      <c r="U56" s="55">
        <f t="shared" si="33"/>
        <v>101246.25</v>
      </c>
      <c r="V56" s="55">
        <f t="shared" si="33"/>
        <v>95290.588235294126</v>
      </c>
      <c r="W56" s="55">
        <f t="shared" si="33"/>
        <v>89996.666666666657</v>
      </c>
      <c r="X56" s="55">
        <f t="shared" si="33"/>
        <v>89470.526315789466</v>
      </c>
      <c r="Y56" s="55">
        <f t="shared" si="33"/>
        <v>84997</v>
      </c>
      <c r="AA56" s="48"/>
    </row>
    <row r="57" spans="2:50">
      <c r="B57" s="4" t="s">
        <v>63</v>
      </c>
      <c r="C57" s="149">
        <v>70000</v>
      </c>
      <c r="D57" s="4"/>
      <c r="E57" s="4"/>
      <c r="F57" s="55">
        <f t="shared" ref="F57:Y57" si="34">(F34)/F$1*$Y$1</f>
        <v>0</v>
      </c>
      <c r="G57" s="55">
        <f t="shared" si="34"/>
        <v>29950</v>
      </c>
      <c r="H57" s="55">
        <f t="shared" si="34"/>
        <v>39040</v>
      </c>
      <c r="I57" s="55">
        <f t="shared" si="34"/>
        <v>35915</v>
      </c>
      <c r="J57" s="55">
        <f t="shared" si="34"/>
        <v>48816</v>
      </c>
      <c r="K57" s="55">
        <f t="shared" si="34"/>
        <v>40950</v>
      </c>
      <c r="L57" s="55">
        <f t="shared" si="34"/>
        <v>39765.714285714283</v>
      </c>
      <c r="M57" s="55">
        <f t="shared" si="34"/>
        <v>39130</v>
      </c>
      <c r="N57" s="55">
        <f t="shared" si="34"/>
        <v>39317.777777777781</v>
      </c>
      <c r="O57" s="55">
        <f t="shared" si="34"/>
        <v>35386</v>
      </c>
      <c r="P57" s="55">
        <f t="shared" si="34"/>
        <v>38105.454545454544</v>
      </c>
      <c r="Q57" s="55">
        <f t="shared" si="34"/>
        <v>34930</v>
      </c>
      <c r="R57" s="55">
        <f t="shared" si="34"/>
        <v>32243.076923076922</v>
      </c>
      <c r="S57" s="55">
        <f t="shared" si="34"/>
        <v>34940</v>
      </c>
      <c r="T57" s="55">
        <f t="shared" si="34"/>
        <v>34788</v>
      </c>
      <c r="U57" s="55">
        <f t="shared" si="34"/>
        <v>32613.75</v>
      </c>
      <c r="V57" s="55">
        <f t="shared" si="34"/>
        <v>38924.705882352944</v>
      </c>
      <c r="W57" s="55">
        <f t="shared" si="34"/>
        <v>39424.444444444445</v>
      </c>
      <c r="X57" s="55">
        <f t="shared" si="34"/>
        <v>37349.473684210527</v>
      </c>
      <c r="Y57" s="55">
        <f t="shared" si="34"/>
        <v>35482</v>
      </c>
      <c r="AA57" s="48"/>
    </row>
    <row r="58" spans="2:50">
      <c r="B58" s="4" t="s">
        <v>3</v>
      </c>
      <c r="C58" s="150">
        <v>310000</v>
      </c>
      <c r="D58" s="19"/>
      <c r="E58" s="19"/>
      <c r="F58" s="98">
        <f t="shared" ref="F58:Y58" si="35">(F35)/F$1*$Y$1</f>
        <v>1030200</v>
      </c>
      <c r="G58" s="98">
        <f t="shared" si="35"/>
        <v>669300</v>
      </c>
      <c r="H58" s="98">
        <f t="shared" si="35"/>
        <v>536406.66666666663</v>
      </c>
      <c r="I58" s="98">
        <f t="shared" si="35"/>
        <v>443175</v>
      </c>
      <c r="J58" s="98">
        <f t="shared" si="35"/>
        <v>424300</v>
      </c>
      <c r="K58" s="98">
        <f t="shared" si="35"/>
        <v>383200</v>
      </c>
      <c r="L58" s="98">
        <f t="shared" si="35"/>
        <v>368754.28571428574</v>
      </c>
      <c r="M58" s="98">
        <f t="shared" si="35"/>
        <v>351737.5</v>
      </c>
      <c r="N58" s="98">
        <f t="shared" si="35"/>
        <v>312713.33333333331</v>
      </c>
      <c r="O58" s="98">
        <f t="shared" si="35"/>
        <v>286422</v>
      </c>
      <c r="P58" s="98">
        <f t="shared" si="35"/>
        <v>273509.09090909094</v>
      </c>
      <c r="Q58" s="98">
        <f t="shared" si="35"/>
        <v>273206.66666666669</v>
      </c>
      <c r="R58" s="98">
        <f t="shared" si="35"/>
        <v>267887.69230769231</v>
      </c>
      <c r="S58" s="98">
        <f t="shared" si="35"/>
        <v>276620</v>
      </c>
      <c r="T58" s="98">
        <f t="shared" si="35"/>
        <v>280177.33333333331</v>
      </c>
      <c r="U58" s="98">
        <f t="shared" si="35"/>
        <v>286923.75</v>
      </c>
      <c r="V58" s="98">
        <f t="shared" si="35"/>
        <v>280723.5294117647</v>
      </c>
      <c r="W58" s="98">
        <f t="shared" si="35"/>
        <v>274860</v>
      </c>
      <c r="X58" s="98">
        <f t="shared" si="35"/>
        <v>266716.84210526315</v>
      </c>
      <c r="Y58" s="98">
        <f t="shared" si="35"/>
        <v>271113</v>
      </c>
    </row>
    <row r="59" spans="2:50">
      <c r="B59" s="153" t="s">
        <v>27</v>
      </c>
      <c r="C59" s="151">
        <f>SUM(C52:C58)</f>
        <v>1324000</v>
      </c>
      <c r="D59" s="10">
        <f>SUM(D52:D58)</f>
        <v>0</v>
      </c>
      <c r="E59" s="10"/>
      <c r="F59" s="10">
        <f t="shared" ref="F59:Y59" si="36">SUM(F52:F58)</f>
        <v>2927160</v>
      </c>
      <c r="G59" s="10">
        <f t="shared" si="36"/>
        <v>2194710</v>
      </c>
      <c r="H59" s="10">
        <f t="shared" si="36"/>
        <v>1962220</v>
      </c>
      <c r="I59" s="10">
        <f t="shared" si="36"/>
        <v>1688280</v>
      </c>
      <c r="J59" s="10">
        <f t="shared" si="36"/>
        <v>1667000</v>
      </c>
      <c r="K59" s="10">
        <f t="shared" si="36"/>
        <v>1533836.6666666665</v>
      </c>
      <c r="L59" s="10">
        <f t="shared" si="36"/>
        <v>1481908.5714285714</v>
      </c>
      <c r="M59" s="10">
        <f t="shared" si="36"/>
        <v>1441457.5</v>
      </c>
      <c r="N59" s="10">
        <f t="shared" si="36"/>
        <v>1367733.3333333333</v>
      </c>
      <c r="O59" s="10">
        <f t="shared" si="36"/>
        <v>1312592</v>
      </c>
      <c r="P59" s="10">
        <f t="shared" si="36"/>
        <v>1286445.4545454546</v>
      </c>
      <c r="Q59" s="10">
        <f t="shared" si="36"/>
        <v>1257538.3333333335</v>
      </c>
      <c r="R59" s="10">
        <f t="shared" si="36"/>
        <v>1233509.2307692308</v>
      </c>
      <c r="S59" s="10">
        <f t="shared" si="36"/>
        <v>1239397.142857143</v>
      </c>
      <c r="T59" s="10">
        <f t="shared" si="36"/>
        <v>1242839.9999999998</v>
      </c>
      <c r="U59" s="10">
        <f t="shared" si="36"/>
        <v>1205972.5</v>
      </c>
      <c r="V59" s="10">
        <f t="shared" si="36"/>
        <v>1191851.7647058824</v>
      </c>
      <c r="W59" s="10">
        <f t="shared" si="36"/>
        <v>1175972.2222222222</v>
      </c>
      <c r="X59" s="10">
        <f t="shared" si="36"/>
        <v>1179669.4736842106</v>
      </c>
      <c r="Y59" s="10">
        <f t="shared" si="36"/>
        <v>1198896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 t="shared" ref="F62:Y62" si="37">+$C$13*F1</f>
        <v>66200</v>
      </c>
      <c r="G62" s="144">
        <f t="shared" si="37"/>
        <v>132400</v>
      </c>
      <c r="H62" s="144">
        <f t="shared" si="37"/>
        <v>198600</v>
      </c>
      <c r="I62" s="144">
        <f t="shared" si="37"/>
        <v>264800</v>
      </c>
      <c r="J62" s="144">
        <f t="shared" si="37"/>
        <v>331000</v>
      </c>
      <c r="K62" s="144">
        <f t="shared" si="37"/>
        <v>397200</v>
      </c>
      <c r="L62" s="144">
        <f t="shared" si="37"/>
        <v>463400</v>
      </c>
      <c r="M62" s="144">
        <f t="shared" si="37"/>
        <v>529600</v>
      </c>
      <c r="N62" s="144">
        <f t="shared" si="37"/>
        <v>595800</v>
      </c>
      <c r="O62" s="144">
        <f t="shared" si="37"/>
        <v>662000</v>
      </c>
      <c r="P62" s="144">
        <f t="shared" si="37"/>
        <v>728200</v>
      </c>
      <c r="Q62" s="144">
        <f t="shared" si="37"/>
        <v>794400</v>
      </c>
      <c r="R62" s="144">
        <f t="shared" si="37"/>
        <v>860600</v>
      </c>
      <c r="S62" s="144">
        <f t="shared" si="37"/>
        <v>926800</v>
      </c>
      <c r="T62" s="144">
        <f t="shared" si="37"/>
        <v>993000</v>
      </c>
      <c r="U62" s="144">
        <f t="shared" si="37"/>
        <v>1059200</v>
      </c>
      <c r="V62" s="144">
        <f t="shared" si="37"/>
        <v>1125400</v>
      </c>
      <c r="W62" s="144">
        <f t="shared" si="37"/>
        <v>1191600</v>
      </c>
      <c r="X62" s="144">
        <f t="shared" si="37"/>
        <v>1257800</v>
      </c>
      <c r="Y62" s="144">
        <f t="shared" si="37"/>
        <v>1324000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2">
    <mergeCell ref="Z40:AA40"/>
    <mergeCell ref="O2:P2"/>
  </mergeCells>
  <phoneticPr fontId="5" type="noConversion"/>
  <conditionalFormatting sqref="AA29:AA36">
    <cfRule type="cellIs" dxfId="114" priority="2" stopIfTrue="1" operator="lessThan">
      <formula>0</formula>
    </cfRule>
    <cfRule type="cellIs" dxfId="113" priority="3" stopIfTrue="1" operator="greaterThan">
      <formula>0</formula>
    </cfRule>
    <cfRule type="cellIs" dxfId="112" priority="4" stopIfTrue="1" operator="lessThan">
      <formula>0</formula>
    </cfRule>
    <cfRule type="cellIs" dxfId="111" priority="5" stopIfTrue="1" operator="greaterThan">
      <formula>0</formula>
    </cfRule>
  </conditionalFormatting>
  <conditionalFormatting sqref="Z7:Z12">
    <cfRule type="cellIs" dxfId="110" priority="1" stopIfTrue="1" operator="greaterThan">
      <formula>#REF!</formula>
    </cfRule>
  </conditionalFormatting>
  <printOptions horizontalCentered="1"/>
  <pageMargins left="0.15748031496062992" right="0.15748031496062992" top="0.23622047244094491" bottom="0.15748031496062992" header="0.15748031496062992" footer="0.15748031496062992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/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93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19000</v>
      </c>
      <c r="D6" s="10"/>
      <c r="E6" s="11">
        <v>90877</v>
      </c>
      <c r="F6" s="34">
        <v>6470</v>
      </c>
      <c r="G6" s="34">
        <v>19935</v>
      </c>
      <c r="H6" s="34">
        <v>4320</v>
      </c>
      <c r="I6" s="34">
        <v>14629</v>
      </c>
      <c r="J6" s="34">
        <v>9170</v>
      </c>
      <c r="K6" s="34">
        <v>16730</v>
      </c>
      <c r="L6" s="34">
        <v>11865</v>
      </c>
      <c r="M6" s="34">
        <v>20113</v>
      </c>
      <c r="N6" s="34">
        <v>16770</v>
      </c>
      <c r="O6" s="34">
        <v>1620</v>
      </c>
      <c r="P6" s="34">
        <v>1620</v>
      </c>
      <c r="Q6" s="34">
        <v>16560</v>
      </c>
      <c r="R6" s="34">
        <v>21958</v>
      </c>
      <c r="S6" s="34">
        <v>19625</v>
      </c>
      <c r="T6" s="34">
        <v>31701</v>
      </c>
      <c r="U6" s="34">
        <v>19504</v>
      </c>
      <c r="V6" s="34">
        <v>11330</v>
      </c>
      <c r="W6" s="34">
        <v>27695</v>
      </c>
      <c r="X6" s="34">
        <v>23608</v>
      </c>
      <c r="Y6" s="34">
        <v>31999</v>
      </c>
      <c r="Z6" s="69">
        <f t="shared" ref="Z6:Z12" si="1">(SUM(F6:Y6)/(COUNT(F6:Y6)))</f>
        <v>16361.1</v>
      </c>
      <c r="AA6" s="103"/>
      <c r="AX6"/>
    </row>
    <row r="7" spans="1:50">
      <c r="B7" s="4" t="s">
        <v>64</v>
      </c>
      <c r="C7" s="20">
        <f t="shared" si="0"/>
        <v>7250</v>
      </c>
      <c r="D7" s="10"/>
      <c r="E7" s="11">
        <v>24175</v>
      </c>
      <c r="F7" s="34">
        <v>2695</v>
      </c>
      <c r="G7" s="34">
        <v>6995</v>
      </c>
      <c r="H7" s="34">
        <v>5390</v>
      </c>
      <c r="I7" s="34">
        <v>0</v>
      </c>
      <c r="J7" s="34">
        <v>0</v>
      </c>
      <c r="K7" s="34">
        <v>4795</v>
      </c>
      <c r="L7" s="34">
        <v>2695</v>
      </c>
      <c r="M7" s="34">
        <v>0</v>
      </c>
      <c r="N7" s="34">
        <v>4795</v>
      </c>
      <c r="O7" s="34">
        <v>1500</v>
      </c>
      <c r="P7" s="34">
        <v>2695</v>
      </c>
      <c r="Q7" s="34">
        <v>2695</v>
      </c>
      <c r="R7" s="34">
        <v>0</v>
      </c>
      <c r="S7" s="34">
        <v>6995</v>
      </c>
      <c r="T7" s="34">
        <v>4795</v>
      </c>
      <c r="U7" s="34">
        <v>0</v>
      </c>
      <c r="V7" s="34">
        <v>2695</v>
      </c>
      <c r="W7" s="34">
        <v>2695</v>
      </c>
      <c r="X7" s="34">
        <v>2695</v>
      </c>
      <c r="Y7" s="34">
        <v>16890</v>
      </c>
      <c r="Z7" s="69">
        <f t="shared" si="1"/>
        <v>3551</v>
      </c>
      <c r="AA7" s="103"/>
      <c r="AX7"/>
    </row>
    <row r="8" spans="1:50">
      <c r="B8" s="4" t="s">
        <v>77</v>
      </c>
      <c r="C8" s="20">
        <f t="shared" si="0"/>
        <v>7250</v>
      </c>
      <c r="D8" s="10"/>
      <c r="E8" s="11">
        <v>17015</v>
      </c>
      <c r="F8" s="34">
        <v>0</v>
      </c>
      <c r="G8" s="34">
        <v>5695</v>
      </c>
      <c r="H8" s="34">
        <v>2695</v>
      </c>
      <c r="I8" s="34">
        <v>9945</v>
      </c>
      <c r="J8" s="34">
        <v>2290</v>
      </c>
      <c r="K8" s="34">
        <v>6490</v>
      </c>
      <c r="L8" s="34">
        <v>0</v>
      </c>
      <c r="M8" s="34">
        <v>0</v>
      </c>
      <c r="N8" s="34">
        <v>7250</v>
      </c>
      <c r="O8" s="34">
        <v>5390</v>
      </c>
      <c r="P8" s="34">
        <v>5255</v>
      </c>
      <c r="Q8" s="34">
        <v>7250</v>
      </c>
      <c r="R8" s="34">
        <v>6490</v>
      </c>
      <c r="S8" s="34">
        <v>4295</v>
      </c>
      <c r="T8" s="34">
        <v>8285</v>
      </c>
      <c r="U8" s="34">
        <v>0</v>
      </c>
      <c r="V8" s="34">
        <v>0</v>
      </c>
      <c r="W8" s="34">
        <v>5700</v>
      </c>
      <c r="X8" s="34">
        <v>15515</v>
      </c>
      <c r="Y8" s="34">
        <v>9795</v>
      </c>
      <c r="Z8" s="69">
        <f t="shared" si="1"/>
        <v>5117</v>
      </c>
      <c r="AA8" s="103"/>
      <c r="AX8"/>
    </row>
    <row r="9" spans="1:50">
      <c r="B9" s="4" t="s">
        <v>1</v>
      </c>
      <c r="C9" s="20">
        <f t="shared" si="0"/>
        <v>15300</v>
      </c>
      <c r="D9" s="10"/>
      <c r="E9" s="11">
        <v>80950</v>
      </c>
      <c r="F9" s="171">
        <v>11990</v>
      </c>
      <c r="G9" s="34">
        <v>7490</v>
      </c>
      <c r="H9" s="34">
        <v>16990</v>
      </c>
      <c r="I9" s="34">
        <v>8990</v>
      </c>
      <c r="J9" s="34">
        <v>21200</v>
      </c>
      <c r="K9" s="171">
        <v>15980</v>
      </c>
      <c r="L9" s="34">
        <v>11040</v>
      </c>
      <c r="M9" s="34">
        <v>8900</v>
      </c>
      <c r="N9" s="34">
        <v>17355</v>
      </c>
      <c r="O9" s="34">
        <v>14535</v>
      </c>
      <c r="P9" s="34">
        <v>11995</v>
      </c>
      <c r="Q9" s="34">
        <v>21025</v>
      </c>
      <c r="R9" s="34">
        <v>8490</v>
      </c>
      <c r="S9" s="34">
        <v>12385</v>
      </c>
      <c r="T9" s="34">
        <v>40465</v>
      </c>
      <c r="U9" s="34">
        <v>19985</v>
      </c>
      <c r="V9" s="34">
        <v>16385</v>
      </c>
      <c r="W9" s="34">
        <v>25035</v>
      </c>
      <c r="X9" s="34">
        <v>24630</v>
      </c>
      <c r="Y9" s="34">
        <v>20520</v>
      </c>
      <c r="Z9" s="69">
        <f t="shared" si="1"/>
        <v>16769.25</v>
      </c>
      <c r="AA9" s="103"/>
      <c r="AX9"/>
    </row>
    <row r="10" spans="1:50">
      <c r="B10" s="4" t="s">
        <v>2</v>
      </c>
      <c r="C10" s="20">
        <f t="shared" si="0"/>
        <v>7200</v>
      </c>
      <c r="D10" s="10"/>
      <c r="E10" s="11">
        <v>22621</v>
      </c>
      <c r="F10" s="34">
        <v>0</v>
      </c>
      <c r="G10" s="34">
        <v>2545</v>
      </c>
      <c r="H10" s="34">
        <v>2995</v>
      </c>
      <c r="I10" s="34">
        <v>11485</v>
      </c>
      <c r="J10" s="34">
        <v>3745</v>
      </c>
      <c r="K10" s="34">
        <v>7116</v>
      </c>
      <c r="L10" s="34">
        <v>8490</v>
      </c>
      <c r="M10" s="34">
        <v>5990</v>
      </c>
      <c r="N10" s="34">
        <v>6990</v>
      </c>
      <c r="O10" s="34">
        <v>0</v>
      </c>
      <c r="P10" s="34">
        <v>1750</v>
      </c>
      <c r="Q10" s="34">
        <v>0</v>
      </c>
      <c r="R10" s="34">
        <v>4745</v>
      </c>
      <c r="S10" s="34">
        <v>2995</v>
      </c>
      <c r="T10" s="34">
        <v>10886</v>
      </c>
      <c r="U10" s="34">
        <v>3500</v>
      </c>
      <c r="V10" s="34">
        <v>1995</v>
      </c>
      <c r="W10" s="34">
        <v>9195</v>
      </c>
      <c r="X10" s="34">
        <v>5990</v>
      </c>
      <c r="Y10" s="34">
        <v>15135</v>
      </c>
      <c r="Z10" s="69">
        <f t="shared" si="1"/>
        <v>5277.35</v>
      </c>
      <c r="AA10" s="103"/>
      <c r="AX10"/>
    </row>
    <row r="11" spans="1:50">
      <c r="B11" s="4" t="s">
        <v>63</v>
      </c>
      <c r="C11" s="20">
        <f t="shared" si="0"/>
        <v>3500</v>
      </c>
      <c r="D11" s="10"/>
      <c r="E11" s="11">
        <v>6122</v>
      </c>
      <c r="F11" s="34">
        <v>6122</v>
      </c>
      <c r="G11" s="34">
        <v>3061</v>
      </c>
      <c r="H11" s="34">
        <v>7362</v>
      </c>
      <c r="I11" s="34">
        <v>0</v>
      </c>
      <c r="J11" s="34">
        <v>0</v>
      </c>
      <c r="K11" s="34">
        <v>0</v>
      </c>
      <c r="L11" s="34">
        <v>0</v>
      </c>
      <c r="M11" s="34">
        <v>2041</v>
      </c>
      <c r="N11" s="34">
        <v>5995</v>
      </c>
      <c r="O11" s="34">
        <v>0</v>
      </c>
      <c r="P11" s="34">
        <v>0</v>
      </c>
      <c r="Q11" s="34">
        <v>4081</v>
      </c>
      <c r="R11" s="34">
        <v>2041</v>
      </c>
      <c r="S11" s="34">
        <v>0</v>
      </c>
      <c r="T11" s="34">
        <v>6000</v>
      </c>
      <c r="U11" s="34">
        <v>0</v>
      </c>
      <c r="V11" s="34">
        <v>0</v>
      </c>
      <c r="W11" s="34">
        <v>1531</v>
      </c>
      <c r="X11" s="34">
        <v>0</v>
      </c>
      <c r="Y11" s="34">
        <v>0</v>
      </c>
      <c r="Z11" s="69">
        <f t="shared" si="1"/>
        <v>1911.7</v>
      </c>
      <c r="AA11" s="103"/>
      <c r="AX11"/>
    </row>
    <row r="12" spans="1:50">
      <c r="B12" s="4" t="s">
        <v>3</v>
      </c>
      <c r="C12" s="21">
        <f t="shared" si="0"/>
        <v>16250</v>
      </c>
      <c r="D12" s="13"/>
      <c r="E12" s="40">
        <v>85117</v>
      </c>
      <c r="F12" s="172">
        <v>14300</v>
      </c>
      <c r="G12" s="172">
        <v>16019</v>
      </c>
      <c r="H12" s="35">
        <v>11478</v>
      </c>
      <c r="I12" s="35">
        <v>14477</v>
      </c>
      <c r="J12" s="35">
        <v>12711</v>
      </c>
      <c r="K12" s="172">
        <v>14623</v>
      </c>
      <c r="L12" s="172">
        <v>0</v>
      </c>
      <c r="M12" s="35">
        <v>16047</v>
      </c>
      <c r="N12" s="35">
        <v>11788</v>
      </c>
      <c r="O12" s="35">
        <v>7217</v>
      </c>
      <c r="P12" s="35">
        <v>4100</v>
      </c>
      <c r="Q12" s="35">
        <v>16591</v>
      </c>
      <c r="R12" s="35">
        <v>17466</v>
      </c>
      <c r="S12" s="35">
        <v>25019</v>
      </c>
      <c r="T12" s="35">
        <v>21021</v>
      </c>
      <c r="U12" s="35">
        <v>15032</v>
      </c>
      <c r="V12" s="35">
        <v>19624</v>
      </c>
      <c r="W12" s="35">
        <v>14105</v>
      </c>
      <c r="X12" s="35">
        <v>27729</v>
      </c>
      <c r="Y12" s="35">
        <v>26528</v>
      </c>
      <c r="Z12" s="69">
        <f t="shared" si="1"/>
        <v>15293.75</v>
      </c>
      <c r="AA12" s="103"/>
      <c r="AX12"/>
    </row>
    <row r="13" spans="1:50" ht="15.75" thickBot="1">
      <c r="B13" s="14" t="s">
        <v>27</v>
      </c>
      <c r="C13" s="20">
        <f>SUM(C6:C12)</f>
        <v>75750</v>
      </c>
      <c r="D13" s="10"/>
      <c r="E13" s="11">
        <f t="shared" ref="E13:Y13" si="2">SUM(E6:E12)</f>
        <v>326877</v>
      </c>
      <c r="F13" s="10">
        <f t="shared" si="2"/>
        <v>41577</v>
      </c>
      <c r="G13" s="10">
        <f t="shared" si="2"/>
        <v>61740</v>
      </c>
      <c r="H13" s="10">
        <f t="shared" si="2"/>
        <v>51230</v>
      </c>
      <c r="I13" s="10">
        <f t="shared" si="2"/>
        <v>59526</v>
      </c>
      <c r="J13" s="10">
        <f t="shared" si="2"/>
        <v>49116</v>
      </c>
      <c r="K13" s="10">
        <f t="shared" si="2"/>
        <v>65734</v>
      </c>
      <c r="L13" s="10">
        <f t="shared" si="2"/>
        <v>34090</v>
      </c>
      <c r="M13" s="10">
        <f t="shared" si="2"/>
        <v>53091</v>
      </c>
      <c r="N13" s="10">
        <f t="shared" si="2"/>
        <v>70943</v>
      </c>
      <c r="O13" s="10">
        <f t="shared" si="2"/>
        <v>30262</v>
      </c>
      <c r="P13" s="10">
        <f t="shared" si="2"/>
        <v>27415</v>
      </c>
      <c r="Q13" s="10">
        <f t="shared" si="2"/>
        <v>68202</v>
      </c>
      <c r="R13" s="10">
        <f t="shared" si="2"/>
        <v>61190</v>
      </c>
      <c r="S13" s="10">
        <f t="shared" si="2"/>
        <v>71314</v>
      </c>
      <c r="T13" s="10">
        <f t="shared" si="2"/>
        <v>123153</v>
      </c>
      <c r="U13" s="10">
        <f t="shared" si="2"/>
        <v>58021</v>
      </c>
      <c r="V13" s="10">
        <f t="shared" si="2"/>
        <v>52029</v>
      </c>
      <c r="W13" s="10">
        <f t="shared" si="2"/>
        <v>85956</v>
      </c>
      <c r="X13" s="10">
        <f t="shared" si="2"/>
        <v>100167</v>
      </c>
      <c r="Y13" s="10">
        <f t="shared" si="2"/>
        <v>120867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123">
        <f>(SUM(F13:Y13)/(COUNT(F13:Y13)))</f>
        <v>64281.15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0.34052631578947368</v>
      </c>
      <c r="G18" s="25">
        <f t="shared" si="5"/>
        <v>1.0492105263157894</v>
      </c>
      <c r="H18" s="25">
        <f t="shared" si="5"/>
        <v>0.22736842105263155</v>
      </c>
      <c r="I18" s="25">
        <f t="shared" si="5"/>
        <v>0.7699473684210526</v>
      </c>
      <c r="J18" s="25">
        <f t="shared" si="5"/>
        <v>0.48263157894736841</v>
      </c>
      <c r="K18" s="25">
        <f t="shared" si="5"/>
        <v>0.88052631578947371</v>
      </c>
      <c r="L18" s="25">
        <f t="shared" si="5"/>
        <v>0.62447368421052629</v>
      </c>
      <c r="M18" s="25">
        <f t="shared" si="5"/>
        <v>1.0585789473684211</v>
      </c>
      <c r="N18" s="25">
        <f t="shared" si="5"/>
        <v>0.88263157894736843</v>
      </c>
      <c r="O18" s="25">
        <f t="shared" si="5"/>
        <v>8.5263157894736818E-2</v>
      </c>
      <c r="P18" s="25">
        <f t="shared" si="5"/>
        <v>8.5263157894736818E-2</v>
      </c>
      <c r="Q18" s="25">
        <f t="shared" si="5"/>
        <v>0.87157894736842101</v>
      </c>
      <c r="R18" s="25">
        <f t="shared" si="5"/>
        <v>1.1556842105263159</v>
      </c>
      <c r="S18" s="25">
        <f t="shared" si="5"/>
        <v>1.0328947368421053</v>
      </c>
      <c r="T18" s="25">
        <f t="shared" si="5"/>
        <v>1.6684736842105263</v>
      </c>
      <c r="U18" s="25">
        <f t="shared" si="5"/>
        <v>1.0265263157894737</v>
      </c>
      <c r="V18" s="25">
        <f t="shared" si="5"/>
        <v>0.59631578947368413</v>
      </c>
      <c r="W18" s="25">
        <f t="shared" si="5"/>
        <v>1.4576315789473684</v>
      </c>
      <c r="X18" s="25">
        <f t="shared" si="5"/>
        <v>1.2425263157894737</v>
      </c>
      <c r="Y18" s="25">
        <f t="shared" si="5"/>
        <v>1.6841578947368421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0.37172413793103454</v>
      </c>
      <c r="G19" s="25">
        <f t="shared" si="5"/>
        <v>0.96482758620689657</v>
      </c>
      <c r="H19" s="25">
        <f t="shared" si="5"/>
        <v>0.74344827586206896</v>
      </c>
      <c r="I19" s="25">
        <f t="shared" si="5"/>
        <v>0</v>
      </c>
      <c r="J19" s="25">
        <f t="shared" si="5"/>
        <v>0</v>
      </c>
      <c r="K19" s="25">
        <f t="shared" si="5"/>
        <v>0.66137931034482755</v>
      </c>
      <c r="L19" s="25">
        <f t="shared" si="5"/>
        <v>0.37172413793103454</v>
      </c>
      <c r="M19" s="25">
        <f t="shared" si="5"/>
        <v>0</v>
      </c>
      <c r="N19" s="25">
        <f t="shared" si="5"/>
        <v>0.66137931034482755</v>
      </c>
      <c r="O19" s="25">
        <f t="shared" si="5"/>
        <v>0.2068965517241379</v>
      </c>
      <c r="P19" s="25">
        <f t="shared" si="5"/>
        <v>0.37172413793103454</v>
      </c>
      <c r="Q19" s="25">
        <f t="shared" si="5"/>
        <v>0.37172413793103454</v>
      </c>
      <c r="R19" s="25">
        <f t="shared" si="5"/>
        <v>0</v>
      </c>
      <c r="S19" s="25">
        <f t="shared" si="5"/>
        <v>0.96482758620689657</v>
      </c>
      <c r="T19" s="25">
        <f t="shared" si="5"/>
        <v>0.66137931034482755</v>
      </c>
      <c r="U19" s="25">
        <f t="shared" si="5"/>
        <v>0</v>
      </c>
      <c r="V19" s="25">
        <f t="shared" si="5"/>
        <v>0.37172413793103454</v>
      </c>
      <c r="W19" s="25">
        <f t="shared" si="5"/>
        <v>0.37172413793103454</v>
      </c>
      <c r="X19" s="25">
        <f t="shared" si="5"/>
        <v>0.37172413793103454</v>
      </c>
      <c r="Y19" s="25">
        <f t="shared" si="5"/>
        <v>2.3296551724137933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0</v>
      </c>
      <c r="G20" s="25">
        <f t="shared" si="5"/>
        <v>0.78551724137931034</v>
      </c>
      <c r="H20" s="25">
        <f t="shared" si="5"/>
        <v>0.37172413793103454</v>
      </c>
      <c r="I20" s="25">
        <f t="shared" si="5"/>
        <v>1.3717241379310345</v>
      </c>
      <c r="J20" s="25">
        <f t="shared" si="5"/>
        <v>0.31586206896551727</v>
      </c>
      <c r="K20" s="25">
        <f t="shared" si="5"/>
        <v>0.89517241379310342</v>
      </c>
      <c r="L20" s="25">
        <f t="shared" si="5"/>
        <v>0</v>
      </c>
      <c r="M20" s="25">
        <f t="shared" si="5"/>
        <v>0</v>
      </c>
      <c r="N20" s="25">
        <f t="shared" si="5"/>
        <v>1</v>
      </c>
      <c r="O20" s="25">
        <f t="shared" si="5"/>
        <v>0.74344827586206896</v>
      </c>
      <c r="P20" s="25">
        <f t="shared" si="5"/>
        <v>0.72482758620689658</v>
      </c>
      <c r="Q20" s="25">
        <f t="shared" si="5"/>
        <v>1</v>
      </c>
      <c r="R20" s="25">
        <f t="shared" si="5"/>
        <v>0.89517241379310342</v>
      </c>
      <c r="S20" s="25">
        <f t="shared" si="5"/>
        <v>0.59241379310344833</v>
      </c>
      <c r="T20" s="25">
        <f t="shared" si="5"/>
        <v>1.1427586206896552</v>
      </c>
      <c r="U20" s="25">
        <f t="shared" si="5"/>
        <v>0</v>
      </c>
      <c r="V20" s="25">
        <f t="shared" si="5"/>
        <v>0</v>
      </c>
      <c r="W20" s="25">
        <f t="shared" si="5"/>
        <v>0.78620689655172415</v>
      </c>
      <c r="X20" s="25">
        <f t="shared" si="5"/>
        <v>2.1399999999999997</v>
      </c>
      <c r="Y20" s="25">
        <f t="shared" si="5"/>
        <v>1.3510344827586207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0.78366013071895424</v>
      </c>
      <c r="G21" s="25">
        <f t="shared" si="5"/>
        <v>0.48954248366013076</v>
      </c>
      <c r="H21" s="25">
        <f t="shared" si="5"/>
        <v>1.1104575163398693</v>
      </c>
      <c r="I21" s="25">
        <f t="shared" si="5"/>
        <v>0.58758169934640525</v>
      </c>
      <c r="J21" s="25">
        <f t="shared" si="5"/>
        <v>1.3856209150326797</v>
      </c>
      <c r="K21" s="25">
        <f t="shared" si="5"/>
        <v>1.0444444444444445</v>
      </c>
      <c r="L21" s="25">
        <f t="shared" si="5"/>
        <v>0.72156862745098038</v>
      </c>
      <c r="M21" s="25">
        <f t="shared" si="5"/>
        <v>0.58169934640522869</v>
      </c>
      <c r="N21" s="25">
        <f t="shared" si="5"/>
        <v>1.134313725490196</v>
      </c>
      <c r="O21" s="25">
        <f t="shared" si="5"/>
        <v>0.95</v>
      </c>
      <c r="P21" s="25">
        <f t="shared" si="5"/>
        <v>0.78398692810457515</v>
      </c>
      <c r="Q21" s="25">
        <f t="shared" si="5"/>
        <v>1.3741830065359477</v>
      </c>
      <c r="R21" s="25">
        <f t="shared" si="5"/>
        <v>0.55490196078431375</v>
      </c>
      <c r="S21" s="25">
        <f t="shared" si="5"/>
        <v>0.80947712418300655</v>
      </c>
      <c r="T21" s="25">
        <f t="shared" si="5"/>
        <v>2.6447712418300653</v>
      </c>
      <c r="U21" s="25">
        <f t="shared" si="5"/>
        <v>1.3062091503267974</v>
      </c>
      <c r="V21" s="25">
        <f t="shared" si="5"/>
        <v>1.0709150326797385</v>
      </c>
      <c r="W21" s="25">
        <f t="shared" si="5"/>
        <v>1.6362745098039215</v>
      </c>
      <c r="X21" s="25">
        <f t="shared" si="5"/>
        <v>1.6098039215686275</v>
      </c>
      <c r="Y21" s="25">
        <f t="shared" si="5"/>
        <v>1.3411764705882354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</v>
      </c>
      <c r="G22" s="25">
        <f t="shared" si="6"/>
        <v>0.35347222222222219</v>
      </c>
      <c r="H22" s="25">
        <f t="shared" si="6"/>
        <v>0.41597222222222219</v>
      </c>
      <c r="I22" s="25">
        <f t="shared" si="6"/>
        <v>1.5951388888888889</v>
      </c>
      <c r="J22" s="25">
        <f t="shared" si="6"/>
        <v>0.52013888888888893</v>
      </c>
      <c r="K22" s="25">
        <f t="shared" si="6"/>
        <v>0.98833333333333329</v>
      </c>
      <c r="L22" s="25">
        <f t="shared" si="6"/>
        <v>1.1791666666666667</v>
      </c>
      <c r="M22" s="25">
        <f t="shared" si="6"/>
        <v>0.83194444444444438</v>
      </c>
      <c r="N22" s="25">
        <f t="shared" si="6"/>
        <v>0.97083333333333333</v>
      </c>
      <c r="O22" s="25">
        <f t="shared" si="6"/>
        <v>0</v>
      </c>
      <c r="P22" s="25">
        <f t="shared" si="6"/>
        <v>0.24305555555555558</v>
      </c>
      <c r="Q22" s="25">
        <f t="shared" si="6"/>
        <v>0</v>
      </c>
      <c r="R22" s="25">
        <f t="shared" si="6"/>
        <v>0.65902777777777777</v>
      </c>
      <c r="S22" s="25">
        <f t="shared" si="6"/>
        <v>0.41597222222222219</v>
      </c>
      <c r="T22" s="25">
        <f t="shared" si="6"/>
        <v>1.5119444444444445</v>
      </c>
      <c r="U22" s="25">
        <f t="shared" si="6"/>
        <v>0.48611111111111116</v>
      </c>
      <c r="V22" s="25">
        <f t="shared" si="6"/>
        <v>0.27708333333333335</v>
      </c>
      <c r="W22" s="25">
        <f t="shared" si="6"/>
        <v>1.2770833333333333</v>
      </c>
      <c r="X22" s="25">
        <f t="shared" si="6"/>
        <v>0.83194444444444438</v>
      </c>
      <c r="Y22" s="25">
        <f t="shared" si="6"/>
        <v>2.1020833333333333</v>
      </c>
      <c r="Z22" s="104"/>
      <c r="AA22" s="104"/>
    </row>
    <row r="23" spans="2:50" s="1" customFormat="1" ht="12.75">
      <c r="B23" s="4" t="s">
        <v>63</v>
      </c>
      <c r="C23" s="25">
        <f t="shared" si="4"/>
        <v>1</v>
      </c>
      <c r="D23" s="25"/>
      <c r="E23" s="25"/>
      <c r="F23" s="25">
        <f t="shared" si="6"/>
        <v>1.7491428571428571</v>
      </c>
      <c r="G23" s="25">
        <f t="shared" si="6"/>
        <v>0.87457142857142856</v>
      </c>
      <c r="H23" s="25">
        <f t="shared" si="6"/>
        <v>2.1034285714285712</v>
      </c>
      <c r="I23" s="25">
        <f t="shared" si="6"/>
        <v>0</v>
      </c>
      <c r="J23" s="25">
        <f t="shared" si="6"/>
        <v>0</v>
      </c>
      <c r="K23" s="25">
        <f t="shared" si="6"/>
        <v>0</v>
      </c>
      <c r="L23" s="25">
        <f t="shared" si="6"/>
        <v>0</v>
      </c>
      <c r="M23" s="25">
        <f t="shared" si="6"/>
        <v>0.58314285714285718</v>
      </c>
      <c r="N23" s="25">
        <f t="shared" si="6"/>
        <v>1.7128571428571429</v>
      </c>
      <c r="O23" s="25">
        <f t="shared" si="6"/>
        <v>0</v>
      </c>
      <c r="P23" s="25">
        <f t="shared" si="6"/>
        <v>0</v>
      </c>
      <c r="Q23" s="25">
        <f t="shared" si="6"/>
        <v>1.1659999999999999</v>
      </c>
      <c r="R23" s="25">
        <f t="shared" si="6"/>
        <v>0.58314285714285718</v>
      </c>
      <c r="S23" s="25">
        <f t="shared" si="6"/>
        <v>0</v>
      </c>
      <c r="T23" s="25">
        <f t="shared" si="6"/>
        <v>1.7142857142857144</v>
      </c>
      <c r="U23" s="25">
        <f t="shared" si="6"/>
        <v>0</v>
      </c>
      <c r="V23" s="25">
        <f t="shared" si="6"/>
        <v>0</v>
      </c>
      <c r="W23" s="25">
        <f t="shared" si="6"/>
        <v>0.43742857142857139</v>
      </c>
      <c r="X23" s="25">
        <f t="shared" si="6"/>
        <v>0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0.88</v>
      </c>
      <c r="G24" s="27">
        <f t="shared" si="6"/>
        <v>0.98578461538461537</v>
      </c>
      <c r="H24" s="27">
        <f t="shared" si="6"/>
        <v>0.70633846153846158</v>
      </c>
      <c r="I24" s="27">
        <f t="shared" si="6"/>
        <v>0.89089230769230765</v>
      </c>
      <c r="J24" s="27">
        <f t="shared" si="6"/>
        <v>0.78221538461538465</v>
      </c>
      <c r="K24" s="27">
        <f t="shared" si="6"/>
        <v>0.89987692307692302</v>
      </c>
      <c r="L24" s="27">
        <f t="shared" si="6"/>
        <v>0</v>
      </c>
      <c r="M24" s="27">
        <f t="shared" si="6"/>
        <v>0.98750769230769231</v>
      </c>
      <c r="N24" s="27">
        <f t="shared" si="6"/>
        <v>0.72541538461538457</v>
      </c>
      <c r="O24" s="27">
        <f t="shared" si="6"/>
        <v>0.44412307692307695</v>
      </c>
      <c r="P24" s="27">
        <f t="shared" si="6"/>
        <v>0.25230769230769234</v>
      </c>
      <c r="Q24" s="27">
        <f t="shared" si="6"/>
        <v>1.0209846153846154</v>
      </c>
      <c r="R24" s="27">
        <f t="shared" si="6"/>
        <v>1.0748307692307693</v>
      </c>
      <c r="S24" s="27">
        <f t="shared" si="6"/>
        <v>1.5396307692307691</v>
      </c>
      <c r="T24" s="27">
        <f t="shared" si="6"/>
        <v>1.2936000000000001</v>
      </c>
      <c r="U24" s="27">
        <f t="shared" si="6"/>
        <v>0.92504615384615385</v>
      </c>
      <c r="V24" s="27">
        <f t="shared" si="6"/>
        <v>1.2076307692307693</v>
      </c>
      <c r="W24" s="27">
        <f t="shared" si="6"/>
        <v>0.86799999999999999</v>
      </c>
      <c r="X24" s="27">
        <f t="shared" si="6"/>
        <v>1.7063999999999999</v>
      </c>
      <c r="Y24" s="27">
        <f t="shared" si="6"/>
        <v>1.6324923076923077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0.54887128712871291</v>
      </c>
      <c r="G25" s="25">
        <f t="shared" si="6"/>
        <v>0.81504950495049511</v>
      </c>
      <c r="H25" s="25">
        <f t="shared" si="6"/>
        <v>0.67630363036303631</v>
      </c>
      <c r="I25" s="25">
        <f t="shared" si="6"/>
        <v>0.78582178217821785</v>
      </c>
      <c r="J25" s="25">
        <f>(J13-$C13)/$C13+1</f>
        <v>0.64839603960396042</v>
      </c>
      <c r="K25" s="25">
        <f>(K13-$C13)/$C13+1</f>
        <v>0.86777557755775581</v>
      </c>
      <c r="L25" s="25">
        <f>(L13-$C13)/$C13+1</f>
        <v>0.45003300330033003</v>
      </c>
      <c r="M25" s="25">
        <f t="shared" si="6"/>
        <v>0.70087128712871283</v>
      </c>
      <c r="N25" s="25">
        <f t="shared" si="6"/>
        <v>0.93654125412541256</v>
      </c>
      <c r="O25" s="25">
        <f t="shared" si="6"/>
        <v>0.39949834983498345</v>
      </c>
      <c r="P25" s="25">
        <f t="shared" si="6"/>
        <v>0.36191419141914194</v>
      </c>
      <c r="Q25" s="25">
        <f t="shared" si="6"/>
        <v>0.90035643564356438</v>
      </c>
      <c r="R25" s="25">
        <f t="shared" si="6"/>
        <v>0.8077887788778878</v>
      </c>
      <c r="S25" s="25">
        <f>(S13-$C13)/$C13+1</f>
        <v>0.94143894389438942</v>
      </c>
      <c r="T25" s="25">
        <f>(T13-$C13)/$C13+1</f>
        <v>1.6257821782178219</v>
      </c>
      <c r="U25" s="25">
        <f>(U13-$C13)/$C13+1</f>
        <v>0.76595379537953789</v>
      </c>
      <c r="V25" s="25">
        <f>(V13-$C13)/$C13+1</f>
        <v>0.6868514851485148</v>
      </c>
      <c r="W25" s="25">
        <f>(W13-$C13)/$C13+1</f>
        <v>1.1347326732673269</v>
      </c>
      <c r="X25" s="25">
        <f t="shared" si="6"/>
        <v>1.3223366336633664</v>
      </c>
      <c r="Y25" s="25">
        <f t="shared" si="6"/>
        <v>1.5956039603960397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71">
        <v>104656</v>
      </c>
      <c r="G29" s="34">
        <v>124591</v>
      </c>
      <c r="H29" s="34">
        <v>128911</v>
      </c>
      <c r="I29" s="34">
        <v>143540</v>
      </c>
      <c r="J29" s="34">
        <v>152710</v>
      </c>
      <c r="K29" s="171">
        <v>169440</v>
      </c>
      <c r="L29" s="34">
        <v>181305</v>
      </c>
      <c r="M29" s="34">
        <v>198183</v>
      </c>
      <c r="N29" s="34">
        <v>214953</v>
      </c>
      <c r="O29" s="34">
        <v>216573</v>
      </c>
      <c r="P29" s="34">
        <v>218193</v>
      </c>
      <c r="Q29" s="34">
        <v>234753</v>
      </c>
      <c r="R29" s="34">
        <v>256711</v>
      </c>
      <c r="S29" s="34">
        <v>276336</v>
      </c>
      <c r="T29" s="34">
        <v>308037</v>
      </c>
      <c r="U29" s="34">
        <v>327541</v>
      </c>
      <c r="V29" s="34">
        <v>338871</v>
      </c>
      <c r="W29" s="34">
        <v>366566</v>
      </c>
      <c r="X29" s="34">
        <v>390174</v>
      </c>
      <c r="Y29" s="34">
        <v>416560</v>
      </c>
      <c r="Z29" s="109">
        <f>+Y29/C52</f>
        <v>1.0962105263157895</v>
      </c>
      <c r="AA29" s="145">
        <f t="shared" ref="AA29:AA36" si="9">+Z29-Y$27</f>
        <v>9.6210526315789524E-2</v>
      </c>
      <c r="AX29"/>
    </row>
    <row r="30" spans="2:50">
      <c r="B30" s="4" t="str">
        <f>+B19</f>
        <v>Latin America</v>
      </c>
      <c r="C30" s="4"/>
      <c r="D30" s="4"/>
      <c r="E30" s="23"/>
      <c r="F30" s="34">
        <v>26870</v>
      </c>
      <c r="G30" s="34">
        <v>33865</v>
      </c>
      <c r="H30" s="34">
        <v>39255</v>
      </c>
      <c r="I30" s="34">
        <v>39255</v>
      </c>
      <c r="J30" s="34">
        <v>39255</v>
      </c>
      <c r="K30" s="34">
        <v>44050</v>
      </c>
      <c r="L30" s="34">
        <v>46745</v>
      </c>
      <c r="M30" s="34">
        <v>46745</v>
      </c>
      <c r="N30" s="34">
        <v>51540</v>
      </c>
      <c r="O30" s="34">
        <v>53040</v>
      </c>
      <c r="P30" s="34">
        <v>55735</v>
      </c>
      <c r="Q30" s="34">
        <v>58430</v>
      </c>
      <c r="R30" s="34">
        <v>58430</v>
      </c>
      <c r="S30" s="34">
        <v>65425</v>
      </c>
      <c r="T30" s="34">
        <v>70220</v>
      </c>
      <c r="U30" s="34">
        <v>70220</v>
      </c>
      <c r="V30" s="34">
        <v>72915</v>
      </c>
      <c r="W30" s="34">
        <v>70815</v>
      </c>
      <c r="X30" s="34">
        <v>73510</v>
      </c>
      <c r="Y30" s="34">
        <v>101395</v>
      </c>
      <c r="Z30" s="109">
        <f>+Y30/C53</f>
        <v>0.69927586206896553</v>
      </c>
      <c r="AA30" s="146">
        <f t="shared" si="9"/>
        <v>-0.30072413793103447</v>
      </c>
      <c r="AX30"/>
    </row>
    <row r="31" spans="2:50">
      <c r="B31" s="4" t="str">
        <f>+B20</f>
        <v>Brazil</v>
      </c>
      <c r="C31" s="4"/>
      <c r="D31" s="4"/>
      <c r="E31" s="23"/>
      <c r="F31" s="34">
        <v>17015</v>
      </c>
      <c r="G31" s="34">
        <v>22710</v>
      </c>
      <c r="H31" s="34">
        <v>25405</v>
      </c>
      <c r="I31" s="34">
        <v>28100</v>
      </c>
      <c r="J31" s="34">
        <v>37640</v>
      </c>
      <c r="K31" s="34">
        <v>44130</v>
      </c>
      <c r="L31" s="34">
        <v>41435</v>
      </c>
      <c r="M31" s="34">
        <v>41435</v>
      </c>
      <c r="N31" s="34">
        <v>44130</v>
      </c>
      <c r="O31" s="34">
        <v>54075</v>
      </c>
      <c r="P31" s="34">
        <v>59330</v>
      </c>
      <c r="Q31" s="34">
        <v>66580</v>
      </c>
      <c r="R31" s="34">
        <v>73070</v>
      </c>
      <c r="S31" s="34">
        <v>77365</v>
      </c>
      <c r="T31" s="34">
        <v>85650</v>
      </c>
      <c r="U31" s="34">
        <v>85650</v>
      </c>
      <c r="V31" s="34">
        <v>85650</v>
      </c>
      <c r="W31" s="34">
        <v>91350</v>
      </c>
      <c r="X31" s="34">
        <v>103615</v>
      </c>
      <c r="Y31" s="34">
        <v>113115</v>
      </c>
      <c r="Z31" s="109">
        <f>+Y31/C54</f>
        <v>0.78010344827586209</v>
      </c>
      <c r="AA31" s="146">
        <f t="shared" si="9"/>
        <v>-0.21989655172413791</v>
      </c>
      <c r="AX31"/>
    </row>
    <row r="32" spans="2:50">
      <c r="B32" s="4" t="str">
        <f>+B21</f>
        <v>Boston</v>
      </c>
      <c r="C32" s="4"/>
      <c r="D32" s="4"/>
      <c r="E32" s="23"/>
      <c r="F32" s="34">
        <v>67765</v>
      </c>
      <c r="G32" s="34">
        <v>73755</v>
      </c>
      <c r="H32" s="34">
        <v>79755</v>
      </c>
      <c r="I32" s="34">
        <v>93245</v>
      </c>
      <c r="J32" s="34">
        <v>101235</v>
      </c>
      <c r="K32" s="34">
        <v>113215</v>
      </c>
      <c r="L32" s="34">
        <v>113725</v>
      </c>
      <c r="M32" s="34">
        <v>130710</v>
      </c>
      <c r="N32" s="34">
        <v>142545</v>
      </c>
      <c r="O32" s="34">
        <v>154065</v>
      </c>
      <c r="P32" s="34">
        <v>161060</v>
      </c>
      <c r="Q32" s="34">
        <v>175045</v>
      </c>
      <c r="R32" s="34">
        <v>180540</v>
      </c>
      <c r="S32" s="34">
        <v>185035</v>
      </c>
      <c r="T32" s="34">
        <v>214015</v>
      </c>
      <c r="U32" s="34">
        <v>221465</v>
      </c>
      <c r="V32" s="34">
        <v>237350</v>
      </c>
      <c r="W32" s="34">
        <v>259390</v>
      </c>
      <c r="X32" s="34">
        <v>284020</v>
      </c>
      <c r="Y32" s="34">
        <v>274170</v>
      </c>
      <c r="Z32" s="109">
        <f>+Y32/C55</f>
        <v>0.89598039215686276</v>
      </c>
      <c r="AA32" s="146">
        <f t="shared" si="9"/>
        <v>-0.10401960784313724</v>
      </c>
      <c r="AX32"/>
    </row>
    <row r="33" spans="2:50" s="4" customFormat="1" ht="12.75">
      <c r="B33" s="4" t="str">
        <f>+B22</f>
        <v>Canada</v>
      </c>
      <c r="E33" s="23"/>
      <c r="F33" s="34">
        <v>22621</v>
      </c>
      <c r="G33" s="34">
        <v>25166</v>
      </c>
      <c r="H33" s="34">
        <v>28161</v>
      </c>
      <c r="I33" s="34">
        <v>39646</v>
      </c>
      <c r="J33" s="34">
        <v>43391</v>
      </c>
      <c r="K33" s="34">
        <v>50507</v>
      </c>
      <c r="L33" s="34">
        <v>56002</v>
      </c>
      <c r="M33" s="34">
        <v>64987</v>
      </c>
      <c r="N33" s="34">
        <v>71977</v>
      </c>
      <c r="O33" s="34">
        <v>71977</v>
      </c>
      <c r="P33" s="34">
        <v>73727</v>
      </c>
      <c r="Q33" s="34">
        <v>73727</v>
      </c>
      <c r="R33" s="34">
        <v>75477</v>
      </c>
      <c r="S33" s="34">
        <v>78472</v>
      </c>
      <c r="T33" s="34">
        <v>81467</v>
      </c>
      <c r="U33" s="34">
        <v>87363</v>
      </c>
      <c r="V33" s="34">
        <v>87363</v>
      </c>
      <c r="W33" s="34">
        <v>95853</v>
      </c>
      <c r="X33" s="34">
        <v>105048</v>
      </c>
      <c r="Y33" s="34">
        <v>125573</v>
      </c>
      <c r="Z33" s="109">
        <f>Y33/C56</f>
        <v>0.87203472222222222</v>
      </c>
      <c r="AA33" s="146">
        <f t="shared" si="9"/>
        <v>-0.12796527777777778</v>
      </c>
    </row>
    <row r="34" spans="2:50" s="4" customFormat="1" ht="12.75">
      <c r="B34" s="4" t="s">
        <v>63</v>
      </c>
      <c r="E34" s="23"/>
      <c r="F34" s="34">
        <v>12244</v>
      </c>
      <c r="G34" s="34">
        <v>15305</v>
      </c>
      <c r="H34" s="34">
        <v>22667</v>
      </c>
      <c r="I34" s="34">
        <v>22647</v>
      </c>
      <c r="J34" s="34">
        <v>22647</v>
      </c>
      <c r="K34" s="34">
        <v>22647</v>
      </c>
      <c r="L34" s="34">
        <v>22647</v>
      </c>
      <c r="M34" s="34">
        <v>24708</v>
      </c>
      <c r="N34" s="34">
        <v>30703</v>
      </c>
      <c r="O34" s="34">
        <v>30703</v>
      </c>
      <c r="P34" s="34">
        <v>30703</v>
      </c>
      <c r="Q34" s="34">
        <v>34784</v>
      </c>
      <c r="R34" s="34">
        <v>36825</v>
      </c>
      <c r="S34" s="34">
        <v>36825</v>
      </c>
      <c r="T34" s="34">
        <v>42825</v>
      </c>
      <c r="U34" s="34">
        <v>42825</v>
      </c>
      <c r="V34" s="34">
        <v>42825</v>
      </c>
      <c r="W34" s="34">
        <v>44356</v>
      </c>
      <c r="X34" s="34">
        <v>44356</v>
      </c>
      <c r="Y34" s="34">
        <v>44356</v>
      </c>
      <c r="Z34" s="109">
        <f>Y34/C57</f>
        <v>0.63365714285714281</v>
      </c>
      <c r="AA34" s="146">
        <f t="shared" si="9"/>
        <v>-0.36634285714285719</v>
      </c>
    </row>
    <row r="35" spans="2:50">
      <c r="B35" s="5" t="str">
        <f>+B24</f>
        <v>Norwich</v>
      </c>
      <c r="C35" s="19"/>
      <c r="D35" s="19"/>
      <c r="E35" s="35"/>
      <c r="F35" s="35">
        <v>89235</v>
      </c>
      <c r="G35" s="35">
        <v>105255</v>
      </c>
      <c r="H35" s="35">
        <v>108174</v>
      </c>
      <c r="I35" s="35">
        <v>114837</v>
      </c>
      <c r="J35" s="35">
        <v>124986</v>
      </c>
      <c r="K35" s="35">
        <v>139611</v>
      </c>
      <c r="L35" s="35">
        <v>139611</v>
      </c>
      <c r="M35" s="35">
        <v>155658</v>
      </c>
      <c r="N35" s="35">
        <v>159739</v>
      </c>
      <c r="O35" s="35">
        <v>166956</v>
      </c>
      <c r="P35" s="35">
        <v>171056</v>
      </c>
      <c r="Q35" s="35">
        <v>187648</v>
      </c>
      <c r="R35" s="35">
        <v>199102</v>
      </c>
      <c r="S35" s="35">
        <v>220706</v>
      </c>
      <c r="T35" s="35">
        <v>241727</v>
      </c>
      <c r="U35" s="35">
        <v>252520</v>
      </c>
      <c r="V35" s="35">
        <v>263774</v>
      </c>
      <c r="W35" s="35">
        <v>269432</v>
      </c>
      <c r="X35" s="35">
        <v>291447</v>
      </c>
      <c r="Y35" s="35">
        <v>303381</v>
      </c>
      <c r="Z35" s="110">
        <f>+Y35/C58</f>
        <v>0.93347999999999998</v>
      </c>
      <c r="AA35" s="147">
        <f t="shared" si="9"/>
        <v>-6.6520000000000024E-2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340406</v>
      </c>
      <c r="G36" s="10">
        <f t="shared" si="10"/>
        <v>400647</v>
      </c>
      <c r="H36" s="10">
        <f t="shared" si="10"/>
        <v>432328</v>
      </c>
      <c r="I36" s="10">
        <f t="shared" si="10"/>
        <v>481270</v>
      </c>
      <c r="J36" s="10">
        <f t="shared" si="10"/>
        <v>521864</v>
      </c>
      <c r="K36" s="10">
        <f t="shared" si="10"/>
        <v>583600</v>
      </c>
      <c r="L36" s="10">
        <f t="shared" si="10"/>
        <v>601470</v>
      </c>
      <c r="M36" s="10">
        <f t="shared" si="10"/>
        <v>662426</v>
      </c>
      <c r="N36" s="10">
        <f t="shared" si="10"/>
        <v>715587</v>
      </c>
      <c r="O36" s="10">
        <f t="shared" si="10"/>
        <v>747389</v>
      </c>
      <c r="P36" s="10">
        <f t="shared" si="10"/>
        <v>769804</v>
      </c>
      <c r="Q36" s="10">
        <f t="shared" si="10"/>
        <v>830967</v>
      </c>
      <c r="R36" s="10">
        <f t="shared" si="10"/>
        <v>880155</v>
      </c>
      <c r="S36" s="10">
        <f t="shared" si="10"/>
        <v>940164</v>
      </c>
      <c r="T36" s="10">
        <f t="shared" si="10"/>
        <v>1043941</v>
      </c>
      <c r="U36" s="10">
        <f t="shared" si="10"/>
        <v>1087584</v>
      </c>
      <c r="V36" s="10">
        <f t="shared" si="10"/>
        <v>1128748</v>
      </c>
      <c r="W36" s="10">
        <f t="shared" si="10"/>
        <v>1197762</v>
      </c>
      <c r="X36" s="10">
        <f t="shared" si="10"/>
        <v>1292170</v>
      </c>
      <c r="Y36" s="10">
        <f t="shared" si="10"/>
        <v>1378550</v>
      </c>
      <c r="Z36" s="111">
        <f>+Y36/C59</f>
        <v>0.90993399339933989</v>
      </c>
      <c r="AA36" s="148">
        <f t="shared" si="9"/>
        <v>-9.0066006600660109E-2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0.22469042904290429</v>
      </c>
      <c r="G37" s="30">
        <f t="shared" si="11"/>
        <v>0.26445346534653463</v>
      </c>
      <c r="H37" s="30">
        <f t="shared" si="11"/>
        <v>0.28536501650165019</v>
      </c>
      <c r="I37" s="30">
        <f t="shared" si="11"/>
        <v>0.31766996699669969</v>
      </c>
      <c r="J37" s="30">
        <f t="shared" si="11"/>
        <v>0.34446468646864686</v>
      </c>
      <c r="K37" s="30">
        <f t="shared" si="11"/>
        <v>0.38521452145214524</v>
      </c>
      <c r="L37" s="30">
        <f t="shared" si="11"/>
        <v>0.39700990099009903</v>
      </c>
      <c r="M37" s="30">
        <f t="shared" si="11"/>
        <v>0.43724488448844884</v>
      </c>
      <c r="N37" s="30">
        <f t="shared" si="11"/>
        <v>0.47233465346534653</v>
      </c>
      <c r="O37" s="30">
        <f>+O36/$C$59</f>
        <v>0.49332607260726075</v>
      </c>
      <c r="P37" s="30">
        <f t="shared" ref="P37:Y37" si="12">+P36/$C$59</f>
        <v>0.50812145214521454</v>
      </c>
      <c r="Q37" s="30">
        <f t="shared" si="12"/>
        <v>0.54849306930693065</v>
      </c>
      <c r="R37" s="30">
        <f t="shared" si="12"/>
        <v>0.58096039603960392</v>
      </c>
      <c r="S37" s="30">
        <f t="shared" si="12"/>
        <v>0.62057029702970301</v>
      </c>
      <c r="T37" s="30">
        <f t="shared" si="12"/>
        <v>0.68906996699669965</v>
      </c>
      <c r="U37" s="30">
        <f t="shared" si="12"/>
        <v>0.71787722772277229</v>
      </c>
      <c r="V37" s="30">
        <f t="shared" si="12"/>
        <v>0.7450481848184819</v>
      </c>
      <c r="W37" s="30">
        <f t="shared" si="12"/>
        <v>0.79060198019801975</v>
      </c>
      <c r="X37" s="30">
        <f t="shared" si="12"/>
        <v>0.85291749174917497</v>
      </c>
      <c r="Y37" s="30">
        <f t="shared" si="12"/>
        <v>0.90993399339933989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5.5082105263157892</v>
      </c>
      <c r="G41" s="17">
        <f t="shared" ref="G41:Y41" si="14">(G52/$C$52)</f>
        <v>3.2787105263157894</v>
      </c>
      <c r="H41" s="17">
        <f t="shared" si="14"/>
        <v>2.2615964912280702</v>
      </c>
      <c r="I41" s="17">
        <f t="shared" si="14"/>
        <v>1.8886842105263157</v>
      </c>
      <c r="J41" s="17">
        <f t="shared" si="14"/>
        <v>1.6074736842105264</v>
      </c>
      <c r="K41" s="17">
        <f t="shared" si="14"/>
        <v>1.4863157894736843</v>
      </c>
      <c r="L41" s="17">
        <f t="shared" si="14"/>
        <v>1.3631954887218045</v>
      </c>
      <c r="M41" s="17">
        <f t="shared" si="14"/>
        <v>1.3038355263157895</v>
      </c>
      <c r="N41" s="17">
        <f t="shared" si="14"/>
        <v>1.2570350877192984</v>
      </c>
      <c r="O41" s="17">
        <f t="shared" si="14"/>
        <v>1.1398578947368421</v>
      </c>
      <c r="P41" s="17">
        <f t="shared" si="14"/>
        <v>1.0439856459330144</v>
      </c>
      <c r="Q41" s="17">
        <f t="shared" si="14"/>
        <v>1.0296184210526316</v>
      </c>
      <c r="R41" s="17">
        <f t="shared" si="14"/>
        <v>1.0393157894736842</v>
      </c>
      <c r="S41" s="17">
        <f t="shared" si="14"/>
        <v>1.0388571428571427</v>
      </c>
      <c r="T41" s="17">
        <f t="shared" si="14"/>
        <v>1.0808315789473684</v>
      </c>
      <c r="U41" s="17">
        <f t="shared" si="14"/>
        <v>1.0774375</v>
      </c>
      <c r="V41" s="17">
        <f t="shared" si="14"/>
        <v>1.0491362229102168</v>
      </c>
      <c r="W41" s="17">
        <f t="shared" si="14"/>
        <v>1.0718304093567252</v>
      </c>
      <c r="X41" s="17">
        <f t="shared" si="14"/>
        <v>1.0808144044321331</v>
      </c>
      <c r="Y41" s="17">
        <f t="shared" si="14"/>
        <v>1.0962105263157895</v>
      </c>
      <c r="Z41" s="158" t="s">
        <v>71</v>
      </c>
      <c r="AA41" s="138">
        <v>410</v>
      </c>
      <c r="AX41"/>
    </row>
    <row r="42" spans="2:50">
      <c r="B42" s="4" t="s">
        <v>64</v>
      </c>
      <c r="C42" s="17"/>
      <c r="D42" s="17"/>
      <c r="E42" s="17"/>
      <c r="F42" s="17">
        <f>(F53/$C$53)</f>
        <v>3.7062068965517243</v>
      </c>
      <c r="G42" s="17">
        <f t="shared" ref="G42:Y42" si="15">(G53/$C$53)</f>
        <v>2.3355172413793102</v>
      </c>
      <c r="H42" s="17">
        <f t="shared" si="15"/>
        <v>1.8048275862068965</v>
      </c>
      <c r="I42" s="17">
        <f t="shared" si="15"/>
        <v>1.3536206896551723</v>
      </c>
      <c r="J42" s="17">
        <f t="shared" si="15"/>
        <v>1.082896551724138</v>
      </c>
      <c r="K42" s="17">
        <f t="shared" si="15"/>
        <v>1.0126436781609196</v>
      </c>
      <c r="L42" s="17">
        <f t="shared" si="15"/>
        <v>0.92108374384236458</v>
      </c>
      <c r="M42" s="17">
        <f t="shared" si="15"/>
        <v>0.80594827586206896</v>
      </c>
      <c r="N42" s="17">
        <f t="shared" si="15"/>
        <v>0.78988505747126447</v>
      </c>
      <c r="O42" s="17">
        <f t="shared" si="15"/>
        <v>0.73158620689655174</v>
      </c>
      <c r="P42" s="17">
        <f t="shared" si="15"/>
        <v>0.69887147335423205</v>
      </c>
      <c r="Q42" s="17">
        <f t="shared" si="15"/>
        <v>0.67160919540229891</v>
      </c>
      <c r="R42" s="17">
        <f t="shared" si="15"/>
        <v>0.61994694960212193</v>
      </c>
      <c r="S42" s="17">
        <f t="shared" si="15"/>
        <v>0.64458128078817734</v>
      </c>
      <c r="T42" s="17">
        <f t="shared" si="15"/>
        <v>0.64570114942528734</v>
      </c>
      <c r="U42" s="17">
        <f t="shared" si="15"/>
        <v>0.60534482758620689</v>
      </c>
      <c r="V42" s="17">
        <f t="shared" si="15"/>
        <v>0.59160243407707913</v>
      </c>
      <c r="W42" s="17">
        <f t="shared" si="15"/>
        <v>0.54264367816091952</v>
      </c>
      <c r="X42" s="17">
        <f t="shared" si="15"/>
        <v>0.53364791288566249</v>
      </c>
      <c r="Y42" s="17">
        <f t="shared" si="15"/>
        <v>0.69927586206896553</v>
      </c>
      <c r="Z42" s="158" t="s">
        <v>72</v>
      </c>
      <c r="AA42" s="138">
        <v>145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2.346896551724138</v>
      </c>
      <c r="G43" s="17">
        <f t="shared" si="16"/>
        <v>1.5662068965517242</v>
      </c>
      <c r="H43" s="17">
        <f t="shared" si="16"/>
        <v>1.1680459770114944</v>
      </c>
      <c r="I43" s="17">
        <f t="shared" si="16"/>
        <v>0.96896551724137936</v>
      </c>
      <c r="J43" s="17">
        <f t="shared" si="16"/>
        <v>1.0383448275862068</v>
      </c>
      <c r="K43" s="17">
        <f t="shared" si="16"/>
        <v>1.0144827586206897</v>
      </c>
      <c r="L43" s="17">
        <f t="shared" si="16"/>
        <v>0.81645320197044335</v>
      </c>
      <c r="M43" s="17">
        <f t="shared" si="16"/>
        <v>0.71439655172413796</v>
      </c>
      <c r="N43" s="17">
        <f t="shared" si="16"/>
        <v>0.67632183908045973</v>
      </c>
      <c r="O43" s="17">
        <f t="shared" si="16"/>
        <v>0.74586206896551721</v>
      </c>
      <c r="P43" s="17">
        <f t="shared" si="16"/>
        <v>0.74394984326018809</v>
      </c>
      <c r="Q43" s="17">
        <f t="shared" si="16"/>
        <v>0.76528735632183897</v>
      </c>
      <c r="R43" s="17">
        <f t="shared" si="16"/>
        <v>0.77527851458885932</v>
      </c>
      <c r="S43" s="17">
        <f t="shared" si="16"/>
        <v>0.7622167487684729</v>
      </c>
      <c r="T43" s="17">
        <f t="shared" si="16"/>
        <v>0.78758620689655168</v>
      </c>
      <c r="U43" s="17">
        <f t="shared" si="16"/>
        <v>0.73836206896551726</v>
      </c>
      <c r="V43" s="17">
        <f t="shared" si="16"/>
        <v>0.6949290060851927</v>
      </c>
      <c r="W43" s="17">
        <f t="shared" si="16"/>
        <v>0.7</v>
      </c>
      <c r="X43" s="17">
        <f t="shared" si="16"/>
        <v>0.75219600725952818</v>
      </c>
      <c r="Y43" s="17">
        <f t="shared" si="16"/>
        <v>0.78010344827586209</v>
      </c>
      <c r="Z43" s="158" t="s">
        <v>94</v>
      </c>
      <c r="AA43" s="158">
        <v>145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4.4290849673202617</v>
      </c>
      <c r="G44" s="17">
        <f t="shared" ref="G44:Y44" si="17">(G55/$C$55)</f>
        <v>2.4102941176470587</v>
      </c>
      <c r="H44" s="17">
        <f t="shared" si="17"/>
        <v>1.7375816993464053</v>
      </c>
      <c r="I44" s="17">
        <f t="shared" si="17"/>
        <v>1.523611111111111</v>
      </c>
      <c r="J44" s="17">
        <f t="shared" si="17"/>
        <v>1.3233333333333333</v>
      </c>
      <c r="K44" s="17">
        <f t="shared" si="17"/>
        <v>1.2332788671023966</v>
      </c>
      <c r="L44" s="17">
        <f t="shared" si="17"/>
        <v>1.0618580765639589</v>
      </c>
      <c r="M44" s="17">
        <f t="shared" si="17"/>
        <v>1.0678921568627451</v>
      </c>
      <c r="N44" s="17">
        <f t="shared" si="17"/>
        <v>1.0351851851851852</v>
      </c>
      <c r="O44" s="17">
        <f t="shared" si="17"/>
        <v>1.0069607843137256</v>
      </c>
      <c r="P44" s="17">
        <f t="shared" si="17"/>
        <v>0.95698158051099236</v>
      </c>
      <c r="Q44" s="17">
        <f t="shared" si="17"/>
        <v>0.95340413943355129</v>
      </c>
      <c r="R44" s="17">
        <f t="shared" si="17"/>
        <v>0.9076923076923078</v>
      </c>
      <c r="S44" s="17">
        <f t="shared" si="17"/>
        <v>0.86384220354808583</v>
      </c>
      <c r="T44" s="17">
        <f t="shared" si="17"/>
        <v>0.93252723311546837</v>
      </c>
      <c r="U44" s="17">
        <f t="shared" si="17"/>
        <v>0.9046772875816993</v>
      </c>
      <c r="V44" s="17">
        <f t="shared" si="17"/>
        <v>0.91253364090734335</v>
      </c>
      <c r="W44" s="17">
        <f t="shared" si="17"/>
        <v>0.94186637618010172</v>
      </c>
      <c r="X44" s="17">
        <f t="shared" si="17"/>
        <v>0.97702098383212932</v>
      </c>
      <c r="Y44" s="17">
        <f t="shared" si="17"/>
        <v>0.89598039215686276</v>
      </c>
      <c r="Z44" s="160" t="s">
        <v>73</v>
      </c>
      <c r="AA44" s="138">
        <v>310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3.1418055555555555</v>
      </c>
      <c r="G45" s="17">
        <f t="shared" si="18"/>
        <v>1.747638888888889</v>
      </c>
      <c r="H45" s="17">
        <f t="shared" si="18"/>
        <v>1.30375</v>
      </c>
      <c r="I45" s="17">
        <f t="shared" si="18"/>
        <v>1.3765972222222222</v>
      </c>
      <c r="J45" s="17">
        <f t="shared" si="18"/>
        <v>1.2053055555555556</v>
      </c>
      <c r="K45" s="17">
        <f t="shared" si="18"/>
        <v>1.1691435185185186</v>
      </c>
      <c r="L45" s="17">
        <f t="shared" si="18"/>
        <v>1.1111507936507936</v>
      </c>
      <c r="M45" s="17">
        <f t="shared" si="18"/>
        <v>1.1282465277777778</v>
      </c>
      <c r="N45" s="17">
        <f t="shared" si="18"/>
        <v>1.1107561728395061</v>
      </c>
      <c r="O45" s="17">
        <f t="shared" si="18"/>
        <v>0.99968055555555557</v>
      </c>
      <c r="P45" s="17">
        <f t="shared" si="18"/>
        <v>0.93089646464646469</v>
      </c>
      <c r="Q45" s="17">
        <f t="shared" si="18"/>
        <v>0.85332175925925935</v>
      </c>
      <c r="R45" s="17">
        <f t="shared" si="18"/>
        <v>0.80637820512820513</v>
      </c>
      <c r="S45" s="17">
        <f t="shared" si="18"/>
        <v>0.77849206349206346</v>
      </c>
      <c r="T45" s="17">
        <f t="shared" si="18"/>
        <v>0.75432407407407398</v>
      </c>
      <c r="U45" s="17">
        <f t="shared" si="18"/>
        <v>0.75835937499999995</v>
      </c>
      <c r="V45" s="17">
        <f t="shared" si="18"/>
        <v>0.71375</v>
      </c>
      <c r="W45" s="17">
        <f t="shared" si="18"/>
        <v>0.73960648148148156</v>
      </c>
      <c r="X45" s="17">
        <f t="shared" si="18"/>
        <v>0.76789473684210519</v>
      </c>
      <c r="Y45" s="17">
        <f t="shared" si="18"/>
        <v>0.87203472222222222</v>
      </c>
      <c r="Z45" s="160" t="s">
        <v>74</v>
      </c>
      <c r="AA45" s="138">
        <v>144</v>
      </c>
      <c r="AX45"/>
    </row>
    <row r="46" spans="2:50">
      <c r="B46" s="4" t="s">
        <v>63</v>
      </c>
      <c r="C46" s="17"/>
      <c r="D46" s="17"/>
      <c r="E46" s="17"/>
      <c r="F46" s="17">
        <f t="shared" si="18"/>
        <v>1.7005555555555556</v>
      </c>
      <c r="G46" s="17">
        <f t="shared" si="18"/>
        <v>1.0628472222222223</v>
      </c>
      <c r="H46" s="17">
        <f t="shared" si="18"/>
        <v>1.0493981481481482</v>
      </c>
      <c r="I46" s="17">
        <f t="shared" si="18"/>
        <v>0.78635416666666669</v>
      </c>
      <c r="J46" s="17">
        <f t="shared" si="18"/>
        <v>0.62908333333333333</v>
      </c>
      <c r="K46" s="17">
        <f t="shared" si="18"/>
        <v>0.52423611111111112</v>
      </c>
      <c r="L46" s="17">
        <f t="shared" si="18"/>
        <v>0.44934523809523808</v>
      </c>
      <c r="M46" s="17">
        <f t="shared" si="18"/>
        <v>0.42895833333333333</v>
      </c>
      <c r="N46" s="17">
        <f t="shared" si="18"/>
        <v>0.47381172839506175</v>
      </c>
      <c r="O46" s="17">
        <f t="shared" si="18"/>
        <v>0.42643055555555553</v>
      </c>
      <c r="P46" s="17">
        <f t="shared" si="18"/>
        <v>0.38766414141414141</v>
      </c>
      <c r="Q46" s="17">
        <f t="shared" si="18"/>
        <v>0.40259259259259256</v>
      </c>
      <c r="R46" s="17">
        <f t="shared" si="18"/>
        <v>0.39342948717948717</v>
      </c>
      <c r="S46" s="17">
        <f t="shared" si="18"/>
        <v>0.36532738095238093</v>
      </c>
      <c r="T46" s="17">
        <f t="shared" si="18"/>
        <v>0.39652777777777776</v>
      </c>
      <c r="U46" s="17">
        <f t="shared" si="18"/>
        <v>0.37174479166666669</v>
      </c>
      <c r="V46" s="17">
        <f t="shared" si="18"/>
        <v>0.34987745098039214</v>
      </c>
      <c r="W46" s="17">
        <f t="shared" si="18"/>
        <v>0.34225308641975311</v>
      </c>
      <c r="X46" s="17">
        <f t="shared" si="18"/>
        <v>0.32423976608187133</v>
      </c>
      <c r="Y46" s="17">
        <f t="shared" si="18"/>
        <v>0.30802777777777779</v>
      </c>
      <c r="Z46" s="160" t="s">
        <v>75</v>
      </c>
      <c r="AA46" s="138">
        <v>50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5.4913846153846153</v>
      </c>
      <c r="G47" s="18">
        <f t="shared" si="19"/>
        <v>3.2386153846153847</v>
      </c>
      <c r="H47" s="18">
        <f t="shared" si="19"/>
        <v>2.2189538461538461</v>
      </c>
      <c r="I47" s="18">
        <f t="shared" si="19"/>
        <v>1.7667230769230768</v>
      </c>
      <c r="J47" s="18">
        <f t="shared" si="19"/>
        <v>1.5382892307692309</v>
      </c>
      <c r="K47" s="18">
        <f t="shared" si="19"/>
        <v>1.4319076923076923</v>
      </c>
      <c r="L47" s="18">
        <f t="shared" si="19"/>
        <v>1.2273494505494507</v>
      </c>
      <c r="M47" s="18">
        <f t="shared" si="19"/>
        <v>1.1973692307692307</v>
      </c>
      <c r="N47" s="18">
        <f t="shared" si="19"/>
        <v>1.0922324786324786</v>
      </c>
      <c r="O47" s="18">
        <f t="shared" si="19"/>
        <v>1.0274215384615384</v>
      </c>
      <c r="P47" s="18">
        <f t="shared" si="19"/>
        <v>0.95695664335664321</v>
      </c>
      <c r="Q47" s="18">
        <f t="shared" si="19"/>
        <v>0.96229743589743599</v>
      </c>
      <c r="R47" s="18">
        <f t="shared" si="19"/>
        <v>0.94249467455621305</v>
      </c>
      <c r="S47" s="18">
        <f t="shared" si="19"/>
        <v>0.97013626373626383</v>
      </c>
      <c r="T47" s="18">
        <f t="shared" si="19"/>
        <v>0.99170051282051286</v>
      </c>
      <c r="U47" s="18">
        <f t="shared" si="19"/>
        <v>0.97123076923076923</v>
      </c>
      <c r="V47" s="18">
        <f t="shared" si="19"/>
        <v>0.95483800904977367</v>
      </c>
      <c r="W47" s="18">
        <f t="shared" si="19"/>
        <v>0.92113504273504265</v>
      </c>
      <c r="X47" s="18">
        <f t="shared" si="19"/>
        <v>0.94395789473684222</v>
      </c>
      <c r="Y47" s="18">
        <f t="shared" si="19"/>
        <v>0.93347999999999998</v>
      </c>
      <c r="Z47" s="159" t="s">
        <v>76</v>
      </c>
      <c r="AA47" s="138">
        <v>328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4.4938085808580857</v>
      </c>
      <c r="G48" s="17">
        <f t="shared" si="20"/>
        <v>2.6445346534653464</v>
      </c>
      <c r="H48" s="17">
        <f t="shared" si="20"/>
        <v>1.9024334433443346</v>
      </c>
      <c r="I48" s="17">
        <f t="shared" si="20"/>
        <v>1.5883498349834984</v>
      </c>
      <c r="J48" s="17">
        <f t="shared" si="20"/>
        <v>1.3778587458745875</v>
      </c>
      <c r="K48" s="17">
        <f t="shared" si="20"/>
        <v>1.2840484048404841</v>
      </c>
      <c r="L48" s="17">
        <f t="shared" si="20"/>
        <v>1.1343140028288545</v>
      </c>
      <c r="M48" s="17">
        <f t="shared" si="20"/>
        <v>1.093112211221122</v>
      </c>
      <c r="N48" s="17">
        <f t="shared" si="20"/>
        <v>1.0496325632563257</v>
      </c>
      <c r="O48" s="17">
        <f t="shared" si="20"/>
        <v>0.98665214521452149</v>
      </c>
      <c r="P48" s="17">
        <f t="shared" si="20"/>
        <v>0.92385718571857178</v>
      </c>
      <c r="Q48" s="17">
        <f t="shared" si="20"/>
        <v>0.91415511551155126</v>
      </c>
      <c r="R48" s="17">
        <f t="shared" si="20"/>
        <v>0.89378522467631383</v>
      </c>
      <c r="S48" s="17">
        <f t="shared" si="20"/>
        <v>0.8865289957567184</v>
      </c>
      <c r="T48" s="17">
        <f t="shared" si="20"/>
        <v>0.91875995599559945</v>
      </c>
      <c r="U48" s="17">
        <f t="shared" si="20"/>
        <v>0.89734653465346537</v>
      </c>
      <c r="V48" s="17">
        <f t="shared" si="20"/>
        <v>0.87652727625703752</v>
      </c>
      <c r="W48" s="17">
        <f t="shared" si="20"/>
        <v>0.87844664466446654</v>
      </c>
      <c r="X48" s="17">
        <f t="shared" si="20"/>
        <v>0.89780788605176309</v>
      </c>
      <c r="Y48" s="17">
        <f t="shared" si="20"/>
        <v>0.90993399339933989</v>
      </c>
      <c r="AA48" s="139">
        <f>SUM(AA41:AA47)</f>
        <v>1532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380000</v>
      </c>
      <c r="D52" s="4"/>
      <c r="E52" s="4"/>
      <c r="F52" s="55">
        <f t="shared" ref="F52:Y58" si="22">(F29)/F$1*$Y$1</f>
        <v>2093120</v>
      </c>
      <c r="G52" s="55">
        <f t="shared" si="22"/>
        <v>1245910</v>
      </c>
      <c r="H52" s="55">
        <f t="shared" si="22"/>
        <v>859406.66666666674</v>
      </c>
      <c r="I52" s="55">
        <f t="shared" si="22"/>
        <v>717700</v>
      </c>
      <c r="J52" s="55">
        <f t="shared" si="22"/>
        <v>610840</v>
      </c>
      <c r="K52" s="55">
        <f t="shared" si="22"/>
        <v>564800</v>
      </c>
      <c r="L52" s="55">
        <f t="shared" si="22"/>
        <v>518014.28571428574</v>
      </c>
      <c r="M52" s="55">
        <f t="shared" si="22"/>
        <v>495457.5</v>
      </c>
      <c r="N52" s="55">
        <f t="shared" si="22"/>
        <v>477673.33333333337</v>
      </c>
      <c r="O52" s="55">
        <f t="shared" si="22"/>
        <v>433146</v>
      </c>
      <c r="P52" s="55">
        <f t="shared" si="22"/>
        <v>396714.54545454541</v>
      </c>
      <c r="Q52" s="55">
        <f t="shared" si="22"/>
        <v>391255</v>
      </c>
      <c r="R52" s="55">
        <f t="shared" si="22"/>
        <v>394940</v>
      </c>
      <c r="S52" s="55">
        <f t="shared" si="22"/>
        <v>394765.71428571426</v>
      </c>
      <c r="T52" s="55">
        <f t="shared" si="22"/>
        <v>410716</v>
      </c>
      <c r="U52" s="55">
        <f t="shared" si="22"/>
        <v>409426.25</v>
      </c>
      <c r="V52" s="55">
        <f t="shared" si="22"/>
        <v>398671.76470588241</v>
      </c>
      <c r="W52" s="55">
        <f t="shared" si="22"/>
        <v>407295.55555555556</v>
      </c>
      <c r="X52" s="55">
        <f t="shared" si="22"/>
        <v>410709.47368421056</v>
      </c>
      <c r="Y52" s="55">
        <f t="shared" si="22"/>
        <v>416560</v>
      </c>
      <c r="AX52"/>
    </row>
    <row r="53" spans="2:50">
      <c r="B53" s="4" t="s">
        <v>64</v>
      </c>
      <c r="C53" s="149">
        <v>145000</v>
      </c>
      <c r="D53" s="4"/>
      <c r="E53" s="4"/>
      <c r="F53" s="55">
        <f t="shared" si="22"/>
        <v>537400</v>
      </c>
      <c r="G53" s="55">
        <f t="shared" si="22"/>
        <v>338650</v>
      </c>
      <c r="H53" s="55">
        <f t="shared" si="22"/>
        <v>261700</v>
      </c>
      <c r="I53" s="55">
        <f t="shared" si="22"/>
        <v>196275</v>
      </c>
      <c r="J53" s="55">
        <f t="shared" si="22"/>
        <v>157020</v>
      </c>
      <c r="K53" s="55">
        <f t="shared" si="22"/>
        <v>146833.33333333334</v>
      </c>
      <c r="L53" s="55">
        <f t="shared" si="22"/>
        <v>133557.14285714287</v>
      </c>
      <c r="M53" s="55">
        <f t="shared" si="22"/>
        <v>116862.5</v>
      </c>
      <c r="N53" s="55">
        <f t="shared" si="22"/>
        <v>114533.33333333334</v>
      </c>
      <c r="O53" s="55">
        <f t="shared" si="22"/>
        <v>106080</v>
      </c>
      <c r="P53" s="55">
        <f t="shared" si="22"/>
        <v>101336.36363636365</v>
      </c>
      <c r="Q53" s="55">
        <f t="shared" si="22"/>
        <v>97383.333333333343</v>
      </c>
      <c r="R53" s="55">
        <f t="shared" si="22"/>
        <v>89892.307692307688</v>
      </c>
      <c r="S53" s="55">
        <f t="shared" si="22"/>
        <v>93464.28571428571</v>
      </c>
      <c r="T53" s="55">
        <f t="shared" si="22"/>
        <v>93626.666666666657</v>
      </c>
      <c r="U53" s="55">
        <f t="shared" si="22"/>
        <v>87775</v>
      </c>
      <c r="V53" s="55">
        <f t="shared" si="22"/>
        <v>85782.352941176476</v>
      </c>
      <c r="W53" s="55">
        <f t="shared" si="22"/>
        <v>78683.333333333328</v>
      </c>
      <c r="X53" s="55">
        <f t="shared" si="22"/>
        <v>77378.947368421053</v>
      </c>
      <c r="Y53" s="55">
        <f t="shared" si="22"/>
        <v>101395</v>
      </c>
      <c r="AX53"/>
    </row>
    <row r="54" spans="2:50">
      <c r="B54" s="4" t="str">
        <f>+B43</f>
        <v>Brazil</v>
      </c>
      <c r="C54" s="149">
        <v>145000</v>
      </c>
      <c r="D54" s="4"/>
      <c r="E54" s="4"/>
      <c r="F54" s="55">
        <f t="shared" si="22"/>
        <v>340300</v>
      </c>
      <c r="G54" s="55">
        <f t="shared" si="22"/>
        <v>227100</v>
      </c>
      <c r="H54" s="55">
        <f t="shared" si="22"/>
        <v>169366.66666666669</v>
      </c>
      <c r="I54" s="55">
        <f t="shared" si="22"/>
        <v>140500</v>
      </c>
      <c r="J54" s="55">
        <f t="shared" si="22"/>
        <v>150560</v>
      </c>
      <c r="K54" s="55">
        <f t="shared" si="22"/>
        <v>147100</v>
      </c>
      <c r="L54" s="55">
        <f t="shared" si="22"/>
        <v>118385.71428571429</v>
      </c>
      <c r="M54" s="55">
        <f t="shared" si="22"/>
        <v>103587.5</v>
      </c>
      <c r="N54" s="55">
        <f t="shared" si="22"/>
        <v>98066.666666666657</v>
      </c>
      <c r="O54" s="55">
        <f t="shared" si="22"/>
        <v>108150</v>
      </c>
      <c r="P54" s="55">
        <f t="shared" si="22"/>
        <v>107872.72727272728</v>
      </c>
      <c r="Q54" s="55">
        <f t="shared" si="22"/>
        <v>110966.66666666666</v>
      </c>
      <c r="R54" s="55">
        <f t="shared" si="22"/>
        <v>112415.38461538461</v>
      </c>
      <c r="S54" s="55">
        <f t="shared" si="22"/>
        <v>110521.42857142857</v>
      </c>
      <c r="T54" s="55">
        <f t="shared" si="22"/>
        <v>114200</v>
      </c>
      <c r="U54" s="55">
        <f t="shared" si="22"/>
        <v>107062.5</v>
      </c>
      <c r="V54" s="55">
        <f t="shared" si="22"/>
        <v>100764.70588235294</v>
      </c>
      <c r="W54" s="55">
        <f t="shared" si="22"/>
        <v>101500</v>
      </c>
      <c r="X54" s="55">
        <f t="shared" si="22"/>
        <v>109068.42105263159</v>
      </c>
      <c r="Y54" s="55">
        <f t="shared" si="22"/>
        <v>113115</v>
      </c>
      <c r="AX54"/>
    </row>
    <row r="55" spans="2:50">
      <c r="B55" s="4" t="str">
        <f>+B44</f>
        <v>Boston</v>
      </c>
      <c r="C55" s="149">
        <v>306000</v>
      </c>
      <c r="D55" s="4"/>
      <c r="E55" s="4"/>
      <c r="F55" s="55">
        <f>(F32)/F$1*$Y$1</f>
        <v>1355300</v>
      </c>
      <c r="G55" s="55">
        <f>(G32)/G$1*$Y$1</f>
        <v>737550</v>
      </c>
      <c r="H55" s="55">
        <f t="shared" si="22"/>
        <v>531700</v>
      </c>
      <c r="I55" s="55">
        <f t="shared" si="22"/>
        <v>466225</v>
      </c>
      <c r="J55" s="55">
        <f t="shared" si="22"/>
        <v>404940</v>
      </c>
      <c r="K55" s="55">
        <f t="shared" si="22"/>
        <v>377383.33333333337</v>
      </c>
      <c r="L55" s="55">
        <f t="shared" si="22"/>
        <v>324928.57142857142</v>
      </c>
      <c r="M55" s="55">
        <f t="shared" si="22"/>
        <v>326775</v>
      </c>
      <c r="N55" s="55">
        <f t="shared" si="22"/>
        <v>316766.66666666669</v>
      </c>
      <c r="O55" s="55">
        <f t="shared" si="22"/>
        <v>308130</v>
      </c>
      <c r="P55" s="55">
        <f t="shared" si="22"/>
        <v>292836.36363636365</v>
      </c>
      <c r="Q55" s="55">
        <f t="shared" si="22"/>
        <v>291741.66666666669</v>
      </c>
      <c r="R55" s="55">
        <f t="shared" si="22"/>
        <v>277753.84615384619</v>
      </c>
      <c r="S55" s="55">
        <f t="shared" si="22"/>
        <v>264335.71428571426</v>
      </c>
      <c r="T55" s="55">
        <f t="shared" si="22"/>
        <v>285353.33333333331</v>
      </c>
      <c r="U55" s="55">
        <f t="shared" si="22"/>
        <v>276831.25</v>
      </c>
      <c r="V55" s="55">
        <f t="shared" si="22"/>
        <v>279235.29411764705</v>
      </c>
      <c r="W55" s="55">
        <f t="shared" si="22"/>
        <v>288211.11111111112</v>
      </c>
      <c r="X55" s="55">
        <f t="shared" si="22"/>
        <v>298968.42105263157</v>
      </c>
      <c r="Y55" s="55">
        <f t="shared" si="22"/>
        <v>274170</v>
      </c>
      <c r="AX55"/>
    </row>
    <row r="56" spans="2:50">
      <c r="B56" s="4" t="s">
        <v>2</v>
      </c>
      <c r="C56" s="149">
        <v>144000</v>
      </c>
      <c r="D56" s="4"/>
      <c r="E56" s="4"/>
      <c r="F56" s="55">
        <f t="shared" ref="F56:U58" si="23">(F33)/F$1*$Y$1</f>
        <v>452420</v>
      </c>
      <c r="G56" s="55">
        <f t="shared" si="23"/>
        <v>251660</v>
      </c>
      <c r="H56" s="55">
        <f t="shared" si="23"/>
        <v>187740</v>
      </c>
      <c r="I56" s="55">
        <f t="shared" si="23"/>
        <v>198230</v>
      </c>
      <c r="J56" s="55">
        <f t="shared" si="23"/>
        <v>173564</v>
      </c>
      <c r="K56" s="55">
        <f t="shared" si="23"/>
        <v>168356.66666666669</v>
      </c>
      <c r="L56" s="55">
        <f t="shared" si="23"/>
        <v>160005.71428571429</v>
      </c>
      <c r="M56" s="55">
        <f t="shared" si="23"/>
        <v>162467.5</v>
      </c>
      <c r="N56" s="55">
        <f t="shared" si="23"/>
        <v>159948.88888888888</v>
      </c>
      <c r="O56" s="55">
        <f t="shared" si="23"/>
        <v>143954</v>
      </c>
      <c r="P56" s="55">
        <f t="shared" si="23"/>
        <v>134049.09090909091</v>
      </c>
      <c r="Q56" s="55">
        <f t="shared" si="23"/>
        <v>122878.33333333334</v>
      </c>
      <c r="R56" s="55">
        <f t="shared" si="23"/>
        <v>116118.46153846155</v>
      </c>
      <c r="S56" s="55">
        <f t="shared" si="23"/>
        <v>112102.85714285713</v>
      </c>
      <c r="T56" s="55">
        <f t="shared" si="23"/>
        <v>108622.66666666666</v>
      </c>
      <c r="U56" s="55">
        <f t="shared" si="23"/>
        <v>109203.75</v>
      </c>
      <c r="V56" s="55">
        <f t="shared" si="22"/>
        <v>102780</v>
      </c>
      <c r="W56" s="55">
        <f t="shared" si="22"/>
        <v>106503.33333333334</v>
      </c>
      <c r="X56" s="55">
        <f t="shared" si="22"/>
        <v>110576.84210526315</v>
      </c>
      <c r="Y56" s="55">
        <f t="shared" si="22"/>
        <v>125573</v>
      </c>
      <c r="AA56" s="48"/>
    </row>
    <row r="57" spans="2:50">
      <c r="B57" s="4" t="s">
        <v>63</v>
      </c>
      <c r="C57" s="149">
        <v>70000</v>
      </c>
      <c r="D57" s="4"/>
      <c r="E57" s="4"/>
      <c r="F57" s="55">
        <f t="shared" si="23"/>
        <v>244880</v>
      </c>
      <c r="G57" s="55">
        <f t="shared" si="23"/>
        <v>153050</v>
      </c>
      <c r="H57" s="55">
        <f t="shared" si="23"/>
        <v>151113.33333333334</v>
      </c>
      <c r="I57" s="55">
        <f t="shared" si="23"/>
        <v>113235</v>
      </c>
      <c r="J57" s="55">
        <f t="shared" si="23"/>
        <v>90588</v>
      </c>
      <c r="K57" s="55">
        <f t="shared" si="23"/>
        <v>75490</v>
      </c>
      <c r="L57" s="55">
        <f t="shared" si="23"/>
        <v>64705.714285714283</v>
      </c>
      <c r="M57" s="55">
        <f t="shared" si="23"/>
        <v>61770</v>
      </c>
      <c r="N57" s="55">
        <f t="shared" si="23"/>
        <v>68228.888888888891</v>
      </c>
      <c r="O57" s="55">
        <f t="shared" si="23"/>
        <v>61406</v>
      </c>
      <c r="P57" s="55">
        <f t="shared" si="23"/>
        <v>55823.63636363636</v>
      </c>
      <c r="Q57" s="55">
        <f t="shared" si="23"/>
        <v>57973.333333333328</v>
      </c>
      <c r="R57" s="55">
        <f t="shared" si="23"/>
        <v>56653.846153846156</v>
      </c>
      <c r="S57" s="55">
        <f t="shared" si="23"/>
        <v>52607.142857142855</v>
      </c>
      <c r="T57" s="55">
        <f t="shared" si="23"/>
        <v>57100</v>
      </c>
      <c r="U57" s="55">
        <f t="shared" si="23"/>
        <v>53531.25</v>
      </c>
      <c r="V57" s="55">
        <f t="shared" si="22"/>
        <v>50382.352941176468</v>
      </c>
      <c r="W57" s="55">
        <f t="shared" si="22"/>
        <v>49284.444444444445</v>
      </c>
      <c r="X57" s="55">
        <f t="shared" si="22"/>
        <v>46690.526315789473</v>
      </c>
      <c r="Y57" s="55">
        <f t="shared" si="22"/>
        <v>44356</v>
      </c>
      <c r="AA57" s="48"/>
    </row>
    <row r="58" spans="2:50">
      <c r="B58" s="4" t="s">
        <v>3</v>
      </c>
      <c r="C58" s="150">
        <v>325000</v>
      </c>
      <c r="D58" s="19"/>
      <c r="E58" s="19"/>
      <c r="F58" s="98">
        <f t="shared" si="23"/>
        <v>1784700</v>
      </c>
      <c r="G58" s="98">
        <f t="shared" si="23"/>
        <v>1052550</v>
      </c>
      <c r="H58" s="98">
        <f t="shared" si="23"/>
        <v>721160</v>
      </c>
      <c r="I58" s="98">
        <f t="shared" si="23"/>
        <v>574185</v>
      </c>
      <c r="J58" s="98">
        <f t="shared" si="23"/>
        <v>499944</v>
      </c>
      <c r="K58" s="98">
        <f t="shared" si="23"/>
        <v>465370</v>
      </c>
      <c r="L58" s="98">
        <f t="shared" si="23"/>
        <v>398888.57142857148</v>
      </c>
      <c r="M58" s="98">
        <f t="shared" si="23"/>
        <v>389145</v>
      </c>
      <c r="N58" s="98">
        <f t="shared" si="23"/>
        <v>354975.55555555556</v>
      </c>
      <c r="O58" s="98">
        <f t="shared" si="23"/>
        <v>333912</v>
      </c>
      <c r="P58" s="98">
        <f t="shared" si="23"/>
        <v>311010.90909090906</v>
      </c>
      <c r="Q58" s="98">
        <f t="shared" si="23"/>
        <v>312746.66666666669</v>
      </c>
      <c r="R58" s="98">
        <f t="shared" si="23"/>
        <v>306310.76923076925</v>
      </c>
      <c r="S58" s="98">
        <f t="shared" si="23"/>
        <v>315294.28571428574</v>
      </c>
      <c r="T58" s="98">
        <f t="shared" si="23"/>
        <v>322302.66666666669</v>
      </c>
      <c r="U58" s="98">
        <f t="shared" si="23"/>
        <v>315650</v>
      </c>
      <c r="V58" s="98">
        <f t="shared" si="22"/>
        <v>310322.35294117645</v>
      </c>
      <c r="W58" s="98">
        <f t="shared" si="22"/>
        <v>299368.88888888888</v>
      </c>
      <c r="X58" s="98">
        <f t="shared" si="22"/>
        <v>306786.31578947371</v>
      </c>
      <c r="Y58" s="98">
        <f t="shared" si="22"/>
        <v>303381</v>
      </c>
    </row>
    <row r="59" spans="2:50">
      <c r="B59" s="153" t="s">
        <v>27</v>
      </c>
      <c r="C59" s="151">
        <f>SUM(C52:C58)</f>
        <v>1515000</v>
      </c>
      <c r="D59" s="10">
        <f>SUM(D52:D58)</f>
        <v>0</v>
      </c>
      <c r="E59" s="10"/>
      <c r="F59" s="10">
        <f t="shared" ref="F59:Y59" si="24">SUM(F52:F58)</f>
        <v>6808120</v>
      </c>
      <c r="G59" s="10">
        <f t="shared" si="24"/>
        <v>4006470</v>
      </c>
      <c r="H59" s="10">
        <f t="shared" si="24"/>
        <v>2882186.666666667</v>
      </c>
      <c r="I59" s="10">
        <f t="shared" si="24"/>
        <v>2406350</v>
      </c>
      <c r="J59" s="10">
        <f t="shared" si="24"/>
        <v>2087456</v>
      </c>
      <c r="K59" s="10">
        <f t="shared" si="24"/>
        <v>1945333.3333333335</v>
      </c>
      <c r="L59" s="10">
        <f t="shared" si="24"/>
        <v>1718485.7142857146</v>
      </c>
      <c r="M59" s="10">
        <f t="shared" si="24"/>
        <v>1656065</v>
      </c>
      <c r="N59" s="10">
        <f t="shared" si="24"/>
        <v>1590193.3333333335</v>
      </c>
      <c r="O59" s="10">
        <f t="shared" si="24"/>
        <v>1494778</v>
      </c>
      <c r="P59" s="10">
        <f t="shared" si="24"/>
        <v>1399643.6363636362</v>
      </c>
      <c r="Q59" s="10">
        <f t="shared" si="24"/>
        <v>1384945.0000000002</v>
      </c>
      <c r="R59" s="10">
        <f t="shared" si="24"/>
        <v>1354084.6153846155</v>
      </c>
      <c r="S59" s="10">
        <f t="shared" si="24"/>
        <v>1343091.4285714284</v>
      </c>
      <c r="T59" s="10">
        <f t="shared" si="24"/>
        <v>1391921.3333333333</v>
      </c>
      <c r="U59" s="10">
        <f t="shared" si="24"/>
        <v>1359480</v>
      </c>
      <c r="V59" s="10">
        <f t="shared" si="24"/>
        <v>1327938.8235294118</v>
      </c>
      <c r="W59" s="10">
        <f t="shared" si="24"/>
        <v>1330846.6666666667</v>
      </c>
      <c r="X59" s="10">
        <f t="shared" si="24"/>
        <v>1360178.9473684211</v>
      </c>
      <c r="Y59" s="10">
        <f t="shared" si="24"/>
        <v>1378550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75750</v>
      </c>
      <c r="G62" s="144">
        <f t="shared" ref="G62:Y62" si="25">+$C$13*G1</f>
        <v>151500</v>
      </c>
      <c r="H62" s="144">
        <f t="shared" si="25"/>
        <v>227250</v>
      </c>
      <c r="I62" s="144">
        <f t="shared" si="25"/>
        <v>303000</v>
      </c>
      <c r="J62" s="144">
        <f t="shared" si="25"/>
        <v>378750</v>
      </c>
      <c r="K62" s="144">
        <f t="shared" si="25"/>
        <v>454500</v>
      </c>
      <c r="L62" s="144">
        <f t="shared" si="25"/>
        <v>530250</v>
      </c>
      <c r="M62" s="144">
        <f t="shared" si="25"/>
        <v>606000</v>
      </c>
      <c r="N62" s="144">
        <f t="shared" si="25"/>
        <v>681750</v>
      </c>
      <c r="O62" s="144">
        <f t="shared" si="25"/>
        <v>757500</v>
      </c>
      <c r="P62" s="144">
        <f t="shared" si="25"/>
        <v>833250</v>
      </c>
      <c r="Q62" s="144">
        <f t="shared" si="25"/>
        <v>909000</v>
      </c>
      <c r="R62" s="144">
        <f t="shared" si="25"/>
        <v>984750</v>
      </c>
      <c r="S62" s="144">
        <f t="shared" si="25"/>
        <v>1060500</v>
      </c>
      <c r="T62" s="144">
        <f t="shared" si="25"/>
        <v>1136250</v>
      </c>
      <c r="U62" s="144">
        <f t="shared" si="25"/>
        <v>1212000</v>
      </c>
      <c r="V62" s="144">
        <f t="shared" si="25"/>
        <v>1287750</v>
      </c>
      <c r="W62" s="144">
        <f t="shared" si="25"/>
        <v>1363500</v>
      </c>
      <c r="X62" s="144">
        <f t="shared" si="25"/>
        <v>1439250</v>
      </c>
      <c r="Y62" s="144">
        <f t="shared" si="25"/>
        <v>1515000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6" type="noConversion"/>
  <conditionalFormatting sqref="Z14">
    <cfRule type="cellIs" dxfId="109" priority="8" stopIfTrue="1" operator="lessThan">
      <formula>$C$13</formula>
    </cfRule>
    <cfRule type="cellIs" dxfId="108" priority="9" stopIfTrue="1" operator="lessThan">
      <formula>$C$13</formula>
    </cfRule>
    <cfRule type="cellIs" dxfId="107" priority="10" stopIfTrue="1" operator="greaterThan">
      <formula>$C$13</formula>
    </cfRule>
    <cfRule type="cellIs" dxfId="106" priority="11" stopIfTrue="1" operator="greaterThan">
      <formula>$C$13</formula>
    </cfRule>
  </conditionalFormatting>
  <conditionalFormatting sqref="AA29:AA36">
    <cfRule type="cellIs" dxfId="105" priority="4" stopIfTrue="1" operator="lessThan">
      <formula>0</formula>
    </cfRule>
    <cfRule type="cellIs" dxfId="104" priority="5" stopIfTrue="1" operator="greaterThan">
      <formula>0</formula>
    </cfRule>
    <cfRule type="cellIs" dxfId="103" priority="6" stopIfTrue="1" operator="lessThan">
      <formula>0</formula>
    </cfRule>
    <cfRule type="cellIs" dxfId="102" priority="7" stopIfTrue="1" operator="greaterThan">
      <formula>0</formula>
    </cfRule>
  </conditionalFormatting>
  <conditionalFormatting sqref="Z6">
    <cfRule type="cellIs" dxfId="101" priority="2" stopIfTrue="1" operator="lessThan">
      <formula>$C$6</formula>
    </cfRule>
    <cfRule type="cellIs" dxfId="100" priority="3" stopIfTrue="1" operator="greaterThan">
      <formula>$C$6</formula>
    </cfRule>
  </conditionalFormatting>
  <conditionalFormatting sqref="Z6:Z12">
    <cfRule type="cellIs" dxfId="99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>
      <selection activeCell="C45" sqref="C45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96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19000</v>
      </c>
      <c r="D6" s="10"/>
      <c r="E6" s="11">
        <v>18345</v>
      </c>
      <c r="F6" s="122">
        <v>26482</v>
      </c>
      <c r="G6" s="34">
        <v>10310</v>
      </c>
      <c r="H6" s="34">
        <v>14025</v>
      </c>
      <c r="I6" s="34">
        <v>12940</v>
      </c>
      <c r="J6" s="34">
        <v>5935</v>
      </c>
      <c r="K6" s="81">
        <v>0</v>
      </c>
      <c r="L6" s="34">
        <v>5495</v>
      </c>
      <c r="M6" s="34">
        <v>22440</v>
      </c>
      <c r="N6" s="34">
        <v>10093</v>
      </c>
      <c r="O6" s="34">
        <v>8635</v>
      </c>
      <c r="P6" s="34">
        <v>12165</v>
      </c>
      <c r="Q6" s="34">
        <v>21613</v>
      </c>
      <c r="R6" s="34">
        <v>18100</v>
      </c>
      <c r="S6" s="34">
        <v>17855</v>
      </c>
      <c r="T6" s="34">
        <v>26490</v>
      </c>
      <c r="U6" s="34">
        <v>10790</v>
      </c>
      <c r="V6" s="34">
        <v>20185</v>
      </c>
      <c r="W6" s="81">
        <v>0</v>
      </c>
      <c r="X6" s="34">
        <v>25540</v>
      </c>
      <c r="Y6" s="34">
        <v>16175</v>
      </c>
      <c r="Z6" s="176">
        <f t="shared" ref="Z6:Z12" si="1">(SUM(F6:Y6)/(COUNT(F6:Y6)))</f>
        <v>14263.4</v>
      </c>
      <c r="AA6" s="103"/>
      <c r="AX6"/>
    </row>
    <row r="7" spans="1:50">
      <c r="B7" s="4" t="s">
        <v>64</v>
      </c>
      <c r="C7" s="20">
        <f t="shared" si="0"/>
        <v>8100</v>
      </c>
      <c r="D7" s="10"/>
      <c r="E7" s="11">
        <v>7490</v>
      </c>
      <c r="F7" s="122">
        <v>16490</v>
      </c>
      <c r="G7" s="34">
        <v>9590</v>
      </c>
      <c r="H7" s="34">
        <v>5200</v>
      </c>
      <c r="I7" s="34">
        <v>4795</v>
      </c>
      <c r="J7" s="81">
        <v>0</v>
      </c>
      <c r="K7" s="34">
        <v>0</v>
      </c>
      <c r="L7" s="34">
        <v>2695</v>
      </c>
      <c r="M7" s="34">
        <v>6995</v>
      </c>
      <c r="N7" s="34">
        <v>2695</v>
      </c>
      <c r="O7" s="34">
        <v>23685</v>
      </c>
      <c r="P7" s="34">
        <v>12990</v>
      </c>
      <c r="Q7" s="34">
        <v>0</v>
      </c>
      <c r="R7" s="34">
        <v>7490</v>
      </c>
      <c r="S7" s="34">
        <v>4795</v>
      </c>
      <c r="T7" s="34">
        <v>7795</v>
      </c>
      <c r="U7" s="34">
        <v>3495</v>
      </c>
      <c r="V7" s="34">
        <v>0</v>
      </c>
      <c r="W7" s="34">
        <v>4690</v>
      </c>
      <c r="X7" s="34">
        <v>0</v>
      </c>
      <c r="Y7" s="34">
        <v>13985</v>
      </c>
      <c r="Z7" s="69">
        <f t="shared" si="1"/>
        <v>6369.25</v>
      </c>
      <c r="AA7" s="103"/>
      <c r="AX7"/>
    </row>
    <row r="8" spans="1:50">
      <c r="B8" s="4" t="s">
        <v>77</v>
      </c>
      <c r="C8" s="20">
        <f t="shared" si="0"/>
        <v>8100</v>
      </c>
      <c r="D8" s="10"/>
      <c r="E8" s="11">
        <v>3250</v>
      </c>
      <c r="F8" s="122">
        <v>2000</v>
      </c>
      <c r="G8" s="34">
        <v>0</v>
      </c>
      <c r="H8" s="34">
        <v>2695</v>
      </c>
      <c r="I8" s="34">
        <v>0</v>
      </c>
      <c r="J8" s="81">
        <v>0</v>
      </c>
      <c r="K8" s="34">
        <v>0</v>
      </c>
      <c r="L8" s="34">
        <v>2695</v>
      </c>
      <c r="M8" s="34">
        <v>6110</v>
      </c>
      <c r="N8" s="34">
        <v>4690</v>
      </c>
      <c r="O8" s="34">
        <v>8440</v>
      </c>
      <c r="P8" s="34">
        <v>0</v>
      </c>
      <c r="Q8" s="34">
        <v>4795</v>
      </c>
      <c r="R8" s="34">
        <v>8585</v>
      </c>
      <c r="S8" s="34">
        <v>7490</v>
      </c>
      <c r="T8" s="34">
        <v>12890</v>
      </c>
      <c r="U8" s="34">
        <v>0</v>
      </c>
      <c r="V8" s="34">
        <v>0</v>
      </c>
      <c r="W8" s="34">
        <v>11090</v>
      </c>
      <c r="X8" s="34">
        <v>0</v>
      </c>
      <c r="Y8" s="34">
        <v>0</v>
      </c>
      <c r="Z8" s="69">
        <f t="shared" si="1"/>
        <v>3574</v>
      </c>
      <c r="AA8" s="103"/>
      <c r="AX8"/>
    </row>
    <row r="9" spans="1:50">
      <c r="B9" s="4" t="s">
        <v>1</v>
      </c>
      <c r="C9" s="20">
        <f t="shared" si="0"/>
        <v>15300</v>
      </c>
      <c r="D9" s="10"/>
      <c r="E9" s="11">
        <v>22975</v>
      </c>
      <c r="F9" s="122">
        <v>10985</v>
      </c>
      <c r="G9" s="34">
        <v>10490</v>
      </c>
      <c r="H9" s="34">
        <v>9995</v>
      </c>
      <c r="I9" s="34">
        <v>12495</v>
      </c>
      <c r="J9" s="34">
        <v>13985</v>
      </c>
      <c r="K9" s="34">
        <v>13985</v>
      </c>
      <c r="L9" s="34">
        <v>13535</v>
      </c>
      <c r="M9" s="34">
        <v>16985</v>
      </c>
      <c r="N9" s="34">
        <v>5746</v>
      </c>
      <c r="O9" s="34">
        <v>15980</v>
      </c>
      <c r="P9" s="34">
        <v>12190</v>
      </c>
      <c r="Q9" s="34">
        <v>14985</v>
      </c>
      <c r="R9" s="34">
        <v>13230</v>
      </c>
      <c r="S9" s="34">
        <v>17525</v>
      </c>
      <c r="T9" s="34">
        <v>14485</v>
      </c>
      <c r="U9" s="34">
        <v>22475</v>
      </c>
      <c r="V9" s="34">
        <v>18540</v>
      </c>
      <c r="W9" s="34">
        <v>13735</v>
      </c>
      <c r="X9" s="34">
        <v>13995</v>
      </c>
      <c r="Y9" s="34">
        <v>16980</v>
      </c>
      <c r="Z9" s="69">
        <f t="shared" si="1"/>
        <v>14116.05</v>
      </c>
      <c r="AA9" s="103"/>
      <c r="AX9"/>
    </row>
    <row r="10" spans="1:50">
      <c r="B10" s="4" t="s">
        <v>2</v>
      </c>
      <c r="C10" s="20">
        <f t="shared" si="0"/>
        <v>8000</v>
      </c>
      <c r="D10" s="10"/>
      <c r="E10" s="11">
        <v>4990</v>
      </c>
      <c r="F10" s="122">
        <v>7935</v>
      </c>
      <c r="G10" s="34">
        <v>9900</v>
      </c>
      <c r="H10" s="34">
        <v>7740</v>
      </c>
      <c r="I10" s="34">
        <v>9790</v>
      </c>
      <c r="J10" s="81">
        <v>0</v>
      </c>
      <c r="K10" s="34">
        <v>0</v>
      </c>
      <c r="L10" s="34">
        <v>2545</v>
      </c>
      <c r="M10" s="34">
        <v>6245</v>
      </c>
      <c r="N10" s="34">
        <v>9165</v>
      </c>
      <c r="O10" s="34">
        <v>5990</v>
      </c>
      <c r="P10" s="34">
        <v>1750</v>
      </c>
      <c r="Q10" s="34">
        <v>2995</v>
      </c>
      <c r="R10" s="34">
        <v>11166</v>
      </c>
      <c r="S10" s="34">
        <v>6800</v>
      </c>
      <c r="T10" s="34">
        <v>5495</v>
      </c>
      <c r="U10" s="34">
        <v>2995</v>
      </c>
      <c r="V10" s="34">
        <v>5495</v>
      </c>
      <c r="W10" s="34">
        <v>5995</v>
      </c>
      <c r="X10" s="34">
        <v>4671</v>
      </c>
      <c r="Y10" s="34">
        <v>0</v>
      </c>
      <c r="Z10" s="69">
        <f t="shared" si="1"/>
        <v>5333.6</v>
      </c>
      <c r="AA10" s="103"/>
      <c r="AX10"/>
    </row>
    <row r="11" spans="1:50">
      <c r="B11" s="4" t="s">
        <v>63</v>
      </c>
      <c r="C11" s="20">
        <f t="shared" si="0"/>
        <v>3500</v>
      </c>
      <c r="D11" s="10"/>
      <c r="E11" s="11">
        <v>0</v>
      </c>
      <c r="F11" s="122">
        <v>0</v>
      </c>
      <c r="G11" s="34">
        <v>0</v>
      </c>
      <c r="H11" s="34">
        <v>2746</v>
      </c>
      <c r="I11" s="34">
        <v>1020</v>
      </c>
      <c r="J11" s="34">
        <v>0</v>
      </c>
      <c r="K11" s="34">
        <v>3000</v>
      </c>
      <c r="L11" s="34">
        <v>0</v>
      </c>
      <c r="M11" s="34">
        <v>5000</v>
      </c>
      <c r="N11" s="34">
        <v>0</v>
      </c>
      <c r="O11" s="34">
        <v>1000</v>
      </c>
      <c r="P11" s="34">
        <v>1020</v>
      </c>
      <c r="Q11" s="34">
        <v>0</v>
      </c>
      <c r="R11" s="34">
        <v>0</v>
      </c>
      <c r="S11" s="34">
        <v>0</v>
      </c>
      <c r="T11" s="34">
        <v>1817</v>
      </c>
      <c r="U11" s="34">
        <v>0</v>
      </c>
      <c r="V11" s="34">
        <v>2000</v>
      </c>
      <c r="W11" s="34">
        <v>0</v>
      </c>
      <c r="X11" s="34">
        <v>0</v>
      </c>
      <c r="Y11" s="34">
        <v>0</v>
      </c>
      <c r="Z11" s="69">
        <f t="shared" si="1"/>
        <v>880.15</v>
      </c>
      <c r="AA11" s="103"/>
      <c r="AX11"/>
    </row>
    <row r="12" spans="1:50">
      <c r="B12" s="4" t="s">
        <v>3</v>
      </c>
      <c r="C12" s="21">
        <f t="shared" si="0"/>
        <v>16750</v>
      </c>
      <c r="D12" s="13"/>
      <c r="E12" s="40">
        <v>27205</v>
      </c>
      <c r="F12" s="124">
        <v>11389</v>
      </c>
      <c r="G12" s="35">
        <v>15434</v>
      </c>
      <c r="H12" s="35">
        <v>18810</v>
      </c>
      <c r="I12" s="35">
        <v>21142</v>
      </c>
      <c r="J12" s="80">
        <v>0</v>
      </c>
      <c r="K12" s="80">
        <v>0</v>
      </c>
      <c r="L12" s="35">
        <v>16331</v>
      </c>
      <c r="M12" s="35">
        <v>9703</v>
      </c>
      <c r="N12" s="35">
        <v>16211</v>
      </c>
      <c r="O12" s="35">
        <v>19306</v>
      </c>
      <c r="P12" s="35">
        <v>17575</v>
      </c>
      <c r="Q12" s="35">
        <v>17293</v>
      </c>
      <c r="R12" s="35">
        <v>16053</v>
      </c>
      <c r="S12" s="35">
        <v>14751</v>
      </c>
      <c r="T12" s="35">
        <v>17356</v>
      </c>
      <c r="U12" s="35">
        <v>16281</v>
      </c>
      <c r="V12" s="35">
        <v>15958</v>
      </c>
      <c r="W12" s="35">
        <v>13180</v>
      </c>
      <c r="X12" s="35">
        <v>13695</v>
      </c>
      <c r="Y12" s="35">
        <v>18769</v>
      </c>
      <c r="Z12" s="69">
        <f t="shared" si="1"/>
        <v>14461.85</v>
      </c>
      <c r="AA12" s="103"/>
      <c r="AX12"/>
    </row>
    <row r="13" spans="1:50" ht="15.75" thickBot="1">
      <c r="B13" s="14" t="s">
        <v>27</v>
      </c>
      <c r="C13" s="20">
        <f>SUM(C6:C12)</f>
        <v>78750</v>
      </c>
      <c r="D13" s="10"/>
      <c r="E13" s="11">
        <f t="shared" ref="E13:Y13" si="2">SUM(E6:E12)</f>
        <v>84255</v>
      </c>
      <c r="F13" s="10">
        <f t="shared" si="2"/>
        <v>75281</v>
      </c>
      <c r="G13" s="10">
        <f t="shared" si="2"/>
        <v>55724</v>
      </c>
      <c r="H13" s="10">
        <f t="shared" si="2"/>
        <v>61211</v>
      </c>
      <c r="I13" s="10">
        <f t="shared" si="2"/>
        <v>62182</v>
      </c>
      <c r="J13" s="10">
        <f t="shared" si="2"/>
        <v>19920</v>
      </c>
      <c r="K13" s="10">
        <f t="shared" si="2"/>
        <v>16985</v>
      </c>
      <c r="L13" s="10">
        <f t="shared" si="2"/>
        <v>43296</v>
      </c>
      <c r="M13" s="10">
        <f t="shared" si="2"/>
        <v>73478</v>
      </c>
      <c r="N13" s="10">
        <f t="shared" si="2"/>
        <v>48600</v>
      </c>
      <c r="O13" s="10">
        <f t="shared" si="2"/>
        <v>83036</v>
      </c>
      <c r="P13" s="10">
        <f t="shared" si="2"/>
        <v>57690</v>
      </c>
      <c r="Q13" s="10">
        <f t="shared" si="2"/>
        <v>61681</v>
      </c>
      <c r="R13" s="10">
        <f t="shared" si="2"/>
        <v>74624</v>
      </c>
      <c r="S13" s="10">
        <f t="shared" si="2"/>
        <v>69216</v>
      </c>
      <c r="T13" s="10">
        <f t="shared" si="2"/>
        <v>86328</v>
      </c>
      <c r="U13" s="10">
        <f t="shared" si="2"/>
        <v>56036</v>
      </c>
      <c r="V13" s="10">
        <f t="shared" si="2"/>
        <v>62178</v>
      </c>
      <c r="W13" s="10">
        <f t="shared" si="2"/>
        <v>48690</v>
      </c>
      <c r="X13" s="10">
        <f t="shared" si="2"/>
        <v>57901</v>
      </c>
      <c r="Y13" s="10">
        <f t="shared" si="2"/>
        <v>65909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123">
        <f>(SUM(F13:Y13)/(COUNT(F13:Y13)))</f>
        <v>58998.3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1.3937894736842105</v>
      </c>
      <c r="G18" s="25">
        <f t="shared" si="5"/>
        <v>0.54263157894736835</v>
      </c>
      <c r="H18" s="25">
        <f t="shared" si="5"/>
        <v>0.73815789473684212</v>
      </c>
      <c r="I18" s="25">
        <f t="shared" si="5"/>
        <v>0.68105263157894735</v>
      </c>
      <c r="J18" s="25">
        <f t="shared" si="5"/>
        <v>0.31236842105263163</v>
      </c>
      <c r="K18" s="25">
        <f t="shared" si="5"/>
        <v>0</v>
      </c>
      <c r="L18" s="25">
        <f t="shared" si="5"/>
        <v>0.28921052631578947</v>
      </c>
      <c r="M18" s="25">
        <f t="shared" si="5"/>
        <v>1.1810526315789474</v>
      </c>
      <c r="N18" s="25">
        <f t="shared" si="5"/>
        <v>0.53121052631578947</v>
      </c>
      <c r="O18" s="25">
        <f t="shared" si="5"/>
        <v>0.45447368421052636</v>
      </c>
      <c r="P18" s="25">
        <f t="shared" si="5"/>
        <v>0.64026315789473687</v>
      </c>
      <c r="Q18" s="25">
        <f t="shared" si="5"/>
        <v>1.1375263157894737</v>
      </c>
      <c r="R18" s="25">
        <f t="shared" si="5"/>
        <v>0.95263157894736838</v>
      </c>
      <c r="S18" s="25">
        <f t="shared" si="5"/>
        <v>0.9397368421052632</v>
      </c>
      <c r="T18" s="25">
        <f t="shared" si="5"/>
        <v>1.3942105263157893</v>
      </c>
      <c r="U18" s="25">
        <f t="shared" si="5"/>
        <v>0.56789473684210523</v>
      </c>
      <c r="V18" s="25">
        <f t="shared" si="5"/>
        <v>1.0623684210526316</v>
      </c>
      <c r="W18" s="25">
        <f t="shared" si="5"/>
        <v>0</v>
      </c>
      <c r="X18" s="25">
        <f t="shared" si="5"/>
        <v>1.3442105263157895</v>
      </c>
      <c r="Y18" s="25">
        <f t="shared" si="5"/>
        <v>0.85131578947368425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2.0358024691358025</v>
      </c>
      <c r="G19" s="25">
        <f t="shared" si="5"/>
        <v>1.1839506172839507</v>
      </c>
      <c r="H19" s="25">
        <f t="shared" si="5"/>
        <v>0.64197530864197527</v>
      </c>
      <c r="I19" s="25">
        <f t="shared" si="5"/>
        <v>0.59197530864197523</v>
      </c>
      <c r="J19" s="25">
        <f t="shared" si="5"/>
        <v>0</v>
      </c>
      <c r="K19" s="25">
        <f t="shared" si="5"/>
        <v>0</v>
      </c>
      <c r="L19" s="25">
        <f t="shared" si="5"/>
        <v>0.33271604938271604</v>
      </c>
      <c r="M19" s="25">
        <f t="shared" si="5"/>
        <v>0.86358024691358026</v>
      </c>
      <c r="N19" s="25">
        <f t="shared" si="5"/>
        <v>0.33271604938271604</v>
      </c>
      <c r="O19" s="25">
        <f t="shared" si="5"/>
        <v>2.924074074074074</v>
      </c>
      <c r="P19" s="25">
        <f t="shared" si="5"/>
        <v>1.6037037037037036</v>
      </c>
      <c r="Q19" s="25">
        <f t="shared" si="5"/>
        <v>0</v>
      </c>
      <c r="R19" s="25">
        <f t="shared" si="5"/>
        <v>0.92469135802469138</v>
      </c>
      <c r="S19" s="25">
        <f t="shared" si="5"/>
        <v>0.59197530864197523</v>
      </c>
      <c r="T19" s="25">
        <f t="shared" si="5"/>
        <v>0.96234567901234569</v>
      </c>
      <c r="U19" s="25">
        <f t="shared" si="5"/>
        <v>0.43148148148148147</v>
      </c>
      <c r="V19" s="25">
        <f t="shared" si="5"/>
        <v>0</v>
      </c>
      <c r="W19" s="25">
        <f t="shared" si="5"/>
        <v>0.57901234567901239</v>
      </c>
      <c r="X19" s="25">
        <f t="shared" si="5"/>
        <v>0</v>
      </c>
      <c r="Y19" s="25">
        <f t="shared" si="5"/>
        <v>1.7265432098765432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0.24691358024691357</v>
      </c>
      <c r="G20" s="25">
        <f t="shared" si="5"/>
        <v>0</v>
      </c>
      <c r="H20" s="25">
        <f t="shared" si="5"/>
        <v>0.33271604938271604</v>
      </c>
      <c r="I20" s="25">
        <f t="shared" si="5"/>
        <v>0</v>
      </c>
      <c r="J20" s="25">
        <f t="shared" si="5"/>
        <v>0</v>
      </c>
      <c r="K20" s="25">
        <f t="shared" si="5"/>
        <v>0</v>
      </c>
      <c r="L20" s="25">
        <f t="shared" si="5"/>
        <v>0.33271604938271604</v>
      </c>
      <c r="M20" s="25">
        <f t="shared" si="5"/>
        <v>0.75432098765432098</v>
      </c>
      <c r="N20" s="25">
        <f t="shared" si="5"/>
        <v>0.57901234567901239</v>
      </c>
      <c r="O20" s="25">
        <f t="shared" si="5"/>
        <v>1.0419753086419754</v>
      </c>
      <c r="P20" s="25">
        <f t="shared" si="5"/>
        <v>0</v>
      </c>
      <c r="Q20" s="25">
        <f t="shared" si="5"/>
        <v>0.59197530864197523</v>
      </c>
      <c r="R20" s="25">
        <f t="shared" si="5"/>
        <v>1.0598765432098765</v>
      </c>
      <c r="S20" s="25">
        <f t="shared" si="5"/>
        <v>0.92469135802469138</v>
      </c>
      <c r="T20" s="25">
        <f t="shared" si="5"/>
        <v>1.5913580246913579</v>
      </c>
      <c r="U20" s="25">
        <f t="shared" si="5"/>
        <v>0</v>
      </c>
      <c r="V20" s="25">
        <f t="shared" si="5"/>
        <v>0</v>
      </c>
      <c r="W20" s="25">
        <f t="shared" si="5"/>
        <v>1.3691358024691358</v>
      </c>
      <c r="X20" s="25">
        <f t="shared" si="5"/>
        <v>0</v>
      </c>
      <c r="Y20" s="25">
        <f t="shared" si="5"/>
        <v>0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0.71797385620915033</v>
      </c>
      <c r="G21" s="25">
        <f t="shared" si="5"/>
        <v>0.68562091503267975</v>
      </c>
      <c r="H21" s="25">
        <f t="shared" si="5"/>
        <v>0.65326797385620916</v>
      </c>
      <c r="I21" s="25">
        <f t="shared" si="5"/>
        <v>0.81666666666666665</v>
      </c>
      <c r="J21" s="25">
        <f t="shared" si="5"/>
        <v>0.91405228758169932</v>
      </c>
      <c r="K21" s="25">
        <f t="shared" si="5"/>
        <v>0.91405228758169932</v>
      </c>
      <c r="L21" s="25">
        <f t="shared" si="5"/>
        <v>0.88464052287581696</v>
      </c>
      <c r="M21" s="25">
        <f t="shared" si="5"/>
        <v>1.1101307189542484</v>
      </c>
      <c r="N21" s="25">
        <f t="shared" si="5"/>
        <v>0.37555555555555553</v>
      </c>
      <c r="O21" s="25">
        <f t="shared" si="5"/>
        <v>1.0444444444444445</v>
      </c>
      <c r="P21" s="25">
        <f t="shared" si="5"/>
        <v>0.79673202614379091</v>
      </c>
      <c r="Q21" s="25">
        <f t="shared" si="5"/>
        <v>0.97941176470588232</v>
      </c>
      <c r="R21" s="25">
        <f t="shared" si="5"/>
        <v>0.86470588235294121</v>
      </c>
      <c r="S21" s="25">
        <f t="shared" si="5"/>
        <v>1.1454248366013071</v>
      </c>
      <c r="T21" s="25">
        <f t="shared" si="5"/>
        <v>0.94673202614379082</v>
      </c>
      <c r="U21" s="25">
        <f t="shared" si="5"/>
        <v>1.4689542483660132</v>
      </c>
      <c r="V21" s="25">
        <f t="shared" si="5"/>
        <v>1.2117647058823529</v>
      </c>
      <c r="W21" s="25">
        <f t="shared" si="5"/>
        <v>0.89771241830065363</v>
      </c>
      <c r="X21" s="25">
        <f t="shared" si="5"/>
        <v>0.91470588235294115</v>
      </c>
      <c r="Y21" s="25">
        <f t="shared" si="5"/>
        <v>1.1098039215686275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0.99187499999999995</v>
      </c>
      <c r="G22" s="25">
        <f t="shared" si="6"/>
        <v>1.2375</v>
      </c>
      <c r="H22" s="25">
        <f t="shared" si="6"/>
        <v>0.96750000000000003</v>
      </c>
      <c r="I22" s="25">
        <f t="shared" si="6"/>
        <v>1.2237499999999999</v>
      </c>
      <c r="J22" s="25">
        <f t="shared" si="6"/>
        <v>0</v>
      </c>
      <c r="K22" s="25">
        <f t="shared" si="6"/>
        <v>0</v>
      </c>
      <c r="L22" s="25">
        <f t="shared" si="6"/>
        <v>0.31812499999999999</v>
      </c>
      <c r="M22" s="25">
        <f t="shared" si="6"/>
        <v>0.78062500000000001</v>
      </c>
      <c r="N22" s="25">
        <f t="shared" si="6"/>
        <v>1.1456249999999999</v>
      </c>
      <c r="O22" s="25">
        <f t="shared" si="6"/>
        <v>0.74875000000000003</v>
      </c>
      <c r="P22" s="25">
        <f t="shared" si="6"/>
        <v>0.21875</v>
      </c>
      <c r="Q22" s="25">
        <f t="shared" si="6"/>
        <v>0.37437500000000001</v>
      </c>
      <c r="R22" s="25">
        <f t="shared" si="6"/>
        <v>1.39575</v>
      </c>
      <c r="S22" s="25">
        <f t="shared" si="6"/>
        <v>0.85</v>
      </c>
      <c r="T22" s="25">
        <f t="shared" si="6"/>
        <v>0.68687500000000001</v>
      </c>
      <c r="U22" s="25">
        <f t="shared" si="6"/>
        <v>0.37437500000000001</v>
      </c>
      <c r="V22" s="25">
        <f t="shared" si="6"/>
        <v>0.68687500000000001</v>
      </c>
      <c r="W22" s="25">
        <f t="shared" si="6"/>
        <v>0.74937500000000001</v>
      </c>
      <c r="X22" s="25">
        <f t="shared" si="6"/>
        <v>0.58387499999999992</v>
      </c>
      <c r="Y22" s="25">
        <f t="shared" si="6"/>
        <v>0</v>
      </c>
      <c r="Z22" s="104"/>
      <c r="AA22" s="104"/>
    </row>
    <row r="23" spans="2:50" s="1" customFormat="1" ht="12.75">
      <c r="B23" s="4" t="s">
        <v>63</v>
      </c>
      <c r="C23" s="25">
        <f t="shared" si="4"/>
        <v>1</v>
      </c>
      <c r="D23" s="25"/>
      <c r="E23" s="25"/>
      <c r="F23" s="25">
        <f t="shared" si="6"/>
        <v>0</v>
      </c>
      <c r="G23" s="25">
        <f t="shared" si="6"/>
        <v>0</v>
      </c>
      <c r="H23" s="25">
        <f t="shared" si="6"/>
        <v>0.78457142857142859</v>
      </c>
      <c r="I23" s="25">
        <f t="shared" si="6"/>
        <v>0.29142857142857148</v>
      </c>
      <c r="J23" s="25">
        <f t="shared" si="6"/>
        <v>0</v>
      </c>
      <c r="K23" s="25">
        <f t="shared" si="6"/>
        <v>0.85714285714285721</v>
      </c>
      <c r="L23" s="25">
        <f t="shared" si="6"/>
        <v>0</v>
      </c>
      <c r="M23" s="25">
        <f t="shared" si="6"/>
        <v>1.4285714285714286</v>
      </c>
      <c r="N23" s="25">
        <f t="shared" si="6"/>
        <v>0</v>
      </c>
      <c r="O23" s="25">
        <f t="shared" si="6"/>
        <v>0.2857142857142857</v>
      </c>
      <c r="P23" s="25">
        <f t="shared" si="6"/>
        <v>0.29142857142857148</v>
      </c>
      <c r="Q23" s="25">
        <f t="shared" si="6"/>
        <v>0</v>
      </c>
      <c r="R23" s="25">
        <f t="shared" si="6"/>
        <v>0</v>
      </c>
      <c r="S23" s="25">
        <f t="shared" si="6"/>
        <v>0</v>
      </c>
      <c r="T23" s="25">
        <f t="shared" si="6"/>
        <v>0.51914285714285713</v>
      </c>
      <c r="U23" s="25">
        <f t="shared" si="6"/>
        <v>0</v>
      </c>
      <c r="V23" s="25">
        <f t="shared" si="6"/>
        <v>0.5714285714285714</v>
      </c>
      <c r="W23" s="25">
        <f t="shared" si="6"/>
        <v>0</v>
      </c>
      <c r="X23" s="25">
        <f t="shared" si="6"/>
        <v>0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0.67994029850746274</v>
      </c>
      <c r="G24" s="27">
        <f t="shared" si="6"/>
        <v>0.92143283582089552</v>
      </c>
      <c r="H24" s="27">
        <f t="shared" si="6"/>
        <v>1.1229850746268657</v>
      </c>
      <c r="I24" s="27">
        <f t="shared" si="6"/>
        <v>1.2622089552238807</v>
      </c>
      <c r="J24" s="27">
        <f t="shared" si="6"/>
        <v>0</v>
      </c>
      <c r="K24" s="27">
        <f t="shared" si="6"/>
        <v>0</v>
      </c>
      <c r="L24" s="27">
        <f t="shared" si="6"/>
        <v>0.97498507462686568</v>
      </c>
      <c r="M24" s="27">
        <f t="shared" si="6"/>
        <v>0.57928358208955222</v>
      </c>
      <c r="N24" s="27">
        <f t="shared" si="6"/>
        <v>0.96782089552238804</v>
      </c>
      <c r="O24" s="27">
        <f t="shared" si="6"/>
        <v>1.152597014925373</v>
      </c>
      <c r="P24" s="27">
        <f t="shared" si="6"/>
        <v>1.0492537313432835</v>
      </c>
      <c r="Q24" s="27">
        <f t="shared" si="6"/>
        <v>1.0324179104477611</v>
      </c>
      <c r="R24" s="27">
        <f t="shared" si="6"/>
        <v>0.95838805970149255</v>
      </c>
      <c r="S24" s="27">
        <f t="shared" si="6"/>
        <v>0.88065671641791043</v>
      </c>
      <c r="T24" s="27">
        <f t="shared" si="6"/>
        <v>1.0361791044776119</v>
      </c>
      <c r="U24" s="27">
        <f t="shared" si="6"/>
        <v>0.97199999999999998</v>
      </c>
      <c r="V24" s="27">
        <f t="shared" si="6"/>
        <v>0.95271641791044781</v>
      </c>
      <c r="W24" s="27">
        <f t="shared" si="6"/>
        <v>0.786865671641791</v>
      </c>
      <c r="X24" s="27">
        <f t="shared" si="6"/>
        <v>0.81761194029850748</v>
      </c>
      <c r="Y24" s="27">
        <f t="shared" si="6"/>
        <v>1.1205373134328358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0.95594920634920633</v>
      </c>
      <c r="G25" s="25">
        <f t="shared" si="6"/>
        <v>0.70760634920634913</v>
      </c>
      <c r="H25" s="25">
        <f t="shared" si="6"/>
        <v>0.77728253968253969</v>
      </c>
      <c r="I25" s="25">
        <f t="shared" si="6"/>
        <v>0.78961269841269843</v>
      </c>
      <c r="J25" s="25">
        <f>(J13-$C13)/$C13+1</f>
        <v>0.25295238095238093</v>
      </c>
      <c r="K25" s="25">
        <f>(K13-$C13)/$C13+1</f>
        <v>0.2156825396825397</v>
      </c>
      <c r="L25" s="25">
        <f>(L13-$C13)/$C13+1</f>
        <v>0.54979047619047616</v>
      </c>
      <c r="M25" s="25">
        <f t="shared" si="6"/>
        <v>0.93305396825396825</v>
      </c>
      <c r="N25" s="25">
        <f t="shared" si="6"/>
        <v>0.61714285714285722</v>
      </c>
      <c r="O25" s="25">
        <f t="shared" si="6"/>
        <v>1.0544253968253969</v>
      </c>
      <c r="P25" s="25">
        <f t="shared" si="6"/>
        <v>0.73257142857142865</v>
      </c>
      <c r="Q25" s="25">
        <f t="shared" si="6"/>
        <v>0.78325079365079364</v>
      </c>
      <c r="R25" s="25">
        <f t="shared" si="6"/>
        <v>0.94760634920634923</v>
      </c>
      <c r="S25" s="25">
        <f>(S13-$C13)/$C13+1</f>
        <v>0.87893333333333334</v>
      </c>
      <c r="T25" s="25">
        <f>(T13-$C13)/$C13+1</f>
        <v>1.0962285714285713</v>
      </c>
      <c r="U25" s="25">
        <f>(U13-$C13)/$C13+1</f>
        <v>0.71156825396825396</v>
      </c>
      <c r="V25" s="25">
        <f>(V13-$C13)/$C13+1</f>
        <v>0.7895619047619048</v>
      </c>
      <c r="W25" s="25">
        <f>(W13-$C13)/$C13+1</f>
        <v>0.61828571428571433</v>
      </c>
      <c r="X25" s="25">
        <f t="shared" si="6"/>
        <v>0.73525079365079371</v>
      </c>
      <c r="Y25" s="25">
        <f t="shared" si="6"/>
        <v>0.83693968253968254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18345</v>
      </c>
      <c r="G29" s="34">
        <v>28655</v>
      </c>
      <c r="H29" s="34">
        <v>41060</v>
      </c>
      <c r="I29" s="34">
        <v>54000</v>
      </c>
      <c r="J29" s="34">
        <v>71820</v>
      </c>
      <c r="K29" s="34">
        <v>71820</v>
      </c>
      <c r="L29" s="34">
        <v>71370</v>
      </c>
      <c r="M29" s="34">
        <v>93810</v>
      </c>
      <c r="N29" s="34">
        <v>103903</v>
      </c>
      <c r="O29" s="34">
        <v>112538</v>
      </c>
      <c r="P29" s="34">
        <v>124703</v>
      </c>
      <c r="Q29" s="34">
        <v>146316</v>
      </c>
      <c r="R29" s="34">
        <v>164416</v>
      </c>
      <c r="S29" s="34">
        <v>182271</v>
      </c>
      <c r="T29" s="34">
        <v>208761</v>
      </c>
      <c r="U29" s="34">
        <v>217931</v>
      </c>
      <c r="V29" s="34">
        <v>238116</v>
      </c>
      <c r="W29" s="34">
        <v>238116</v>
      </c>
      <c r="X29" s="34">
        <v>257721</v>
      </c>
      <c r="Y29" s="34">
        <v>283066</v>
      </c>
      <c r="Z29" s="109">
        <f>+Y29/C52</f>
        <v>0.74491052631578947</v>
      </c>
      <c r="AA29" s="145">
        <f t="shared" ref="AA29:AA36" si="9">+Z29-Y$27</f>
        <v>-0.25508947368421053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7490</v>
      </c>
      <c r="G30" s="34">
        <v>17080</v>
      </c>
      <c r="H30" s="34">
        <v>24975</v>
      </c>
      <c r="I30" s="34">
        <v>29770</v>
      </c>
      <c r="J30" s="34">
        <v>29770</v>
      </c>
      <c r="K30" s="34">
        <v>29770</v>
      </c>
      <c r="L30" s="34">
        <v>32465</v>
      </c>
      <c r="M30" s="34">
        <v>39460</v>
      </c>
      <c r="N30" s="34">
        <v>56740</v>
      </c>
      <c r="O30" s="34">
        <v>80425</v>
      </c>
      <c r="P30" s="34">
        <v>83725</v>
      </c>
      <c r="Q30" s="34">
        <v>83725</v>
      </c>
      <c r="R30" s="34">
        <v>91215</v>
      </c>
      <c r="S30" s="34">
        <v>96010</v>
      </c>
      <c r="T30" s="34">
        <v>104005</v>
      </c>
      <c r="U30" s="34">
        <v>107500</v>
      </c>
      <c r="V30" s="34">
        <v>107500</v>
      </c>
      <c r="W30" s="34">
        <v>112190</v>
      </c>
      <c r="X30" s="34">
        <v>106800</v>
      </c>
      <c r="Y30" s="34">
        <v>117985</v>
      </c>
      <c r="Z30" s="109">
        <f>+Y30/C53</f>
        <v>0.72830246913580243</v>
      </c>
      <c r="AA30" s="146">
        <f t="shared" si="9"/>
        <v>-0.27169753086419757</v>
      </c>
      <c r="AX30"/>
    </row>
    <row r="31" spans="2:50">
      <c r="B31" s="4" t="str">
        <f>+B20</f>
        <v>Brazil</v>
      </c>
      <c r="C31" s="4"/>
      <c r="D31" s="4"/>
      <c r="E31" s="23"/>
      <c r="F31" s="122">
        <v>3250</v>
      </c>
      <c r="G31" s="34">
        <v>5250</v>
      </c>
      <c r="H31" s="34">
        <v>7945</v>
      </c>
      <c r="I31" s="34">
        <v>4695</v>
      </c>
      <c r="J31" s="34">
        <v>4695</v>
      </c>
      <c r="K31" s="34">
        <v>4695</v>
      </c>
      <c r="L31" s="34">
        <v>7390</v>
      </c>
      <c r="M31" s="34">
        <v>13500</v>
      </c>
      <c r="N31" s="34">
        <v>18190</v>
      </c>
      <c r="O31" s="34">
        <v>26630</v>
      </c>
      <c r="P31" s="34">
        <v>26630</v>
      </c>
      <c r="Q31" s="34">
        <v>31425</v>
      </c>
      <c r="R31" s="34">
        <v>40010</v>
      </c>
      <c r="S31" s="34">
        <v>47500</v>
      </c>
      <c r="T31" s="34">
        <v>60390</v>
      </c>
      <c r="U31" s="34">
        <v>60390</v>
      </c>
      <c r="V31" s="34">
        <v>60390</v>
      </c>
      <c r="W31" s="34">
        <v>71480</v>
      </c>
      <c r="X31" s="34">
        <v>71480</v>
      </c>
      <c r="Y31" s="34">
        <v>71480</v>
      </c>
      <c r="Z31" s="109">
        <f>+Y31/C54</f>
        <v>0.44123456790123455</v>
      </c>
      <c r="AA31" s="146">
        <f t="shared" si="9"/>
        <v>-0.55876543209876539</v>
      </c>
      <c r="AX31"/>
    </row>
    <row r="32" spans="2:50">
      <c r="B32" s="4" t="str">
        <f>+B21</f>
        <v>Boston</v>
      </c>
      <c r="C32" s="4"/>
      <c r="D32" s="4"/>
      <c r="E32" s="23"/>
      <c r="F32" s="122">
        <v>22975</v>
      </c>
      <c r="G32" s="34">
        <v>27475</v>
      </c>
      <c r="H32" s="34">
        <v>33470</v>
      </c>
      <c r="I32" s="34">
        <v>45965</v>
      </c>
      <c r="J32" s="34">
        <v>53960</v>
      </c>
      <c r="K32" s="34">
        <v>67945</v>
      </c>
      <c r="L32" s="34">
        <v>73440</v>
      </c>
      <c r="M32" s="34">
        <v>87430</v>
      </c>
      <c r="N32" s="34">
        <v>88930</v>
      </c>
      <c r="O32" s="34">
        <v>101915</v>
      </c>
      <c r="P32" s="34">
        <v>103115</v>
      </c>
      <c r="Q32" s="34">
        <v>115105</v>
      </c>
      <c r="R32" s="34">
        <v>121595</v>
      </c>
      <c r="S32" s="34">
        <v>137120</v>
      </c>
      <c r="T32" s="34">
        <v>145115</v>
      </c>
      <c r="U32" s="34">
        <v>164595</v>
      </c>
      <c r="V32" s="34">
        <v>180140</v>
      </c>
      <c r="W32" s="34">
        <v>188630</v>
      </c>
      <c r="X32" s="34">
        <v>201125</v>
      </c>
      <c r="Y32" s="34">
        <v>218160</v>
      </c>
      <c r="Z32" s="109">
        <f>+Y32/C55</f>
        <v>0.71294117647058819</v>
      </c>
      <c r="AA32" s="146">
        <f t="shared" si="9"/>
        <v>-0.28705882352941181</v>
      </c>
      <c r="AX32"/>
    </row>
    <row r="33" spans="2:50" s="4" customFormat="1" ht="12.75">
      <c r="B33" s="4" t="str">
        <f>+B22</f>
        <v>Canada</v>
      </c>
      <c r="E33" s="23"/>
      <c r="F33" s="122">
        <v>4990</v>
      </c>
      <c r="G33" s="34">
        <v>20430</v>
      </c>
      <c r="H33" s="34">
        <v>25175</v>
      </c>
      <c r="I33" s="34">
        <v>34965</v>
      </c>
      <c r="J33" s="34">
        <v>34965</v>
      </c>
      <c r="K33" s="34">
        <v>34965</v>
      </c>
      <c r="L33" s="34">
        <v>37510</v>
      </c>
      <c r="M33" s="34">
        <v>40760</v>
      </c>
      <c r="N33" s="34">
        <v>52920</v>
      </c>
      <c r="O33" s="34">
        <v>52920</v>
      </c>
      <c r="P33" s="34">
        <v>60660</v>
      </c>
      <c r="Q33" s="34">
        <v>60660</v>
      </c>
      <c r="R33" s="34">
        <v>65655</v>
      </c>
      <c r="S33" s="34">
        <v>75450</v>
      </c>
      <c r="T33" s="34">
        <v>75450</v>
      </c>
      <c r="U33" s="34">
        <v>83940</v>
      </c>
      <c r="V33" s="34">
        <v>90111</v>
      </c>
      <c r="W33" s="34">
        <v>95606</v>
      </c>
      <c r="X33" s="34">
        <v>95606</v>
      </c>
      <c r="Y33" s="34">
        <v>97105</v>
      </c>
      <c r="Z33" s="109">
        <f>Y33/C56</f>
        <v>0.60690624999999998</v>
      </c>
      <c r="AA33" s="146">
        <f t="shared" si="9"/>
        <v>-0.39309375000000002</v>
      </c>
    </row>
    <row r="34" spans="2:50" s="4" customFormat="1" ht="12.75">
      <c r="B34" s="4" t="s">
        <v>63</v>
      </c>
      <c r="E34" s="23"/>
      <c r="F34" s="122">
        <v>0</v>
      </c>
      <c r="G34" s="34">
        <v>0</v>
      </c>
      <c r="H34" s="34">
        <v>2746</v>
      </c>
      <c r="I34" s="34">
        <v>4081</v>
      </c>
      <c r="J34" s="34">
        <v>4081</v>
      </c>
      <c r="K34" s="34">
        <v>7081</v>
      </c>
      <c r="L34" s="34">
        <v>7081</v>
      </c>
      <c r="M34" s="34">
        <v>12081</v>
      </c>
      <c r="N34" s="34">
        <v>12081</v>
      </c>
      <c r="O34" s="34">
        <v>11303</v>
      </c>
      <c r="P34" s="34">
        <v>12323</v>
      </c>
      <c r="Q34" s="34">
        <v>11323</v>
      </c>
      <c r="R34" s="34">
        <v>11323</v>
      </c>
      <c r="S34" s="34">
        <v>11323</v>
      </c>
      <c r="T34" s="34">
        <v>13140</v>
      </c>
      <c r="U34" s="34">
        <v>13140</v>
      </c>
      <c r="V34" s="34">
        <v>15140</v>
      </c>
      <c r="W34" s="34">
        <v>15140</v>
      </c>
      <c r="X34" s="34">
        <v>15140</v>
      </c>
      <c r="Y34" s="34">
        <v>18140</v>
      </c>
      <c r="Z34" s="109">
        <f>Y34/C57</f>
        <v>0.25914285714285712</v>
      </c>
      <c r="AA34" s="146">
        <f t="shared" si="9"/>
        <v>-0.74085714285714288</v>
      </c>
    </row>
    <row r="35" spans="2:50">
      <c r="B35" s="5" t="str">
        <f>+B24</f>
        <v>Norwich</v>
      </c>
      <c r="C35" s="19"/>
      <c r="D35" s="19"/>
      <c r="E35" s="35"/>
      <c r="F35" s="124">
        <v>27205</v>
      </c>
      <c r="G35" s="35">
        <v>45372</v>
      </c>
      <c r="H35" s="35">
        <v>64181</v>
      </c>
      <c r="I35" s="35">
        <v>85324</v>
      </c>
      <c r="J35" s="35">
        <v>85324</v>
      </c>
      <c r="K35" s="35">
        <v>85324</v>
      </c>
      <c r="L35" s="35">
        <v>101655</v>
      </c>
      <c r="M35" s="35">
        <v>108627</v>
      </c>
      <c r="N35" s="35">
        <v>124838</v>
      </c>
      <c r="O35" s="35">
        <v>144144</v>
      </c>
      <c r="P35" s="35">
        <v>151188</v>
      </c>
      <c r="Q35" s="35">
        <v>168482</v>
      </c>
      <c r="R35" s="35">
        <v>174250</v>
      </c>
      <c r="S35" s="35">
        <v>183161</v>
      </c>
      <c r="T35" s="35">
        <v>200517</v>
      </c>
      <c r="U35" s="35">
        <v>216799</v>
      </c>
      <c r="V35" s="35">
        <v>232758</v>
      </c>
      <c r="W35" s="35">
        <v>245939</v>
      </c>
      <c r="X35" s="35">
        <v>244571</v>
      </c>
      <c r="Y35" s="35">
        <v>267090</v>
      </c>
      <c r="Z35" s="110">
        <f>+Y35/C58</f>
        <v>0.79728358208955219</v>
      </c>
      <c r="AA35" s="147">
        <f t="shared" si="9"/>
        <v>-0.20271641791044781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84255</v>
      </c>
      <c r="G36" s="10">
        <f t="shared" si="10"/>
        <v>144262</v>
      </c>
      <c r="H36" s="10">
        <f t="shared" si="10"/>
        <v>199552</v>
      </c>
      <c r="I36" s="10">
        <f t="shared" si="10"/>
        <v>258800</v>
      </c>
      <c r="J36" s="10">
        <f t="shared" si="10"/>
        <v>284615</v>
      </c>
      <c r="K36" s="10">
        <f t="shared" si="10"/>
        <v>301600</v>
      </c>
      <c r="L36" s="10">
        <f t="shared" si="10"/>
        <v>330911</v>
      </c>
      <c r="M36" s="10">
        <f t="shared" si="10"/>
        <v>395668</v>
      </c>
      <c r="N36" s="10">
        <f t="shared" si="10"/>
        <v>457602</v>
      </c>
      <c r="O36" s="10">
        <f t="shared" si="10"/>
        <v>529875</v>
      </c>
      <c r="P36" s="10">
        <f t="shared" si="10"/>
        <v>562344</v>
      </c>
      <c r="Q36" s="10">
        <f t="shared" si="10"/>
        <v>617036</v>
      </c>
      <c r="R36" s="10">
        <f t="shared" si="10"/>
        <v>668464</v>
      </c>
      <c r="S36" s="10">
        <f t="shared" si="10"/>
        <v>732835</v>
      </c>
      <c r="T36" s="10">
        <f t="shared" si="10"/>
        <v>807378</v>
      </c>
      <c r="U36" s="10">
        <f t="shared" si="10"/>
        <v>864295</v>
      </c>
      <c r="V36" s="10">
        <f t="shared" si="10"/>
        <v>924155</v>
      </c>
      <c r="W36" s="10">
        <f t="shared" si="10"/>
        <v>967101</v>
      </c>
      <c r="X36" s="10">
        <f t="shared" si="10"/>
        <v>992443</v>
      </c>
      <c r="Y36" s="10">
        <f t="shared" si="10"/>
        <v>1073026</v>
      </c>
      <c r="Z36" s="111">
        <f>+Y36/C59</f>
        <v>0.68128634920634923</v>
      </c>
      <c r="AA36" s="148">
        <f t="shared" si="9"/>
        <v>-0.31871365079365077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5.3495238095238096E-2</v>
      </c>
      <c r="G37" s="30">
        <f t="shared" si="11"/>
        <v>9.159492063492064E-2</v>
      </c>
      <c r="H37" s="30">
        <f t="shared" si="11"/>
        <v>0.12669968253968253</v>
      </c>
      <c r="I37" s="30">
        <f t="shared" si="11"/>
        <v>0.16431746031746031</v>
      </c>
      <c r="J37" s="30">
        <f t="shared" si="11"/>
        <v>0.18070793650793651</v>
      </c>
      <c r="K37" s="30">
        <f t="shared" si="11"/>
        <v>0.19149206349206349</v>
      </c>
      <c r="L37" s="30">
        <f t="shared" si="11"/>
        <v>0.21010222222222222</v>
      </c>
      <c r="M37" s="30">
        <f t="shared" si="11"/>
        <v>0.25121777777777776</v>
      </c>
      <c r="N37" s="30">
        <f t="shared" si="11"/>
        <v>0.2905409523809524</v>
      </c>
      <c r="O37" s="30">
        <f>+O36/$C$59</f>
        <v>0.33642857142857141</v>
      </c>
      <c r="P37" s="30">
        <f t="shared" ref="P37:Y37" si="12">+P36/$C$59</f>
        <v>0.35704380952380954</v>
      </c>
      <c r="Q37" s="30">
        <f t="shared" si="12"/>
        <v>0.39176888888888889</v>
      </c>
      <c r="R37" s="30">
        <f t="shared" si="12"/>
        <v>0.4244215873015873</v>
      </c>
      <c r="S37" s="30">
        <f t="shared" si="12"/>
        <v>0.46529206349206348</v>
      </c>
      <c r="T37" s="30">
        <f t="shared" si="12"/>
        <v>0.5126209523809524</v>
      </c>
      <c r="U37" s="30">
        <f t="shared" si="12"/>
        <v>0.54875873015873011</v>
      </c>
      <c r="V37" s="30">
        <f t="shared" si="12"/>
        <v>0.58676507936507938</v>
      </c>
      <c r="W37" s="30">
        <f t="shared" si="12"/>
        <v>0.614032380952381</v>
      </c>
      <c r="X37" s="30">
        <f t="shared" si="12"/>
        <v>0.63012253968253973</v>
      </c>
      <c r="Y37" s="30">
        <f t="shared" si="12"/>
        <v>0.68128634920634923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0.96552631578947368</v>
      </c>
      <c r="G41" s="17">
        <f t="shared" ref="G41:Y41" si="14">(G52/$C$52)</f>
        <v>0.75407894736842107</v>
      </c>
      <c r="H41" s="17">
        <f t="shared" si="14"/>
        <v>0.72035087719298241</v>
      </c>
      <c r="I41" s="17">
        <f t="shared" si="14"/>
        <v>0.71052631578947367</v>
      </c>
      <c r="J41" s="17">
        <f t="shared" si="14"/>
        <v>0.75600000000000001</v>
      </c>
      <c r="K41" s="17">
        <f t="shared" si="14"/>
        <v>0.63</v>
      </c>
      <c r="L41" s="17">
        <f t="shared" si="14"/>
        <v>0.53661654135338355</v>
      </c>
      <c r="M41" s="17">
        <f t="shared" si="14"/>
        <v>0.6171710526315789</v>
      </c>
      <c r="N41" s="17">
        <f t="shared" si="14"/>
        <v>0.60761988304093573</v>
      </c>
      <c r="O41" s="17">
        <f t="shared" si="14"/>
        <v>0.59230526315789478</v>
      </c>
      <c r="P41" s="17">
        <f t="shared" si="14"/>
        <v>0.59666507177033501</v>
      </c>
      <c r="Q41" s="17">
        <f t="shared" si="14"/>
        <v>0.64173684210526316</v>
      </c>
      <c r="R41" s="17">
        <f t="shared" si="14"/>
        <v>0.66565182186234817</v>
      </c>
      <c r="S41" s="17">
        <f t="shared" si="14"/>
        <v>0.68522932330827069</v>
      </c>
      <c r="T41" s="17">
        <f t="shared" si="14"/>
        <v>0.73249473684210531</v>
      </c>
      <c r="U41" s="17">
        <f t="shared" si="14"/>
        <v>0.71687828947368426</v>
      </c>
      <c r="V41" s="17">
        <f t="shared" si="14"/>
        <v>0.73720123839009288</v>
      </c>
      <c r="W41" s="17">
        <f t="shared" si="14"/>
        <v>0.69624561403508767</v>
      </c>
      <c r="X41" s="17">
        <f t="shared" si="14"/>
        <v>0.71390858725761763</v>
      </c>
      <c r="Y41" s="17">
        <f t="shared" si="14"/>
        <v>0.74491052631578947</v>
      </c>
      <c r="Z41" s="158" t="s">
        <v>71</v>
      </c>
      <c r="AA41" s="138">
        <v>350</v>
      </c>
      <c r="AX41"/>
    </row>
    <row r="42" spans="2:50">
      <c r="B42" s="4" t="s">
        <v>64</v>
      </c>
      <c r="C42" s="17"/>
      <c r="D42" s="17"/>
      <c r="E42" s="17"/>
      <c r="F42" s="17">
        <f>(F53/$C$53)</f>
        <v>0.92469135802469138</v>
      </c>
      <c r="G42" s="17">
        <f t="shared" ref="G42:Y42" si="15">(G53/$C$53)</f>
        <v>1.0543209876543209</v>
      </c>
      <c r="H42" s="17">
        <f t="shared" si="15"/>
        <v>1.0277777777777777</v>
      </c>
      <c r="I42" s="17">
        <f t="shared" si="15"/>
        <v>0.91882716049382718</v>
      </c>
      <c r="J42" s="17">
        <f t="shared" si="15"/>
        <v>0.73506172839506168</v>
      </c>
      <c r="K42" s="17">
        <f t="shared" si="15"/>
        <v>0.61255144032921816</v>
      </c>
      <c r="L42" s="17">
        <f t="shared" si="15"/>
        <v>0.57257495590828933</v>
      </c>
      <c r="M42" s="17">
        <f t="shared" si="15"/>
        <v>0.60895061728395061</v>
      </c>
      <c r="N42" s="17">
        <f t="shared" si="15"/>
        <v>0.77832647462277094</v>
      </c>
      <c r="O42" s="17">
        <f t="shared" si="15"/>
        <v>0.99290123456790125</v>
      </c>
      <c r="P42" s="17">
        <f t="shared" si="15"/>
        <v>0.93967452300785625</v>
      </c>
      <c r="Q42" s="17">
        <f t="shared" si="15"/>
        <v>0.8613683127572016</v>
      </c>
      <c r="R42" s="17">
        <f t="shared" si="15"/>
        <v>0.86623931623931638</v>
      </c>
      <c r="S42" s="17">
        <f t="shared" si="15"/>
        <v>0.84664902998236335</v>
      </c>
      <c r="T42" s="17">
        <f t="shared" si="15"/>
        <v>0.85600823045267493</v>
      </c>
      <c r="U42" s="17">
        <f t="shared" si="15"/>
        <v>0.82947530864197527</v>
      </c>
      <c r="V42" s="17">
        <f t="shared" si="15"/>
        <v>0.78068264342774152</v>
      </c>
      <c r="W42" s="17">
        <f t="shared" si="15"/>
        <v>0.76947873799725641</v>
      </c>
      <c r="X42" s="17">
        <f t="shared" si="15"/>
        <v>0.69395711500974655</v>
      </c>
      <c r="Y42" s="17">
        <f t="shared" si="15"/>
        <v>0.72830246913580243</v>
      </c>
      <c r="Z42" s="158" t="s">
        <v>72</v>
      </c>
      <c r="AA42" s="138">
        <v>120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0.40123456790123457</v>
      </c>
      <c r="G43" s="17">
        <f t="shared" si="16"/>
        <v>0.32407407407407407</v>
      </c>
      <c r="H43" s="17">
        <f t="shared" si="16"/>
        <v>0.32695473251028812</v>
      </c>
      <c r="I43" s="17">
        <f t="shared" si="16"/>
        <v>0.1449074074074074</v>
      </c>
      <c r="J43" s="17">
        <f t="shared" si="16"/>
        <v>0.11592592592592593</v>
      </c>
      <c r="K43" s="17">
        <f t="shared" si="16"/>
        <v>9.6604938271604934E-2</v>
      </c>
      <c r="L43" s="17">
        <f t="shared" si="16"/>
        <v>0.13033509700176368</v>
      </c>
      <c r="M43" s="17">
        <f t="shared" si="16"/>
        <v>0.20833333333333334</v>
      </c>
      <c r="N43" s="17">
        <f t="shared" si="16"/>
        <v>0.24951989026063098</v>
      </c>
      <c r="O43" s="17">
        <f t="shared" si="16"/>
        <v>0.32876543209876541</v>
      </c>
      <c r="P43" s="17">
        <f t="shared" si="16"/>
        <v>0.29887766554433226</v>
      </c>
      <c r="Q43" s="17">
        <f t="shared" si="16"/>
        <v>0.32330246913580246</v>
      </c>
      <c r="R43" s="17">
        <f t="shared" si="16"/>
        <v>0.37996201329534662</v>
      </c>
      <c r="S43" s="17">
        <f t="shared" si="16"/>
        <v>0.41887125220458554</v>
      </c>
      <c r="T43" s="17">
        <f t="shared" si="16"/>
        <v>0.49703703703703705</v>
      </c>
      <c r="U43" s="17">
        <f t="shared" si="16"/>
        <v>0.46597222222222223</v>
      </c>
      <c r="V43" s="17">
        <f t="shared" si="16"/>
        <v>0.43856209150326797</v>
      </c>
      <c r="W43" s="17">
        <f t="shared" si="16"/>
        <v>0.49026063100137174</v>
      </c>
      <c r="X43" s="17">
        <f t="shared" si="16"/>
        <v>0.46445743989603638</v>
      </c>
      <c r="Y43" s="17">
        <f t="shared" si="16"/>
        <v>0.44123456790123455</v>
      </c>
      <c r="Z43" s="158" t="s">
        <v>94</v>
      </c>
      <c r="AA43" s="158">
        <v>120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1.5016339869281046</v>
      </c>
      <c r="G44" s="17">
        <f t="shared" ref="G44:Y44" si="17">(G55/$C$55)</f>
        <v>0.89787581699346408</v>
      </c>
      <c r="H44" s="17">
        <f t="shared" si="17"/>
        <v>0.729193899782135</v>
      </c>
      <c r="I44" s="17">
        <f t="shared" si="17"/>
        <v>0.75106209150326797</v>
      </c>
      <c r="J44" s="17">
        <f t="shared" si="17"/>
        <v>0.70535947712418301</v>
      </c>
      <c r="K44" s="17">
        <f t="shared" si="17"/>
        <v>0.74014161220043562</v>
      </c>
      <c r="L44" s="17">
        <f t="shared" si="17"/>
        <v>0.68571428571428572</v>
      </c>
      <c r="M44" s="17">
        <f t="shared" si="17"/>
        <v>0.71429738562091505</v>
      </c>
      <c r="N44" s="17">
        <f t="shared" si="17"/>
        <v>0.64582425562817714</v>
      </c>
      <c r="O44" s="17">
        <f t="shared" si="17"/>
        <v>0.6661111111111111</v>
      </c>
      <c r="P44" s="17">
        <f t="shared" si="17"/>
        <v>0.61268568033273918</v>
      </c>
      <c r="Q44" s="17">
        <f t="shared" si="17"/>
        <v>0.62693355119825711</v>
      </c>
      <c r="R44" s="17">
        <f t="shared" si="17"/>
        <v>0.61133735545500256</v>
      </c>
      <c r="S44" s="17">
        <f t="shared" si="17"/>
        <v>0.64014939309056951</v>
      </c>
      <c r="T44" s="17">
        <f t="shared" si="17"/>
        <v>0.63230936819172123</v>
      </c>
      <c r="U44" s="17">
        <f t="shared" si="17"/>
        <v>0.67236519607843137</v>
      </c>
      <c r="V44" s="17">
        <f t="shared" si="17"/>
        <v>0.69257977700884277</v>
      </c>
      <c r="W44" s="17">
        <f t="shared" si="17"/>
        <v>0.68493100944081342</v>
      </c>
      <c r="X44" s="17">
        <f t="shared" si="17"/>
        <v>0.69186446508427935</v>
      </c>
      <c r="Y44" s="17">
        <f t="shared" si="17"/>
        <v>0.71294117647058819</v>
      </c>
      <c r="Z44" s="160" t="s">
        <v>73</v>
      </c>
      <c r="AA44" s="138">
        <v>300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0.62375000000000003</v>
      </c>
      <c r="G45" s="17">
        <f t="shared" si="18"/>
        <v>1.276875</v>
      </c>
      <c r="H45" s="17">
        <f t="shared" si="18"/>
        <v>1.0489583333333332</v>
      </c>
      <c r="I45" s="17">
        <f t="shared" si="18"/>
        <v>1.0926562500000001</v>
      </c>
      <c r="J45" s="17">
        <f t="shared" si="18"/>
        <v>0.87412500000000004</v>
      </c>
      <c r="K45" s="17">
        <f t="shared" si="18"/>
        <v>0.72843749999999996</v>
      </c>
      <c r="L45" s="17">
        <f t="shared" si="18"/>
        <v>0.66982142857142857</v>
      </c>
      <c r="M45" s="17">
        <f t="shared" si="18"/>
        <v>0.63687499999999997</v>
      </c>
      <c r="N45" s="17">
        <f t="shared" si="18"/>
        <v>0.73499999999999999</v>
      </c>
      <c r="O45" s="17">
        <f t="shared" si="18"/>
        <v>0.66149999999999998</v>
      </c>
      <c r="P45" s="17">
        <f t="shared" si="18"/>
        <v>0.68931818181818194</v>
      </c>
      <c r="Q45" s="17">
        <f t="shared" si="18"/>
        <v>0.63187499999999996</v>
      </c>
      <c r="R45" s="17">
        <f t="shared" si="18"/>
        <v>0.63129807692307693</v>
      </c>
      <c r="S45" s="17">
        <f t="shared" si="18"/>
        <v>0.67366071428571428</v>
      </c>
      <c r="T45" s="17">
        <f t="shared" si="18"/>
        <v>0.62875000000000003</v>
      </c>
      <c r="U45" s="17">
        <f t="shared" si="18"/>
        <v>0.65578124999999998</v>
      </c>
      <c r="V45" s="17">
        <f t="shared" si="18"/>
        <v>0.66258088235294121</v>
      </c>
      <c r="W45" s="17">
        <f t="shared" si="18"/>
        <v>0.66393055555555558</v>
      </c>
      <c r="X45" s="17">
        <f t="shared" si="18"/>
        <v>0.62898684210526312</v>
      </c>
      <c r="Y45" s="17">
        <f t="shared" si="18"/>
        <v>0.60690624999999998</v>
      </c>
      <c r="Z45" s="160" t="s">
        <v>74</v>
      </c>
      <c r="AA45" s="138">
        <v>135</v>
      </c>
      <c r="AX45"/>
    </row>
    <row r="46" spans="2:50">
      <c r="B46" s="4" t="s">
        <v>63</v>
      </c>
      <c r="C46" s="17"/>
      <c r="D46" s="17"/>
      <c r="E46" s="17"/>
      <c r="F46" s="17">
        <f t="shared" si="18"/>
        <v>0</v>
      </c>
      <c r="G46" s="17">
        <f t="shared" si="18"/>
        <v>0</v>
      </c>
      <c r="H46" s="17">
        <f t="shared" si="18"/>
        <v>0.11441666666666668</v>
      </c>
      <c r="I46" s="17">
        <f t="shared" si="18"/>
        <v>0.12753125000000001</v>
      </c>
      <c r="J46" s="17">
        <f t="shared" si="18"/>
        <v>0.102025</v>
      </c>
      <c r="K46" s="17">
        <f t="shared" si="18"/>
        <v>0.14752083333333335</v>
      </c>
      <c r="L46" s="17">
        <f t="shared" si="18"/>
        <v>0.12644642857142857</v>
      </c>
      <c r="M46" s="17">
        <f t="shared" si="18"/>
        <v>0.18876562499999999</v>
      </c>
      <c r="N46" s="17">
        <f t="shared" si="18"/>
        <v>0.16779166666666664</v>
      </c>
      <c r="O46" s="17">
        <f t="shared" si="18"/>
        <v>0.14128750000000001</v>
      </c>
      <c r="P46" s="17">
        <f t="shared" si="18"/>
        <v>0.14003409090909091</v>
      </c>
      <c r="Q46" s="17">
        <f t="shared" si="18"/>
        <v>0.11794791666666668</v>
      </c>
      <c r="R46" s="17">
        <f t="shared" si="18"/>
        <v>0.108875</v>
      </c>
      <c r="S46" s="17">
        <f t="shared" si="18"/>
        <v>0.10109821428571429</v>
      </c>
      <c r="T46" s="17">
        <f t="shared" si="18"/>
        <v>0.1095</v>
      </c>
      <c r="U46" s="17">
        <f t="shared" si="18"/>
        <v>0.10265625</v>
      </c>
      <c r="V46" s="17">
        <f t="shared" si="18"/>
        <v>0.11132352941176471</v>
      </c>
      <c r="W46" s="17">
        <f t="shared" si="18"/>
        <v>0.10513888888888889</v>
      </c>
      <c r="X46" s="17">
        <f t="shared" si="18"/>
        <v>9.9605263157894738E-2</v>
      </c>
      <c r="Y46" s="17">
        <f t="shared" si="18"/>
        <v>0.113375</v>
      </c>
      <c r="Z46" s="160" t="s">
        <v>75</v>
      </c>
      <c r="AA46" s="138">
        <v>40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1.6241791044776119</v>
      </c>
      <c r="G47" s="18">
        <f t="shared" si="19"/>
        <v>1.3543880597014926</v>
      </c>
      <c r="H47" s="18">
        <f t="shared" si="19"/>
        <v>1.2772338308457714</v>
      </c>
      <c r="I47" s="18">
        <f t="shared" si="19"/>
        <v>1.2734925373134329</v>
      </c>
      <c r="J47" s="18">
        <f t="shared" si="19"/>
        <v>1.0187940298507463</v>
      </c>
      <c r="K47" s="18">
        <f t="shared" si="19"/>
        <v>0.84899502487562184</v>
      </c>
      <c r="L47" s="18">
        <f t="shared" si="19"/>
        <v>0.86699360341151388</v>
      </c>
      <c r="M47" s="18">
        <f t="shared" si="19"/>
        <v>0.81064925373134333</v>
      </c>
      <c r="N47" s="18">
        <f t="shared" si="19"/>
        <v>0.82811276948590373</v>
      </c>
      <c r="O47" s="18">
        <f t="shared" si="19"/>
        <v>0.86056119402985076</v>
      </c>
      <c r="P47" s="18">
        <f t="shared" si="19"/>
        <v>0.82055902306648565</v>
      </c>
      <c r="Q47" s="18">
        <f t="shared" si="19"/>
        <v>0.83821890547263678</v>
      </c>
      <c r="R47" s="18">
        <f t="shared" si="19"/>
        <v>0.80022962112514351</v>
      </c>
      <c r="S47" s="18">
        <f t="shared" si="19"/>
        <v>0.78107036247334749</v>
      </c>
      <c r="T47" s="18">
        <f t="shared" si="19"/>
        <v>0.79807761194029847</v>
      </c>
      <c r="U47" s="18">
        <f t="shared" si="19"/>
        <v>0.80895149253731347</v>
      </c>
      <c r="V47" s="18">
        <f t="shared" si="19"/>
        <v>0.81741176470588239</v>
      </c>
      <c r="W47" s="18">
        <f t="shared" si="19"/>
        <v>0.81571807628524051</v>
      </c>
      <c r="X47" s="18">
        <f t="shared" si="19"/>
        <v>0.76848703849175171</v>
      </c>
      <c r="Y47" s="18">
        <f t="shared" si="19"/>
        <v>0.79728358208955219</v>
      </c>
      <c r="Z47" s="159" t="s">
        <v>76</v>
      </c>
      <c r="AA47" s="138">
        <v>300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1.0699047619047619</v>
      </c>
      <c r="G48" s="17">
        <f t="shared" si="20"/>
        <v>0.9159492063492064</v>
      </c>
      <c r="H48" s="17">
        <f t="shared" si="20"/>
        <v>0.84466455026455012</v>
      </c>
      <c r="I48" s="17">
        <f t="shared" si="20"/>
        <v>0.82158730158730153</v>
      </c>
      <c r="J48" s="17">
        <f t="shared" si="20"/>
        <v>0.72283174603174605</v>
      </c>
      <c r="K48" s="17">
        <f t="shared" si="20"/>
        <v>0.63830687830687838</v>
      </c>
      <c r="L48" s="17">
        <f t="shared" si="20"/>
        <v>0.60029206349206354</v>
      </c>
      <c r="M48" s="17">
        <f t="shared" si="20"/>
        <v>0.62804444444444441</v>
      </c>
      <c r="N48" s="17">
        <f t="shared" si="20"/>
        <v>0.6456465608465608</v>
      </c>
      <c r="O48" s="17">
        <f t="shared" si="20"/>
        <v>0.67285714285714282</v>
      </c>
      <c r="P48" s="17">
        <f t="shared" si="20"/>
        <v>0.64917056277056273</v>
      </c>
      <c r="Q48" s="17">
        <f t="shared" si="20"/>
        <v>0.65294814814814806</v>
      </c>
      <c r="R48" s="17">
        <f t="shared" si="20"/>
        <v>0.65295628815628814</v>
      </c>
      <c r="S48" s="17">
        <f t="shared" si="20"/>
        <v>0.66470294784580508</v>
      </c>
      <c r="T48" s="17">
        <f t="shared" si="20"/>
        <v>0.6834946031746032</v>
      </c>
      <c r="U48" s="17">
        <f t="shared" si="20"/>
        <v>0.68594841269841267</v>
      </c>
      <c r="V48" s="17">
        <f t="shared" si="20"/>
        <v>0.69031185807656403</v>
      </c>
      <c r="W48" s="17">
        <f t="shared" si="20"/>
        <v>0.68225820105820112</v>
      </c>
      <c r="X48" s="17">
        <f t="shared" si="20"/>
        <v>0.66328688387635759</v>
      </c>
      <c r="Y48" s="17">
        <f t="shared" si="20"/>
        <v>0.68128634920634923</v>
      </c>
      <c r="AA48" s="139">
        <f>SUM(AA41:AA47)</f>
        <v>1365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380000</v>
      </c>
      <c r="D52" s="4"/>
      <c r="E52" s="4"/>
      <c r="F52" s="55">
        <f t="shared" ref="F52:Y58" si="22">(F29)/F$1*$Y$1</f>
        <v>366900</v>
      </c>
      <c r="G52" s="55">
        <f t="shared" si="22"/>
        <v>286550</v>
      </c>
      <c r="H52" s="55">
        <f t="shared" si="22"/>
        <v>273733.33333333331</v>
      </c>
      <c r="I52" s="55">
        <f t="shared" si="22"/>
        <v>270000</v>
      </c>
      <c r="J52" s="55">
        <f t="shared" si="22"/>
        <v>287280</v>
      </c>
      <c r="K52" s="55">
        <f t="shared" si="22"/>
        <v>239400</v>
      </c>
      <c r="L52" s="55">
        <f t="shared" si="22"/>
        <v>203914.28571428574</v>
      </c>
      <c r="M52" s="55">
        <f t="shared" si="22"/>
        <v>234525</v>
      </c>
      <c r="N52" s="55">
        <f t="shared" si="22"/>
        <v>230895.55555555556</v>
      </c>
      <c r="O52" s="55">
        <f t="shared" si="22"/>
        <v>225076</v>
      </c>
      <c r="P52" s="55">
        <f t="shared" si="22"/>
        <v>226732.72727272729</v>
      </c>
      <c r="Q52" s="55">
        <f t="shared" si="22"/>
        <v>243860</v>
      </c>
      <c r="R52" s="55">
        <f t="shared" si="22"/>
        <v>252947.69230769231</v>
      </c>
      <c r="S52" s="55">
        <f t="shared" si="22"/>
        <v>260387.14285714287</v>
      </c>
      <c r="T52" s="55">
        <f t="shared" si="22"/>
        <v>278348</v>
      </c>
      <c r="U52" s="55">
        <f t="shared" si="22"/>
        <v>272413.75</v>
      </c>
      <c r="V52" s="55">
        <f t="shared" si="22"/>
        <v>280136.4705882353</v>
      </c>
      <c r="W52" s="55">
        <f t="shared" si="22"/>
        <v>264573.33333333331</v>
      </c>
      <c r="X52" s="55">
        <f t="shared" si="22"/>
        <v>271285.26315789472</v>
      </c>
      <c r="Y52" s="55">
        <f t="shared" si="22"/>
        <v>283066</v>
      </c>
      <c r="AX52"/>
    </row>
    <row r="53" spans="2:50">
      <c r="B53" s="4" t="s">
        <v>64</v>
      </c>
      <c r="C53" s="149">
        <v>162000</v>
      </c>
      <c r="D53" s="4"/>
      <c r="E53" s="4"/>
      <c r="F53" s="55">
        <f t="shared" si="22"/>
        <v>149800</v>
      </c>
      <c r="G53" s="55">
        <f t="shared" si="22"/>
        <v>170800</v>
      </c>
      <c r="H53" s="55">
        <f t="shared" si="22"/>
        <v>166500</v>
      </c>
      <c r="I53" s="55">
        <f t="shared" si="22"/>
        <v>148850</v>
      </c>
      <c r="J53" s="55">
        <f t="shared" si="22"/>
        <v>119080</v>
      </c>
      <c r="K53" s="55">
        <f t="shared" si="22"/>
        <v>99233.333333333343</v>
      </c>
      <c r="L53" s="55">
        <f t="shared" si="22"/>
        <v>92757.14285714287</v>
      </c>
      <c r="M53" s="55">
        <f t="shared" si="22"/>
        <v>98650</v>
      </c>
      <c r="N53" s="55">
        <f t="shared" si="22"/>
        <v>126088.88888888889</v>
      </c>
      <c r="O53" s="55">
        <f t="shared" si="22"/>
        <v>160850</v>
      </c>
      <c r="P53" s="55">
        <f t="shared" si="22"/>
        <v>152227.27272727271</v>
      </c>
      <c r="Q53" s="55">
        <f t="shared" si="22"/>
        <v>139541.66666666666</v>
      </c>
      <c r="R53" s="55">
        <f t="shared" si="22"/>
        <v>140330.76923076925</v>
      </c>
      <c r="S53" s="55">
        <f t="shared" si="22"/>
        <v>137157.14285714287</v>
      </c>
      <c r="T53" s="55">
        <f t="shared" si="22"/>
        <v>138673.33333333334</v>
      </c>
      <c r="U53" s="55">
        <f t="shared" si="22"/>
        <v>134375</v>
      </c>
      <c r="V53" s="55">
        <f t="shared" si="22"/>
        <v>126470.58823529413</v>
      </c>
      <c r="W53" s="55">
        <f t="shared" si="22"/>
        <v>124655.55555555555</v>
      </c>
      <c r="X53" s="55">
        <f t="shared" si="22"/>
        <v>112421.05263157895</v>
      </c>
      <c r="Y53" s="55">
        <f t="shared" si="22"/>
        <v>117985</v>
      </c>
      <c r="AX53"/>
    </row>
    <row r="54" spans="2:50">
      <c r="B54" s="4" t="str">
        <f>+B43</f>
        <v>Brazil</v>
      </c>
      <c r="C54" s="149">
        <v>162000</v>
      </c>
      <c r="D54" s="4"/>
      <c r="E54" s="4"/>
      <c r="F54" s="55">
        <f t="shared" si="22"/>
        <v>65000</v>
      </c>
      <c r="G54" s="55">
        <f t="shared" si="22"/>
        <v>52500</v>
      </c>
      <c r="H54" s="55">
        <f t="shared" si="22"/>
        <v>52966.666666666672</v>
      </c>
      <c r="I54" s="55">
        <f t="shared" si="22"/>
        <v>23475</v>
      </c>
      <c r="J54" s="55">
        <f t="shared" si="22"/>
        <v>18780</v>
      </c>
      <c r="K54" s="55">
        <f t="shared" si="22"/>
        <v>15650</v>
      </c>
      <c r="L54" s="55">
        <f t="shared" si="22"/>
        <v>21114.285714285717</v>
      </c>
      <c r="M54" s="55">
        <f t="shared" si="22"/>
        <v>33750</v>
      </c>
      <c r="N54" s="55">
        <f t="shared" si="22"/>
        <v>40422.222222222219</v>
      </c>
      <c r="O54" s="55">
        <f t="shared" si="22"/>
        <v>53260</v>
      </c>
      <c r="P54" s="55">
        <f t="shared" si="22"/>
        <v>48418.181818181823</v>
      </c>
      <c r="Q54" s="55">
        <f t="shared" si="22"/>
        <v>52375</v>
      </c>
      <c r="R54" s="55">
        <f t="shared" si="22"/>
        <v>61553.846153846156</v>
      </c>
      <c r="S54" s="55">
        <f t="shared" si="22"/>
        <v>67857.142857142855</v>
      </c>
      <c r="T54" s="55">
        <f t="shared" si="22"/>
        <v>80520</v>
      </c>
      <c r="U54" s="55">
        <f t="shared" si="22"/>
        <v>75487.5</v>
      </c>
      <c r="V54" s="55">
        <f t="shared" si="22"/>
        <v>71047.058823529413</v>
      </c>
      <c r="W54" s="55">
        <f t="shared" si="22"/>
        <v>79422.222222222219</v>
      </c>
      <c r="X54" s="55">
        <f t="shared" si="22"/>
        <v>75242.105263157893</v>
      </c>
      <c r="Y54" s="55">
        <f t="shared" si="22"/>
        <v>71480</v>
      </c>
      <c r="AX54"/>
    </row>
    <row r="55" spans="2:50">
      <c r="B55" s="4" t="str">
        <f>+B44</f>
        <v>Boston</v>
      </c>
      <c r="C55" s="149">
        <v>306000</v>
      </c>
      <c r="D55" s="4"/>
      <c r="E55" s="4"/>
      <c r="F55" s="55">
        <f>(F32)/F$1*$Y$1</f>
        <v>459500</v>
      </c>
      <c r="G55" s="55">
        <f>(G32)/G$1*$Y$1</f>
        <v>274750</v>
      </c>
      <c r="H55" s="55">
        <f t="shared" si="22"/>
        <v>223133.33333333331</v>
      </c>
      <c r="I55" s="55">
        <f t="shared" si="22"/>
        <v>229825</v>
      </c>
      <c r="J55" s="55">
        <f t="shared" si="22"/>
        <v>215840</v>
      </c>
      <c r="K55" s="55">
        <f t="shared" si="22"/>
        <v>226483.33333333331</v>
      </c>
      <c r="L55" s="55">
        <f t="shared" si="22"/>
        <v>209828.57142857142</v>
      </c>
      <c r="M55" s="55">
        <f t="shared" si="22"/>
        <v>218575</v>
      </c>
      <c r="N55" s="55">
        <f t="shared" si="22"/>
        <v>197622.22222222222</v>
      </c>
      <c r="O55" s="55">
        <f t="shared" si="22"/>
        <v>203830</v>
      </c>
      <c r="P55" s="55">
        <f t="shared" si="22"/>
        <v>187481.81818181821</v>
      </c>
      <c r="Q55" s="55">
        <f t="shared" si="22"/>
        <v>191841.66666666669</v>
      </c>
      <c r="R55" s="55">
        <f t="shared" si="22"/>
        <v>187069.23076923078</v>
      </c>
      <c r="S55" s="55">
        <f t="shared" si="22"/>
        <v>195885.71428571426</v>
      </c>
      <c r="T55" s="55">
        <f t="shared" si="22"/>
        <v>193486.66666666669</v>
      </c>
      <c r="U55" s="55">
        <f t="shared" si="22"/>
        <v>205743.75</v>
      </c>
      <c r="V55" s="55">
        <f t="shared" si="22"/>
        <v>211929.41176470587</v>
      </c>
      <c r="W55" s="55">
        <f t="shared" si="22"/>
        <v>209588.88888888891</v>
      </c>
      <c r="X55" s="55">
        <f t="shared" si="22"/>
        <v>211710.52631578947</v>
      </c>
      <c r="Y55" s="55">
        <f t="shared" si="22"/>
        <v>218160</v>
      </c>
      <c r="AX55"/>
    </row>
    <row r="56" spans="2:50">
      <c r="B56" s="4" t="s">
        <v>2</v>
      </c>
      <c r="C56" s="149">
        <v>160000</v>
      </c>
      <c r="D56" s="4"/>
      <c r="E56" s="4"/>
      <c r="F56" s="55">
        <f t="shared" ref="F56:U58" si="23">(F33)/F$1*$Y$1</f>
        <v>99800</v>
      </c>
      <c r="G56" s="55">
        <f t="shared" si="23"/>
        <v>204300</v>
      </c>
      <c r="H56" s="55">
        <f t="shared" si="23"/>
        <v>167833.33333333331</v>
      </c>
      <c r="I56" s="55">
        <f t="shared" si="23"/>
        <v>174825</v>
      </c>
      <c r="J56" s="55">
        <f t="shared" si="23"/>
        <v>139860</v>
      </c>
      <c r="K56" s="55">
        <f t="shared" si="23"/>
        <v>116550</v>
      </c>
      <c r="L56" s="55">
        <f t="shared" si="23"/>
        <v>107171.42857142857</v>
      </c>
      <c r="M56" s="55">
        <f t="shared" si="23"/>
        <v>101900</v>
      </c>
      <c r="N56" s="55">
        <f t="shared" si="23"/>
        <v>117600</v>
      </c>
      <c r="O56" s="55">
        <f t="shared" si="23"/>
        <v>105840</v>
      </c>
      <c r="P56" s="55">
        <f t="shared" si="23"/>
        <v>110290.9090909091</v>
      </c>
      <c r="Q56" s="55">
        <f t="shared" si="23"/>
        <v>101100</v>
      </c>
      <c r="R56" s="55">
        <f t="shared" si="23"/>
        <v>101007.69230769231</v>
      </c>
      <c r="S56" s="55">
        <f t="shared" si="23"/>
        <v>107785.71428571429</v>
      </c>
      <c r="T56" s="55">
        <f t="shared" si="23"/>
        <v>100600</v>
      </c>
      <c r="U56" s="55">
        <f t="shared" si="23"/>
        <v>104925</v>
      </c>
      <c r="V56" s="55">
        <f t="shared" si="22"/>
        <v>106012.9411764706</v>
      </c>
      <c r="W56" s="55">
        <f t="shared" si="22"/>
        <v>106228.88888888889</v>
      </c>
      <c r="X56" s="55">
        <f t="shared" si="22"/>
        <v>100637.89473684211</v>
      </c>
      <c r="Y56" s="55">
        <f t="shared" si="22"/>
        <v>97105</v>
      </c>
      <c r="AA56" s="48"/>
    </row>
    <row r="57" spans="2:50">
      <c r="B57" s="4" t="s">
        <v>63</v>
      </c>
      <c r="C57" s="149">
        <v>70000</v>
      </c>
      <c r="D57" s="4"/>
      <c r="E57" s="4"/>
      <c r="F57" s="55">
        <f t="shared" si="23"/>
        <v>0</v>
      </c>
      <c r="G57" s="55">
        <f t="shared" si="23"/>
        <v>0</v>
      </c>
      <c r="H57" s="55">
        <f t="shared" si="23"/>
        <v>18306.666666666668</v>
      </c>
      <c r="I57" s="55">
        <f t="shared" si="23"/>
        <v>20405</v>
      </c>
      <c r="J57" s="55">
        <f t="shared" si="23"/>
        <v>16324</v>
      </c>
      <c r="K57" s="55">
        <f t="shared" si="23"/>
        <v>23603.333333333336</v>
      </c>
      <c r="L57" s="55">
        <f t="shared" si="23"/>
        <v>20231.428571428572</v>
      </c>
      <c r="M57" s="55">
        <f t="shared" si="23"/>
        <v>30202.5</v>
      </c>
      <c r="N57" s="55">
        <f t="shared" si="23"/>
        <v>26846.666666666664</v>
      </c>
      <c r="O57" s="55">
        <f t="shared" si="23"/>
        <v>22606</v>
      </c>
      <c r="P57" s="55">
        <f t="shared" si="23"/>
        <v>22405.454545454544</v>
      </c>
      <c r="Q57" s="55">
        <f t="shared" si="23"/>
        <v>18871.666666666668</v>
      </c>
      <c r="R57" s="55">
        <f t="shared" si="23"/>
        <v>17420</v>
      </c>
      <c r="S57" s="55">
        <f t="shared" si="23"/>
        <v>16175.714285714286</v>
      </c>
      <c r="T57" s="55">
        <f t="shared" si="23"/>
        <v>17520</v>
      </c>
      <c r="U57" s="55">
        <f t="shared" si="23"/>
        <v>16425</v>
      </c>
      <c r="V57" s="55">
        <f t="shared" si="22"/>
        <v>17811.764705882353</v>
      </c>
      <c r="W57" s="55">
        <f t="shared" si="22"/>
        <v>16822.222222222223</v>
      </c>
      <c r="X57" s="55">
        <f t="shared" si="22"/>
        <v>15936.842105263158</v>
      </c>
      <c r="Y57" s="55">
        <f t="shared" si="22"/>
        <v>18140</v>
      </c>
      <c r="AA57" s="48"/>
    </row>
    <row r="58" spans="2:50">
      <c r="B58" s="4" t="s">
        <v>3</v>
      </c>
      <c r="C58" s="150">
        <v>335000</v>
      </c>
      <c r="D58" s="19"/>
      <c r="E58" s="19"/>
      <c r="F58" s="98">
        <f t="shared" si="23"/>
        <v>544100</v>
      </c>
      <c r="G58" s="98">
        <f t="shared" si="23"/>
        <v>453720</v>
      </c>
      <c r="H58" s="98">
        <f t="shared" si="23"/>
        <v>427873.33333333337</v>
      </c>
      <c r="I58" s="98">
        <f t="shared" si="23"/>
        <v>426620</v>
      </c>
      <c r="J58" s="98">
        <f t="shared" si="23"/>
        <v>341296</v>
      </c>
      <c r="K58" s="98">
        <f t="shared" si="23"/>
        <v>284413.33333333331</v>
      </c>
      <c r="L58" s="98">
        <f t="shared" si="23"/>
        <v>290442.85714285716</v>
      </c>
      <c r="M58" s="98">
        <f t="shared" si="23"/>
        <v>271567.5</v>
      </c>
      <c r="N58" s="98">
        <f t="shared" si="23"/>
        <v>277417.77777777775</v>
      </c>
      <c r="O58" s="98">
        <f t="shared" si="23"/>
        <v>288288</v>
      </c>
      <c r="P58" s="98">
        <f t="shared" si="23"/>
        <v>274887.27272727271</v>
      </c>
      <c r="Q58" s="98">
        <f t="shared" si="23"/>
        <v>280803.33333333331</v>
      </c>
      <c r="R58" s="98">
        <f t="shared" si="23"/>
        <v>268076.92307692306</v>
      </c>
      <c r="S58" s="98">
        <f t="shared" si="23"/>
        <v>261658.57142857142</v>
      </c>
      <c r="T58" s="98">
        <f t="shared" si="23"/>
        <v>267356</v>
      </c>
      <c r="U58" s="98">
        <f t="shared" si="23"/>
        <v>270998.75</v>
      </c>
      <c r="V58" s="98">
        <f t="shared" si="22"/>
        <v>273832.9411764706</v>
      </c>
      <c r="W58" s="98">
        <f t="shared" si="22"/>
        <v>273265.55555555556</v>
      </c>
      <c r="X58" s="98">
        <f t="shared" si="22"/>
        <v>257443.15789473683</v>
      </c>
      <c r="Y58" s="98">
        <f t="shared" si="22"/>
        <v>267090</v>
      </c>
    </row>
    <row r="59" spans="2:50">
      <c r="B59" s="153" t="s">
        <v>27</v>
      </c>
      <c r="C59" s="151">
        <f>SUM(C52:C58)</f>
        <v>1575000</v>
      </c>
      <c r="D59" s="10">
        <f>SUM(D52:D58)</f>
        <v>0</v>
      </c>
      <c r="E59" s="10"/>
      <c r="F59" s="10">
        <f t="shared" ref="F59:Y59" si="24">SUM(F52:F58)</f>
        <v>1685100</v>
      </c>
      <c r="G59" s="10">
        <f t="shared" si="24"/>
        <v>1442620</v>
      </c>
      <c r="H59" s="10">
        <f t="shared" si="24"/>
        <v>1330346.6666666665</v>
      </c>
      <c r="I59" s="10">
        <f t="shared" si="24"/>
        <v>1294000</v>
      </c>
      <c r="J59" s="10">
        <f t="shared" si="24"/>
        <v>1138460</v>
      </c>
      <c r="K59" s="10">
        <f t="shared" si="24"/>
        <v>1005333.3333333335</v>
      </c>
      <c r="L59" s="10">
        <f t="shared" si="24"/>
        <v>945460</v>
      </c>
      <c r="M59" s="10">
        <f t="shared" si="24"/>
        <v>989170</v>
      </c>
      <c r="N59" s="10">
        <f t="shared" si="24"/>
        <v>1016893.3333333333</v>
      </c>
      <c r="O59" s="10">
        <f t="shared" si="24"/>
        <v>1059750</v>
      </c>
      <c r="P59" s="10">
        <f t="shared" si="24"/>
        <v>1022443.6363636364</v>
      </c>
      <c r="Q59" s="10">
        <f t="shared" si="24"/>
        <v>1028393.3333333333</v>
      </c>
      <c r="R59" s="10">
        <f t="shared" si="24"/>
        <v>1028406.1538461538</v>
      </c>
      <c r="S59" s="10">
        <f t="shared" si="24"/>
        <v>1046907.142857143</v>
      </c>
      <c r="T59" s="10">
        <f t="shared" si="24"/>
        <v>1076504</v>
      </c>
      <c r="U59" s="10">
        <f t="shared" si="24"/>
        <v>1080368.75</v>
      </c>
      <c r="V59" s="10">
        <f t="shared" si="24"/>
        <v>1087241.1764705884</v>
      </c>
      <c r="W59" s="10">
        <f t="shared" si="24"/>
        <v>1074556.6666666667</v>
      </c>
      <c r="X59" s="10">
        <f t="shared" si="24"/>
        <v>1044676.8421052631</v>
      </c>
      <c r="Y59" s="10">
        <f t="shared" si="24"/>
        <v>1073026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78750</v>
      </c>
      <c r="G62" s="144">
        <f t="shared" ref="G62:Y62" si="25">+$C$13*G1</f>
        <v>157500</v>
      </c>
      <c r="H62" s="144">
        <f t="shared" si="25"/>
        <v>236250</v>
      </c>
      <c r="I62" s="144">
        <f t="shared" si="25"/>
        <v>315000</v>
      </c>
      <c r="J62" s="144">
        <f t="shared" si="25"/>
        <v>393750</v>
      </c>
      <c r="K62" s="144">
        <f t="shared" si="25"/>
        <v>472500</v>
      </c>
      <c r="L62" s="144">
        <f t="shared" si="25"/>
        <v>551250</v>
      </c>
      <c r="M62" s="144">
        <f t="shared" si="25"/>
        <v>630000</v>
      </c>
      <c r="N62" s="144">
        <f t="shared" si="25"/>
        <v>708750</v>
      </c>
      <c r="O62" s="144">
        <f t="shared" si="25"/>
        <v>787500</v>
      </c>
      <c r="P62" s="144">
        <f t="shared" si="25"/>
        <v>866250</v>
      </c>
      <c r="Q62" s="144">
        <f t="shared" si="25"/>
        <v>945000</v>
      </c>
      <c r="R62" s="144">
        <f t="shared" si="25"/>
        <v>1023750</v>
      </c>
      <c r="S62" s="144">
        <f t="shared" si="25"/>
        <v>1102500</v>
      </c>
      <c r="T62" s="144">
        <f t="shared" si="25"/>
        <v>1181250</v>
      </c>
      <c r="U62" s="144">
        <f t="shared" si="25"/>
        <v>1260000</v>
      </c>
      <c r="V62" s="144">
        <f t="shared" si="25"/>
        <v>1338750</v>
      </c>
      <c r="W62" s="144">
        <f t="shared" si="25"/>
        <v>1417500</v>
      </c>
      <c r="X62" s="144">
        <f t="shared" si="25"/>
        <v>1496250</v>
      </c>
      <c r="Y62" s="144">
        <f t="shared" si="25"/>
        <v>1575000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7" type="noConversion"/>
  <conditionalFormatting sqref="Z14">
    <cfRule type="cellIs" dxfId="98" priority="8" stopIfTrue="1" operator="lessThan">
      <formula>$C$13</formula>
    </cfRule>
    <cfRule type="cellIs" dxfId="97" priority="9" stopIfTrue="1" operator="lessThan">
      <formula>$C$13</formula>
    </cfRule>
    <cfRule type="cellIs" dxfId="96" priority="10" stopIfTrue="1" operator="greaterThan">
      <formula>$C$13</formula>
    </cfRule>
    <cfRule type="cellIs" dxfId="95" priority="11" stopIfTrue="1" operator="greaterThan">
      <formula>$C$13</formula>
    </cfRule>
  </conditionalFormatting>
  <conditionalFormatting sqref="AA29:AA36">
    <cfRule type="cellIs" dxfId="94" priority="4" stopIfTrue="1" operator="lessThan">
      <formula>0</formula>
    </cfRule>
    <cfRule type="cellIs" dxfId="93" priority="5" stopIfTrue="1" operator="greaterThan">
      <formula>0</formula>
    </cfRule>
    <cfRule type="cellIs" dxfId="92" priority="6" stopIfTrue="1" operator="lessThan">
      <formula>0</formula>
    </cfRule>
    <cfRule type="cellIs" dxfId="91" priority="7" stopIfTrue="1" operator="greaterThan">
      <formula>0</formula>
    </cfRule>
  </conditionalFormatting>
  <conditionalFormatting sqref="Z6">
    <cfRule type="cellIs" dxfId="90" priority="2" stopIfTrue="1" operator="lessThan">
      <formula>$C$6</formula>
    </cfRule>
    <cfRule type="cellIs" dxfId="89" priority="3" stopIfTrue="1" operator="greaterThan">
      <formula>$C$6</formula>
    </cfRule>
  </conditionalFormatting>
  <conditionalFormatting sqref="Z6:Z12">
    <cfRule type="cellIs" dxfId="88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>
      <selection activeCell="C1" sqref="A1:C1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97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19000</v>
      </c>
      <c r="D6" s="10"/>
      <c r="E6" s="11">
        <v>10790</v>
      </c>
      <c r="F6" s="122">
        <v>12405</v>
      </c>
      <c r="G6" s="34">
        <v>12940</v>
      </c>
      <c r="H6" s="34">
        <v>23195</v>
      </c>
      <c r="I6" s="34">
        <v>16990</v>
      </c>
      <c r="J6" s="34">
        <v>18830</v>
      </c>
      <c r="K6" s="34">
        <v>18395</v>
      </c>
      <c r="L6" s="34">
        <v>9705</v>
      </c>
      <c r="M6" s="34">
        <v>14020</v>
      </c>
      <c r="N6" s="34">
        <v>6145</v>
      </c>
      <c r="O6" s="34">
        <v>19471</v>
      </c>
      <c r="P6" s="34">
        <v>12940</v>
      </c>
      <c r="Q6" s="34">
        <v>18340</v>
      </c>
      <c r="R6" s="34">
        <v>16510</v>
      </c>
      <c r="S6" s="34">
        <v>15105</v>
      </c>
      <c r="T6" s="34">
        <v>30540</v>
      </c>
      <c r="U6" s="34">
        <v>16725</v>
      </c>
      <c r="V6" s="34">
        <v>20335</v>
      </c>
      <c r="W6" s="34">
        <v>15155</v>
      </c>
      <c r="X6" s="34">
        <v>32435</v>
      </c>
      <c r="Y6" s="34">
        <v>22974</v>
      </c>
      <c r="Z6" s="69">
        <f t="shared" ref="Z6:Z12" si="1">(SUM(F6:Y6)/(COUNT(F6:Y6)))</f>
        <v>17657.75</v>
      </c>
      <c r="AA6" s="103"/>
      <c r="AX6"/>
    </row>
    <row r="7" spans="1:50">
      <c r="B7" s="4" t="s">
        <v>64</v>
      </c>
      <c r="C7" s="20">
        <f t="shared" si="0"/>
        <v>9000</v>
      </c>
      <c r="D7" s="10"/>
      <c r="E7" s="11">
        <v>7495</v>
      </c>
      <c r="F7" s="122">
        <v>6690</v>
      </c>
      <c r="G7" s="81">
        <v>0</v>
      </c>
      <c r="H7" s="34">
        <v>8300</v>
      </c>
      <c r="I7" s="34">
        <v>0</v>
      </c>
      <c r="J7" s="34">
        <v>11690</v>
      </c>
      <c r="K7" s="34">
        <v>2695</v>
      </c>
      <c r="L7" s="34">
        <v>0</v>
      </c>
      <c r="M7" s="34">
        <v>0</v>
      </c>
      <c r="N7" s="34">
        <v>2695</v>
      </c>
      <c r="O7" s="34">
        <v>2695</v>
      </c>
      <c r="P7" s="34">
        <v>0</v>
      </c>
      <c r="Q7" s="34">
        <v>0</v>
      </c>
      <c r="R7" s="34">
        <v>6500</v>
      </c>
      <c r="S7" s="34">
        <v>8000</v>
      </c>
      <c r="T7" s="34">
        <v>9590</v>
      </c>
      <c r="U7" s="34">
        <v>2695</v>
      </c>
      <c r="V7" s="34">
        <v>7490</v>
      </c>
      <c r="W7" s="34">
        <v>2695</v>
      </c>
      <c r="X7" s="34">
        <v>0</v>
      </c>
      <c r="Y7" s="34">
        <v>12690</v>
      </c>
      <c r="Z7" s="69">
        <f t="shared" si="1"/>
        <v>4221.25</v>
      </c>
      <c r="AA7" s="103"/>
      <c r="AX7"/>
    </row>
    <row r="8" spans="1:50">
      <c r="B8" s="4" t="s">
        <v>77</v>
      </c>
      <c r="C8" s="20">
        <f t="shared" si="0"/>
        <v>9000</v>
      </c>
      <c r="D8" s="10"/>
      <c r="E8" s="11">
        <v>0</v>
      </c>
      <c r="F8" s="122">
        <v>0</v>
      </c>
      <c r="G8" s="81">
        <v>0</v>
      </c>
      <c r="H8" s="34">
        <v>7490</v>
      </c>
      <c r="I8" s="34">
        <v>2695</v>
      </c>
      <c r="J8" s="34">
        <v>2695</v>
      </c>
      <c r="K8" s="34">
        <v>2000</v>
      </c>
      <c r="L8" s="34">
        <v>3800</v>
      </c>
      <c r="M8" s="34">
        <v>2695</v>
      </c>
      <c r="N8" s="34">
        <v>2695</v>
      </c>
      <c r="O8" s="34">
        <v>5000</v>
      </c>
      <c r="P8" s="34">
        <v>0</v>
      </c>
      <c r="Q8" s="34">
        <v>0</v>
      </c>
      <c r="R8" s="34">
        <v>0</v>
      </c>
      <c r="S8" s="34">
        <v>8165</v>
      </c>
      <c r="T8" s="34">
        <v>2695</v>
      </c>
      <c r="U8" s="34">
        <v>1800</v>
      </c>
      <c r="V8" s="34">
        <v>7620</v>
      </c>
      <c r="W8" s="34">
        <v>0</v>
      </c>
      <c r="X8" s="34">
        <v>0</v>
      </c>
      <c r="Y8" s="34">
        <v>0</v>
      </c>
      <c r="Z8" s="69">
        <f t="shared" si="1"/>
        <v>2467.5</v>
      </c>
      <c r="AA8" s="103"/>
      <c r="AX8"/>
    </row>
    <row r="9" spans="1:50">
      <c r="B9" s="4" t="s">
        <v>1</v>
      </c>
      <c r="C9" s="20">
        <f t="shared" si="0"/>
        <v>16200</v>
      </c>
      <c r="D9" s="10"/>
      <c r="E9" s="11">
        <v>2995</v>
      </c>
      <c r="F9" s="122">
        <v>12990</v>
      </c>
      <c r="G9" s="34">
        <v>13985</v>
      </c>
      <c r="H9" s="34">
        <v>7500</v>
      </c>
      <c r="I9" s="34">
        <v>5990</v>
      </c>
      <c r="J9" s="34">
        <v>6500</v>
      </c>
      <c r="K9" s="34">
        <v>5990</v>
      </c>
      <c r="L9" s="34">
        <v>10085</v>
      </c>
      <c r="M9" s="34">
        <v>12440</v>
      </c>
      <c r="N9" s="34">
        <v>4495</v>
      </c>
      <c r="O9" s="34">
        <v>12990</v>
      </c>
      <c r="P9" s="34">
        <v>12490</v>
      </c>
      <c r="Q9" s="34">
        <v>17981</v>
      </c>
      <c r="R9" s="34">
        <v>12995</v>
      </c>
      <c r="S9" s="34">
        <v>14490</v>
      </c>
      <c r="T9" s="34">
        <v>15485</v>
      </c>
      <c r="U9" s="34">
        <v>5990</v>
      </c>
      <c r="V9" s="34">
        <v>14985</v>
      </c>
      <c r="W9" s="34">
        <v>27380</v>
      </c>
      <c r="X9" s="34">
        <v>15540</v>
      </c>
      <c r="Y9" s="34">
        <v>32155</v>
      </c>
      <c r="Z9" s="69">
        <f t="shared" si="1"/>
        <v>13122.8</v>
      </c>
      <c r="AA9" s="103"/>
      <c r="AX9"/>
    </row>
    <row r="10" spans="1:50">
      <c r="B10" s="4" t="s">
        <v>2</v>
      </c>
      <c r="C10" s="20">
        <f t="shared" si="0"/>
        <v>8800</v>
      </c>
      <c r="D10" s="10"/>
      <c r="E10" s="11">
        <v>4745</v>
      </c>
      <c r="F10" s="122">
        <v>1750</v>
      </c>
      <c r="G10" s="34">
        <v>2850</v>
      </c>
      <c r="H10" s="34">
        <v>2995</v>
      </c>
      <c r="I10" s="34">
        <v>7535</v>
      </c>
      <c r="J10" s="34">
        <v>11165</v>
      </c>
      <c r="K10" s="34">
        <v>2995</v>
      </c>
      <c r="L10" s="34">
        <v>5100</v>
      </c>
      <c r="M10" s="34">
        <v>6000</v>
      </c>
      <c r="N10" s="34">
        <v>0</v>
      </c>
      <c r="O10" s="34">
        <v>8985</v>
      </c>
      <c r="P10" s="34">
        <v>11035</v>
      </c>
      <c r="Q10" s="34">
        <v>4495</v>
      </c>
      <c r="R10" s="34">
        <v>3000</v>
      </c>
      <c r="S10" s="34">
        <v>8990</v>
      </c>
      <c r="T10" s="34">
        <v>6995</v>
      </c>
      <c r="U10" s="81">
        <v>0</v>
      </c>
      <c r="V10" s="34">
        <v>5741</v>
      </c>
      <c r="W10" s="34">
        <v>1500</v>
      </c>
      <c r="X10" s="34">
        <v>2995</v>
      </c>
      <c r="Y10" s="34">
        <v>5545</v>
      </c>
      <c r="Z10" s="69">
        <f t="shared" si="1"/>
        <v>4983.55</v>
      </c>
      <c r="AA10" s="103"/>
      <c r="AX10"/>
    </row>
    <row r="11" spans="1:50">
      <c r="B11" s="4" t="s">
        <v>63</v>
      </c>
      <c r="C11" s="20">
        <f t="shared" si="0"/>
        <v>4000</v>
      </c>
      <c r="D11" s="10"/>
      <c r="E11" s="11">
        <v>0</v>
      </c>
      <c r="F11" s="122">
        <v>3000</v>
      </c>
      <c r="G11" s="81">
        <v>0</v>
      </c>
      <c r="H11" s="34">
        <v>0</v>
      </c>
      <c r="I11" s="34">
        <v>0</v>
      </c>
      <c r="J11" s="34">
        <v>0</v>
      </c>
      <c r="K11" s="34">
        <v>0</v>
      </c>
      <c r="L11" s="34">
        <v>1000</v>
      </c>
      <c r="M11" s="34">
        <v>1284</v>
      </c>
      <c r="N11" s="34">
        <v>2569</v>
      </c>
      <c r="O11" s="34">
        <v>0</v>
      </c>
      <c r="P11" s="34">
        <v>4624</v>
      </c>
      <c r="Q11" s="34">
        <v>0</v>
      </c>
      <c r="R11" s="34">
        <v>2569</v>
      </c>
      <c r="S11" s="34">
        <v>4492</v>
      </c>
      <c r="T11" s="34">
        <v>0</v>
      </c>
      <c r="U11" s="34">
        <v>0</v>
      </c>
      <c r="V11" s="34">
        <v>2141</v>
      </c>
      <c r="W11" s="34">
        <v>0</v>
      </c>
      <c r="X11" s="34">
        <v>0</v>
      </c>
      <c r="Y11" s="34">
        <v>0</v>
      </c>
      <c r="Z11" s="69">
        <f t="shared" si="1"/>
        <v>1083.95</v>
      </c>
      <c r="AA11" s="103"/>
      <c r="AX11"/>
    </row>
    <row r="12" spans="1:50">
      <c r="B12" s="4" t="s">
        <v>3</v>
      </c>
      <c r="C12" s="21">
        <f t="shared" si="0"/>
        <v>17250</v>
      </c>
      <c r="D12" s="13"/>
      <c r="E12" s="40">
        <v>12849</v>
      </c>
      <c r="F12" s="124">
        <v>13797</v>
      </c>
      <c r="G12" s="80">
        <v>0</v>
      </c>
      <c r="H12" s="35">
        <v>17984</v>
      </c>
      <c r="I12" s="35">
        <v>11150</v>
      </c>
      <c r="J12" s="35">
        <v>14138</v>
      </c>
      <c r="K12" s="80">
        <v>0</v>
      </c>
      <c r="L12" s="35">
        <v>15453</v>
      </c>
      <c r="M12" s="35">
        <v>13685</v>
      </c>
      <c r="N12" s="35">
        <v>13580</v>
      </c>
      <c r="O12" s="35">
        <v>17229</v>
      </c>
      <c r="P12" s="35">
        <v>22069</v>
      </c>
      <c r="Q12" s="35">
        <v>15609</v>
      </c>
      <c r="R12" s="35">
        <v>19015</v>
      </c>
      <c r="S12" s="35">
        <v>15184</v>
      </c>
      <c r="T12" s="35">
        <v>26538</v>
      </c>
      <c r="U12" s="35">
        <v>15862</v>
      </c>
      <c r="V12" s="35">
        <v>20683</v>
      </c>
      <c r="W12" s="35">
        <v>15624</v>
      </c>
      <c r="X12" s="35">
        <v>17479</v>
      </c>
      <c r="Y12" s="35">
        <v>18545</v>
      </c>
      <c r="Z12" s="69">
        <f t="shared" si="1"/>
        <v>15181.2</v>
      </c>
      <c r="AA12" s="103"/>
      <c r="AX12"/>
    </row>
    <row r="13" spans="1:50" ht="15.75" thickBot="1">
      <c r="B13" s="14" t="s">
        <v>27</v>
      </c>
      <c r="C13" s="20">
        <f>SUM(C6:C12)</f>
        <v>83250</v>
      </c>
      <c r="D13" s="10"/>
      <c r="E13" s="11">
        <f t="shared" ref="E13:Y13" si="2">SUM(E6:E12)</f>
        <v>38874</v>
      </c>
      <c r="F13" s="10">
        <f t="shared" si="2"/>
        <v>50632</v>
      </c>
      <c r="G13" s="10">
        <f t="shared" si="2"/>
        <v>29775</v>
      </c>
      <c r="H13" s="10">
        <f t="shared" si="2"/>
        <v>67464</v>
      </c>
      <c r="I13" s="10">
        <f t="shared" si="2"/>
        <v>44360</v>
      </c>
      <c r="J13" s="10">
        <f t="shared" si="2"/>
        <v>65018</v>
      </c>
      <c r="K13" s="10">
        <f t="shared" si="2"/>
        <v>32075</v>
      </c>
      <c r="L13" s="10">
        <f t="shared" si="2"/>
        <v>45143</v>
      </c>
      <c r="M13" s="10">
        <f t="shared" si="2"/>
        <v>50124</v>
      </c>
      <c r="N13" s="10">
        <f t="shared" si="2"/>
        <v>32179</v>
      </c>
      <c r="O13" s="10">
        <f t="shared" si="2"/>
        <v>66370</v>
      </c>
      <c r="P13" s="10">
        <f t="shared" si="2"/>
        <v>63158</v>
      </c>
      <c r="Q13" s="10">
        <f t="shared" si="2"/>
        <v>56425</v>
      </c>
      <c r="R13" s="10">
        <f t="shared" si="2"/>
        <v>60589</v>
      </c>
      <c r="S13" s="10">
        <f t="shared" si="2"/>
        <v>74426</v>
      </c>
      <c r="T13" s="10">
        <f t="shared" si="2"/>
        <v>91843</v>
      </c>
      <c r="U13" s="10">
        <f t="shared" si="2"/>
        <v>43072</v>
      </c>
      <c r="V13" s="10">
        <f t="shared" si="2"/>
        <v>78995</v>
      </c>
      <c r="W13" s="10">
        <f t="shared" si="2"/>
        <v>62354</v>
      </c>
      <c r="X13" s="10">
        <f t="shared" si="2"/>
        <v>68449</v>
      </c>
      <c r="Y13" s="10">
        <f t="shared" si="2"/>
        <v>91909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58">
        <f>(SUM(F13:Y13)/(COUNT(F13:Y13)))</f>
        <v>58718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0.65289473684210519</v>
      </c>
      <c r="G18" s="25">
        <f t="shared" si="5"/>
        <v>0.68105263157894735</v>
      </c>
      <c r="H18" s="25">
        <f t="shared" si="5"/>
        <v>1.2207894736842104</v>
      </c>
      <c r="I18" s="25">
        <f t="shared" si="5"/>
        <v>0.89421052631578946</v>
      </c>
      <c r="J18" s="25">
        <f t="shared" si="5"/>
        <v>0.99105263157894741</v>
      </c>
      <c r="K18" s="25">
        <f t="shared" si="5"/>
        <v>0.96815789473684211</v>
      </c>
      <c r="L18" s="25">
        <f t="shared" si="5"/>
        <v>0.51078947368421046</v>
      </c>
      <c r="M18" s="25">
        <f t="shared" si="5"/>
        <v>0.73789473684210527</v>
      </c>
      <c r="N18" s="25">
        <f t="shared" si="5"/>
        <v>0.32342105263157894</v>
      </c>
      <c r="O18" s="25">
        <f t="shared" si="5"/>
        <v>1.0247894736842105</v>
      </c>
      <c r="P18" s="25">
        <f t="shared" si="5"/>
        <v>0.68105263157894735</v>
      </c>
      <c r="Q18" s="25">
        <f t="shared" si="5"/>
        <v>0.96526315789473682</v>
      </c>
      <c r="R18" s="25">
        <f t="shared" si="5"/>
        <v>0.86894736842105269</v>
      </c>
      <c r="S18" s="25">
        <f t="shared" si="5"/>
        <v>0.79500000000000004</v>
      </c>
      <c r="T18" s="25">
        <f t="shared" si="5"/>
        <v>1.6073684210526316</v>
      </c>
      <c r="U18" s="25">
        <f t="shared" si="5"/>
        <v>0.88026315789473686</v>
      </c>
      <c r="V18" s="25">
        <f t="shared" si="5"/>
        <v>1.0702631578947368</v>
      </c>
      <c r="W18" s="25">
        <f t="shared" si="5"/>
        <v>0.79763157894736847</v>
      </c>
      <c r="X18" s="25">
        <f t="shared" si="5"/>
        <v>1.7071052631578949</v>
      </c>
      <c r="Y18" s="25">
        <f t="shared" si="5"/>
        <v>1.2091578947368422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0.7433333333333334</v>
      </c>
      <c r="G19" s="25">
        <f t="shared" si="5"/>
        <v>0</v>
      </c>
      <c r="H19" s="25">
        <f t="shared" si="5"/>
        <v>0.92222222222222228</v>
      </c>
      <c r="I19" s="25">
        <f t="shared" si="5"/>
        <v>0</v>
      </c>
      <c r="J19" s="25">
        <f t="shared" si="5"/>
        <v>1.298888888888889</v>
      </c>
      <c r="K19" s="25">
        <f t="shared" si="5"/>
        <v>0.2994444444444444</v>
      </c>
      <c r="L19" s="25">
        <f t="shared" si="5"/>
        <v>0</v>
      </c>
      <c r="M19" s="25">
        <f t="shared" si="5"/>
        <v>0</v>
      </c>
      <c r="N19" s="25">
        <f t="shared" si="5"/>
        <v>0.2994444444444444</v>
      </c>
      <c r="O19" s="25">
        <f t="shared" si="5"/>
        <v>0.2994444444444444</v>
      </c>
      <c r="P19" s="25">
        <f t="shared" si="5"/>
        <v>0</v>
      </c>
      <c r="Q19" s="25">
        <f t="shared" si="5"/>
        <v>0</v>
      </c>
      <c r="R19" s="25">
        <f t="shared" si="5"/>
        <v>0.72222222222222221</v>
      </c>
      <c r="S19" s="25">
        <f t="shared" si="5"/>
        <v>0.88888888888888884</v>
      </c>
      <c r="T19" s="25">
        <f t="shared" si="5"/>
        <v>1.0655555555555556</v>
      </c>
      <c r="U19" s="25">
        <f t="shared" si="5"/>
        <v>0.2994444444444444</v>
      </c>
      <c r="V19" s="25">
        <f t="shared" si="5"/>
        <v>0.8322222222222222</v>
      </c>
      <c r="W19" s="25">
        <f t="shared" si="5"/>
        <v>0.2994444444444444</v>
      </c>
      <c r="X19" s="25">
        <f t="shared" si="5"/>
        <v>0</v>
      </c>
      <c r="Y19" s="25">
        <f t="shared" si="5"/>
        <v>1.41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0</v>
      </c>
      <c r="G20" s="25">
        <f t="shared" si="5"/>
        <v>0</v>
      </c>
      <c r="H20" s="25">
        <f t="shared" si="5"/>
        <v>0.8322222222222222</v>
      </c>
      <c r="I20" s="25">
        <f t="shared" si="5"/>
        <v>0.2994444444444444</v>
      </c>
      <c r="J20" s="25">
        <f t="shared" si="5"/>
        <v>0.2994444444444444</v>
      </c>
      <c r="K20" s="25">
        <f t="shared" si="5"/>
        <v>0.22222222222222221</v>
      </c>
      <c r="L20" s="25">
        <f t="shared" si="5"/>
        <v>0.42222222222222228</v>
      </c>
      <c r="M20" s="25">
        <f t="shared" si="5"/>
        <v>0.2994444444444444</v>
      </c>
      <c r="N20" s="25">
        <f t="shared" si="5"/>
        <v>0.2994444444444444</v>
      </c>
      <c r="O20" s="25">
        <f t="shared" si="5"/>
        <v>0.55555555555555558</v>
      </c>
      <c r="P20" s="25">
        <f t="shared" si="5"/>
        <v>0</v>
      </c>
      <c r="Q20" s="25">
        <f t="shared" si="5"/>
        <v>0</v>
      </c>
      <c r="R20" s="25">
        <f t="shared" si="5"/>
        <v>0</v>
      </c>
      <c r="S20" s="25">
        <f t="shared" si="5"/>
        <v>0.90722222222222226</v>
      </c>
      <c r="T20" s="25">
        <f t="shared" si="5"/>
        <v>0.2994444444444444</v>
      </c>
      <c r="U20" s="25">
        <f t="shared" si="5"/>
        <v>0.19999999999999996</v>
      </c>
      <c r="V20" s="25">
        <f t="shared" si="5"/>
        <v>0.84666666666666668</v>
      </c>
      <c r="W20" s="25">
        <f t="shared" si="5"/>
        <v>0</v>
      </c>
      <c r="X20" s="25">
        <f t="shared" si="5"/>
        <v>0</v>
      </c>
      <c r="Y20" s="25">
        <f t="shared" si="5"/>
        <v>0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0.80185185185185182</v>
      </c>
      <c r="G21" s="25">
        <f t="shared" si="5"/>
        <v>0.8632716049382716</v>
      </c>
      <c r="H21" s="25">
        <f t="shared" si="5"/>
        <v>0.46296296296296291</v>
      </c>
      <c r="I21" s="25">
        <f t="shared" si="5"/>
        <v>0.36975308641975313</v>
      </c>
      <c r="J21" s="25">
        <f t="shared" si="5"/>
        <v>0.40123456790123457</v>
      </c>
      <c r="K21" s="25">
        <f t="shared" si="5"/>
        <v>0.36975308641975313</v>
      </c>
      <c r="L21" s="25">
        <f t="shared" si="5"/>
        <v>0.6225308641975309</v>
      </c>
      <c r="M21" s="25">
        <f t="shared" si="5"/>
        <v>0.76790123456790127</v>
      </c>
      <c r="N21" s="25">
        <f t="shared" si="5"/>
        <v>0.27746913580246912</v>
      </c>
      <c r="O21" s="25">
        <f t="shared" si="5"/>
        <v>0.80185185185185182</v>
      </c>
      <c r="P21" s="25">
        <f t="shared" si="5"/>
        <v>0.7709876543209877</v>
      </c>
      <c r="Q21" s="25">
        <f t="shared" si="5"/>
        <v>1.1099382716049382</v>
      </c>
      <c r="R21" s="25">
        <f t="shared" si="5"/>
        <v>0.80216049382716048</v>
      </c>
      <c r="S21" s="25">
        <f t="shared" si="5"/>
        <v>0.89444444444444449</v>
      </c>
      <c r="T21" s="25">
        <f t="shared" si="5"/>
        <v>0.95586419753086416</v>
      </c>
      <c r="U21" s="25">
        <f t="shared" si="5"/>
        <v>0.36975308641975313</v>
      </c>
      <c r="V21" s="25">
        <f t="shared" si="5"/>
        <v>0.92500000000000004</v>
      </c>
      <c r="W21" s="25">
        <f t="shared" si="5"/>
        <v>1.6901234567901233</v>
      </c>
      <c r="X21" s="25">
        <f t="shared" si="5"/>
        <v>0.95925925925925926</v>
      </c>
      <c r="Y21" s="25">
        <f t="shared" si="5"/>
        <v>1.9848765432098765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0.19886363636363635</v>
      </c>
      <c r="G22" s="25">
        <f t="shared" si="6"/>
        <v>0.32386363636363635</v>
      </c>
      <c r="H22" s="25">
        <f t="shared" si="6"/>
        <v>0.34034090909090908</v>
      </c>
      <c r="I22" s="25">
        <f t="shared" si="6"/>
        <v>0.85624999999999996</v>
      </c>
      <c r="J22" s="25">
        <f t="shared" si="6"/>
        <v>1.26875</v>
      </c>
      <c r="K22" s="25">
        <f t="shared" si="6"/>
        <v>0.34034090909090908</v>
      </c>
      <c r="L22" s="25">
        <f t="shared" si="6"/>
        <v>0.57954545454545459</v>
      </c>
      <c r="M22" s="25">
        <f t="shared" si="6"/>
        <v>0.68181818181818188</v>
      </c>
      <c r="N22" s="25">
        <f t="shared" si="6"/>
        <v>0</v>
      </c>
      <c r="O22" s="25">
        <f t="shared" si="6"/>
        <v>1.0210227272727272</v>
      </c>
      <c r="P22" s="25">
        <f t="shared" si="6"/>
        <v>1.2539772727272727</v>
      </c>
      <c r="Q22" s="25">
        <f t="shared" si="6"/>
        <v>0.5107954545454545</v>
      </c>
      <c r="R22" s="25">
        <f t="shared" si="6"/>
        <v>0.34090909090909094</v>
      </c>
      <c r="S22" s="25">
        <f t="shared" si="6"/>
        <v>1.021590909090909</v>
      </c>
      <c r="T22" s="25">
        <f t="shared" si="6"/>
        <v>0.79488636363636367</v>
      </c>
      <c r="U22" s="25">
        <f t="shared" si="6"/>
        <v>0</v>
      </c>
      <c r="V22" s="25">
        <f t="shared" si="6"/>
        <v>0.6523863636363636</v>
      </c>
      <c r="W22" s="25">
        <f t="shared" si="6"/>
        <v>0.17045454545454541</v>
      </c>
      <c r="X22" s="25">
        <f t="shared" si="6"/>
        <v>0.34034090909090908</v>
      </c>
      <c r="Y22" s="25">
        <f t="shared" si="6"/>
        <v>0.63011363636363638</v>
      </c>
      <c r="Z22" s="104"/>
      <c r="AA22" s="104"/>
    </row>
    <row r="23" spans="2:50" s="1" customFormat="1" ht="12.75">
      <c r="B23" s="4" t="s">
        <v>63</v>
      </c>
      <c r="C23" s="25">
        <f t="shared" si="4"/>
        <v>1</v>
      </c>
      <c r="D23" s="25"/>
      <c r="E23" s="25"/>
      <c r="F23" s="25">
        <f t="shared" si="6"/>
        <v>0.75</v>
      </c>
      <c r="G23" s="25">
        <f t="shared" si="6"/>
        <v>0</v>
      </c>
      <c r="H23" s="25">
        <f t="shared" si="6"/>
        <v>0</v>
      </c>
      <c r="I23" s="25">
        <f t="shared" si="6"/>
        <v>0</v>
      </c>
      <c r="J23" s="25">
        <f t="shared" si="6"/>
        <v>0</v>
      </c>
      <c r="K23" s="25">
        <f t="shared" si="6"/>
        <v>0</v>
      </c>
      <c r="L23" s="25">
        <f t="shared" si="6"/>
        <v>0.25</v>
      </c>
      <c r="M23" s="25">
        <f t="shared" si="6"/>
        <v>0.32099999999999995</v>
      </c>
      <c r="N23" s="25">
        <f t="shared" si="6"/>
        <v>0.64224999999999999</v>
      </c>
      <c r="O23" s="25">
        <f t="shared" si="6"/>
        <v>0</v>
      </c>
      <c r="P23" s="25">
        <f t="shared" si="6"/>
        <v>1.1559999999999999</v>
      </c>
      <c r="Q23" s="25">
        <f t="shared" si="6"/>
        <v>0</v>
      </c>
      <c r="R23" s="25">
        <f t="shared" si="6"/>
        <v>0.64224999999999999</v>
      </c>
      <c r="S23" s="25">
        <f t="shared" si="6"/>
        <v>1.123</v>
      </c>
      <c r="T23" s="25">
        <f t="shared" si="6"/>
        <v>0</v>
      </c>
      <c r="U23" s="25">
        <f t="shared" si="6"/>
        <v>0</v>
      </c>
      <c r="V23" s="25">
        <f t="shared" si="6"/>
        <v>0.53525</v>
      </c>
      <c r="W23" s="25">
        <f t="shared" si="6"/>
        <v>0</v>
      </c>
      <c r="X23" s="25">
        <f t="shared" si="6"/>
        <v>0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0.79982608695652169</v>
      </c>
      <c r="G24" s="27">
        <f t="shared" si="6"/>
        <v>0</v>
      </c>
      <c r="H24" s="27">
        <f t="shared" si="6"/>
        <v>1.0425507246376811</v>
      </c>
      <c r="I24" s="27">
        <f t="shared" si="6"/>
        <v>0.6463768115942029</v>
      </c>
      <c r="J24" s="27">
        <f t="shared" si="6"/>
        <v>0.81959420289855078</v>
      </c>
      <c r="K24" s="27">
        <f t="shared" si="6"/>
        <v>0</v>
      </c>
      <c r="L24" s="27">
        <f t="shared" si="6"/>
        <v>0.89582608695652177</v>
      </c>
      <c r="M24" s="27">
        <f t="shared" si="6"/>
        <v>0.79333333333333333</v>
      </c>
      <c r="N24" s="27">
        <f t="shared" si="6"/>
        <v>0.78724637681159426</v>
      </c>
      <c r="O24" s="27">
        <f t="shared" si="6"/>
        <v>0.99878260869565216</v>
      </c>
      <c r="P24" s="27">
        <f t="shared" si="6"/>
        <v>1.2793623188405796</v>
      </c>
      <c r="Q24" s="27">
        <f t="shared" si="6"/>
        <v>0.90486956521739126</v>
      </c>
      <c r="R24" s="27">
        <f t="shared" si="6"/>
        <v>1.1023188405797102</v>
      </c>
      <c r="S24" s="27">
        <f t="shared" si="6"/>
        <v>0.88023188405797104</v>
      </c>
      <c r="T24" s="27">
        <f t="shared" si="6"/>
        <v>1.5384347826086957</v>
      </c>
      <c r="U24" s="27">
        <f t="shared" si="6"/>
        <v>0.91953623188405798</v>
      </c>
      <c r="V24" s="27">
        <f t="shared" si="6"/>
        <v>1.1990144927536233</v>
      </c>
      <c r="W24" s="27">
        <f t="shared" si="6"/>
        <v>0.9057391304347826</v>
      </c>
      <c r="X24" s="27">
        <f t="shared" si="6"/>
        <v>1.0132753623188406</v>
      </c>
      <c r="Y24" s="27">
        <f t="shared" si="6"/>
        <v>1.0750724637681159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0.60819219219219223</v>
      </c>
      <c r="G25" s="25">
        <f t="shared" si="6"/>
        <v>0.35765765765765767</v>
      </c>
      <c r="H25" s="25">
        <f t="shared" si="6"/>
        <v>0.81037837837837834</v>
      </c>
      <c r="I25" s="25">
        <f t="shared" si="6"/>
        <v>0.53285285285285289</v>
      </c>
      <c r="J25" s="25">
        <f>(J13-$C13)/$C13+1</f>
        <v>0.78099699699699698</v>
      </c>
      <c r="K25" s="25">
        <f>(K13-$C13)/$C13+1</f>
        <v>0.38528528528528527</v>
      </c>
      <c r="L25" s="25">
        <f>(L13-$C13)/$C13+1</f>
        <v>0.54225825825825824</v>
      </c>
      <c r="M25" s="25">
        <f t="shared" si="6"/>
        <v>0.60209009009009007</v>
      </c>
      <c r="N25" s="25">
        <f t="shared" si="6"/>
        <v>0.38653453453453457</v>
      </c>
      <c r="O25" s="25">
        <f t="shared" si="6"/>
        <v>0.79723723723723727</v>
      </c>
      <c r="P25" s="25">
        <f t="shared" si="6"/>
        <v>0.75865465465465465</v>
      </c>
      <c r="Q25" s="25">
        <f t="shared" si="6"/>
        <v>0.67777777777777781</v>
      </c>
      <c r="R25" s="25">
        <f t="shared" si="6"/>
        <v>0.72779579579579579</v>
      </c>
      <c r="S25" s="25">
        <f>(S13-$C13)/$C13+1</f>
        <v>0.89400600600600599</v>
      </c>
      <c r="T25" s="25">
        <f>(T13-$C13)/$C13+1</f>
        <v>1.1032192192192192</v>
      </c>
      <c r="U25" s="25">
        <f>(U13-$C13)/$C13+1</f>
        <v>0.51738138138138146</v>
      </c>
      <c r="V25" s="25">
        <f>(V13-$C13)/$C13+1</f>
        <v>0.94888888888888889</v>
      </c>
      <c r="W25" s="25">
        <f>(W13-$C13)/$C13+1</f>
        <v>0.74899699699699696</v>
      </c>
      <c r="X25" s="25">
        <f t="shared" si="6"/>
        <v>0.82221021021021024</v>
      </c>
      <c r="Y25" s="25">
        <f t="shared" si="6"/>
        <v>1.104012012012012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10790</v>
      </c>
      <c r="G29" s="34">
        <v>20495</v>
      </c>
      <c r="H29" s="34">
        <v>43690</v>
      </c>
      <c r="I29" s="34">
        <v>60680</v>
      </c>
      <c r="J29" s="34">
        <v>79510</v>
      </c>
      <c r="K29" s="34">
        <v>93320</v>
      </c>
      <c r="L29" s="34">
        <v>96555</v>
      </c>
      <c r="M29" s="34">
        <v>117045</v>
      </c>
      <c r="N29" s="34">
        <v>123190</v>
      </c>
      <c r="O29" s="34">
        <v>142661</v>
      </c>
      <c r="P29" s="34">
        <v>155601</v>
      </c>
      <c r="Q29" s="34">
        <v>173941</v>
      </c>
      <c r="R29" s="34">
        <v>190451</v>
      </c>
      <c r="S29" s="34">
        <v>205556</v>
      </c>
      <c r="T29" s="34">
        <v>236096</v>
      </c>
      <c r="U29" s="34">
        <v>249586</v>
      </c>
      <c r="V29" s="34">
        <v>250176</v>
      </c>
      <c r="W29" s="34">
        <v>265331</v>
      </c>
      <c r="X29" s="34">
        <v>291286</v>
      </c>
      <c r="Y29" s="34">
        <v>302611</v>
      </c>
      <c r="Z29" s="109">
        <f>+Y29/C52</f>
        <v>0.79634473684210527</v>
      </c>
      <c r="AA29" s="145">
        <f t="shared" ref="AA29:AA36" si="9">+Z29-Y$27</f>
        <v>-0.20365526315789473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7495</v>
      </c>
      <c r="G30" s="34">
        <v>7495</v>
      </c>
      <c r="H30" s="34">
        <v>15795</v>
      </c>
      <c r="I30" s="34">
        <v>15795</v>
      </c>
      <c r="J30" s="34">
        <v>27489</v>
      </c>
      <c r="K30" s="34">
        <v>30180</v>
      </c>
      <c r="L30" s="34">
        <v>30180</v>
      </c>
      <c r="M30" s="34">
        <v>30180</v>
      </c>
      <c r="N30" s="34">
        <v>33380</v>
      </c>
      <c r="O30" s="34">
        <v>36075</v>
      </c>
      <c r="P30" s="34">
        <v>36075</v>
      </c>
      <c r="Q30" s="34">
        <v>36075</v>
      </c>
      <c r="R30" s="34">
        <v>45270</v>
      </c>
      <c r="S30" s="34">
        <v>50575</v>
      </c>
      <c r="T30" s="34">
        <v>60165</v>
      </c>
      <c r="U30" s="34">
        <v>62860</v>
      </c>
      <c r="V30" s="34">
        <v>70350</v>
      </c>
      <c r="W30" s="34">
        <v>73045</v>
      </c>
      <c r="X30" s="34">
        <v>73045</v>
      </c>
      <c r="Y30" s="34">
        <v>85735</v>
      </c>
      <c r="Z30" s="109">
        <f>+Y30/C53</f>
        <v>0.47630555555555554</v>
      </c>
      <c r="AA30" s="146">
        <f t="shared" si="9"/>
        <v>-0.52369444444444446</v>
      </c>
      <c r="AX30"/>
    </row>
    <row r="31" spans="2:50">
      <c r="B31" s="4" t="str">
        <f>+B20</f>
        <v>Brazil</v>
      </c>
      <c r="C31" s="4"/>
      <c r="D31" s="4"/>
      <c r="E31" s="23"/>
      <c r="F31" s="122">
        <v>0</v>
      </c>
      <c r="G31" s="34">
        <v>0</v>
      </c>
      <c r="H31" s="34">
        <v>7490</v>
      </c>
      <c r="I31" s="34">
        <v>10185</v>
      </c>
      <c r="J31" s="34">
        <v>12880</v>
      </c>
      <c r="K31" s="34">
        <v>14880</v>
      </c>
      <c r="L31" s="34">
        <v>18680</v>
      </c>
      <c r="M31" s="34">
        <v>21375</v>
      </c>
      <c r="N31" s="34">
        <v>24070</v>
      </c>
      <c r="O31" s="34">
        <v>29070</v>
      </c>
      <c r="P31" s="34">
        <v>29070</v>
      </c>
      <c r="Q31" s="34">
        <v>27570</v>
      </c>
      <c r="R31" s="34">
        <v>27570</v>
      </c>
      <c r="S31" s="34">
        <v>35735</v>
      </c>
      <c r="T31" s="34">
        <v>38430</v>
      </c>
      <c r="U31" s="34">
        <v>40230</v>
      </c>
      <c r="V31" s="34">
        <v>48475</v>
      </c>
      <c r="W31" s="34">
        <v>48475</v>
      </c>
      <c r="X31" s="34">
        <v>46185</v>
      </c>
      <c r="Y31" s="34">
        <v>46185</v>
      </c>
      <c r="Z31" s="109">
        <f>+Y31/C54</f>
        <v>0.25658333333333333</v>
      </c>
      <c r="AA31" s="146">
        <f t="shared" si="9"/>
        <v>-0.74341666666666661</v>
      </c>
      <c r="AX31"/>
    </row>
    <row r="32" spans="2:50">
      <c r="B32" s="4" t="str">
        <f>+B21</f>
        <v>Boston</v>
      </c>
      <c r="C32" s="4"/>
      <c r="D32" s="4"/>
      <c r="E32" s="23"/>
      <c r="F32" s="122">
        <v>2995</v>
      </c>
      <c r="G32" s="34">
        <v>15490</v>
      </c>
      <c r="H32" s="34">
        <v>16990</v>
      </c>
      <c r="I32" s="34">
        <v>22980</v>
      </c>
      <c r="J32" s="34">
        <v>29480</v>
      </c>
      <c r="K32" s="34">
        <v>35470</v>
      </c>
      <c r="L32" s="34">
        <v>38465</v>
      </c>
      <c r="M32" s="34">
        <v>42960</v>
      </c>
      <c r="N32" s="34">
        <v>54985</v>
      </c>
      <c r="O32" s="34">
        <v>54985</v>
      </c>
      <c r="P32" s="34">
        <v>69475</v>
      </c>
      <c r="Q32" s="34">
        <v>84461</v>
      </c>
      <c r="R32" s="34">
        <v>92461</v>
      </c>
      <c r="S32" s="34">
        <v>108950</v>
      </c>
      <c r="T32" s="34">
        <v>112951</v>
      </c>
      <c r="U32" s="34">
        <v>118941</v>
      </c>
      <c r="V32" s="34">
        <v>130931</v>
      </c>
      <c r="W32" s="34">
        <v>146776</v>
      </c>
      <c r="X32" s="34">
        <v>153361</v>
      </c>
      <c r="Y32" s="34">
        <v>167856</v>
      </c>
      <c r="Z32" s="109">
        <f>+Y32/C55</f>
        <v>0.51807407407407402</v>
      </c>
      <c r="AA32" s="146">
        <f t="shared" si="9"/>
        <v>-0.48192592592592598</v>
      </c>
      <c r="AX32"/>
    </row>
    <row r="33" spans="2:50" s="4" customFormat="1" ht="12.75">
      <c r="B33" s="4" t="str">
        <f>+B22</f>
        <v>Canada</v>
      </c>
      <c r="E33" s="23"/>
      <c r="F33" s="122">
        <v>4745</v>
      </c>
      <c r="G33" s="34">
        <v>12265</v>
      </c>
      <c r="H33" s="34">
        <v>15260</v>
      </c>
      <c r="I33" s="34">
        <v>19800</v>
      </c>
      <c r="J33" s="34">
        <v>32210</v>
      </c>
      <c r="K33" s="34">
        <v>33960</v>
      </c>
      <c r="L33" s="34">
        <v>42055</v>
      </c>
      <c r="M33" s="34">
        <v>42055</v>
      </c>
      <c r="N33" s="34">
        <v>48055</v>
      </c>
      <c r="O33" s="34">
        <v>57040</v>
      </c>
      <c r="P33" s="34">
        <v>68075</v>
      </c>
      <c r="Q33" s="34">
        <v>71070</v>
      </c>
      <c r="R33" s="34">
        <v>71070</v>
      </c>
      <c r="S33" s="34">
        <v>81565</v>
      </c>
      <c r="T33" s="34">
        <v>90055</v>
      </c>
      <c r="U33" s="34">
        <v>90055</v>
      </c>
      <c r="V33" s="34">
        <v>93550</v>
      </c>
      <c r="W33" s="34">
        <v>97296</v>
      </c>
      <c r="X33" s="34">
        <v>97296</v>
      </c>
      <c r="Y33" s="34">
        <v>102836</v>
      </c>
      <c r="Z33" s="109">
        <f>Y33/C56</f>
        <v>0.58429545454545451</v>
      </c>
      <c r="AA33" s="146">
        <f t="shared" si="9"/>
        <v>-0.41570454545454549</v>
      </c>
    </row>
    <row r="34" spans="2:50" s="4" customFormat="1" ht="12.75">
      <c r="B34" s="4" t="s">
        <v>63</v>
      </c>
      <c r="E34" s="23"/>
      <c r="F34" s="122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1000</v>
      </c>
      <c r="M34" s="34">
        <v>2284</v>
      </c>
      <c r="N34" s="34">
        <v>2457</v>
      </c>
      <c r="O34" s="34">
        <v>2457</v>
      </c>
      <c r="P34" s="34">
        <v>7081</v>
      </c>
      <c r="Q34" s="34">
        <v>7081</v>
      </c>
      <c r="R34" s="34">
        <v>9650</v>
      </c>
      <c r="S34" s="34">
        <v>14142</v>
      </c>
      <c r="T34" s="34">
        <v>14142</v>
      </c>
      <c r="U34" s="34">
        <v>14142</v>
      </c>
      <c r="V34" s="34">
        <v>16283</v>
      </c>
      <c r="W34" s="34">
        <v>16283</v>
      </c>
      <c r="X34" s="34">
        <v>14242</v>
      </c>
      <c r="Y34" s="34">
        <v>14242</v>
      </c>
      <c r="Z34" s="109">
        <f>Y34/C57</f>
        <v>0.17802499999999999</v>
      </c>
      <c r="AA34" s="146">
        <f t="shared" si="9"/>
        <v>-0.82197500000000001</v>
      </c>
    </row>
    <row r="35" spans="2:50">
      <c r="B35" s="5" t="str">
        <f>+B24</f>
        <v>Norwich</v>
      </c>
      <c r="C35" s="19"/>
      <c r="D35" s="19"/>
      <c r="E35" s="35"/>
      <c r="F35" s="124">
        <v>12849</v>
      </c>
      <c r="G35" s="35">
        <v>12849</v>
      </c>
      <c r="H35" s="35">
        <v>26594</v>
      </c>
      <c r="I35" s="35">
        <v>32139</v>
      </c>
      <c r="J35" s="35">
        <v>51517</v>
      </c>
      <c r="K35" s="35">
        <v>51517</v>
      </c>
      <c r="L35" s="35">
        <v>71863</v>
      </c>
      <c r="M35" s="35">
        <v>85548</v>
      </c>
      <c r="N35" s="35">
        <v>91551</v>
      </c>
      <c r="O35" s="35">
        <v>108781</v>
      </c>
      <c r="P35" s="35">
        <v>128118</v>
      </c>
      <c r="Q35" s="35">
        <v>142087</v>
      </c>
      <c r="R35" s="35">
        <v>162743</v>
      </c>
      <c r="S35" s="35">
        <v>176944</v>
      </c>
      <c r="T35" s="35">
        <v>203483</v>
      </c>
      <c r="U35" s="35">
        <v>219345</v>
      </c>
      <c r="V35" s="35">
        <v>240028</v>
      </c>
      <c r="W35" s="35">
        <v>252701</v>
      </c>
      <c r="X35" s="35">
        <v>266296</v>
      </c>
      <c r="Y35" s="35">
        <v>295815</v>
      </c>
      <c r="Z35" s="110">
        <f>+Y35/C58</f>
        <v>0.85743478260869566</v>
      </c>
      <c r="AA35" s="147">
        <f t="shared" si="9"/>
        <v>-0.14256521739130434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38874</v>
      </c>
      <c r="G36" s="10">
        <f t="shared" si="10"/>
        <v>68594</v>
      </c>
      <c r="H36" s="10">
        <f t="shared" si="10"/>
        <v>125819</v>
      </c>
      <c r="I36" s="10">
        <f t="shared" si="10"/>
        <v>161579</v>
      </c>
      <c r="J36" s="10">
        <f t="shared" si="10"/>
        <v>233086</v>
      </c>
      <c r="K36" s="10">
        <f t="shared" si="10"/>
        <v>259327</v>
      </c>
      <c r="L36" s="10">
        <f t="shared" si="10"/>
        <v>298798</v>
      </c>
      <c r="M36" s="10">
        <f t="shared" si="10"/>
        <v>341447</v>
      </c>
      <c r="N36" s="10">
        <f t="shared" si="10"/>
        <v>377688</v>
      </c>
      <c r="O36" s="10">
        <f t="shared" si="10"/>
        <v>431069</v>
      </c>
      <c r="P36" s="10">
        <f t="shared" si="10"/>
        <v>493495</v>
      </c>
      <c r="Q36" s="10">
        <f t="shared" si="10"/>
        <v>542285</v>
      </c>
      <c r="R36" s="10">
        <f t="shared" si="10"/>
        <v>599215</v>
      </c>
      <c r="S36" s="10">
        <f t="shared" si="10"/>
        <v>673467</v>
      </c>
      <c r="T36" s="10">
        <f t="shared" si="10"/>
        <v>755322</v>
      </c>
      <c r="U36" s="10">
        <f t="shared" si="10"/>
        <v>795159</v>
      </c>
      <c r="V36" s="10">
        <f t="shared" si="10"/>
        <v>849793</v>
      </c>
      <c r="W36" s="10">
        <f t="shared" si="10"/>
        <v>899907</v>
      </c>
      <c r="X36" s="10">
        <f t="shared" si="10"/>
        <v>941711</v>
      </c>
      <c r="Y36" s="10">
        <f t="shared" si="10"/>
        <v>1015280</v>
      </c>
      <c r="Z36" s="111">
        <f>+Y36/C59</f>
        <v>0.60977777777777775</v>
      </c>
      <c r="AA36" s="148">
        <f t="shared" si="9"/>
        <v>-0.39022222222222225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2.3347747747747748E-2</v>
      </c>
      <c r="G37" s="30">
        <f t="shared" si="11"/>
        <v>4.1197597597597599E-2</v>
      </c>
      <c r="H37" s="30">
        <f t="shared" si="11"/>
        <v>7.5566966966966964E-2</v>
      </c>
      <c r="I37" s="30">
        <f t="shared" si="11"/>
        <v>9.7044444444444447E-2</v>
      </c>
      <c r="J37" s="30">
        <f t="shared" si="11"/>
        <v>0.13999159159159158</v>
      </c>
      <c r="K37" s="30">
        <f t="shared" si="11"/>
        <v>0.15575195195195196</v>
      </c>
      <c r="L37" s="30">
        <f t="shared" si="11"/>
        <v>0.17945825825825826</v>
      </c>
      <c r="M37" s="30">
        <f t="shared" si="11"/>
        <v>0.20507327327327327</v>
      </c>
      <c r="N37" s="30">
        <f t="shared" si="11"/>
        <v>0.22683963963963963</v>
      </c>
      <c r="O37" s="30">
        <f>+O36/$C$59</f>
        <v>0.25890030030030031</v>
      </c>
      <c r="P37" s="30">
        <f t="shared" ref="P37:Y37" si="12">+P36/$C$59</f>
        <v>0.29639339339339338</v>
      </c>
      <c r="Q37" s="30">
        <f t="shared" si="12"/>
        <v>0.32569669669669671</v>
      </c>
      <c r="R37" s="30">
        <f t="shared" si="12"/>
        <v>0.35988888888888887</v>
      </c>
      <c r="S37" s="30">
        <f t="shared" si="12"/>
        <v>0.40448468468468468</v>
      </c>
      <c r="T37" s="30">
        <f t="shared" si="12"/>
        <v>0.45364684684684686</v>
      </c>
      <c r="U37" s="30">
        <f t="shared" si="12"/>
        <v>0.47757297297297296</v>
      </c>
      <c r="V37" s="30">
        <f t="shared" si="12"/>
        <v>0.51038618618618614</v>
      </c>
      <c r="W37" s="30">
        <f t="shared" si="12"/>
        <v>0.54048468468468469</v>
      </c>
      <c r="X37" s="30">
        <f t="shared" si="12"/>
        <v>0.56559219219219214</v>
      </c>
      <c r="Y37" s="30">
        <f t="shared" si="12"/>
        <v>0.60977777777777775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0.56789473684210523</v>
      </c>
      <c r="G41" s="17">
        <f t="shared" ref="G41:Y41" si="14">(G52/$C$52)</f>
        <v>0.53934210526315784</v>
      </c>
      <c r="H41" s="17">
        <f t="shared" si="14"/>
        <v>0.76649122807017545</v>
      </c>
      <c r="I41" s="17">
        <f t="shared" si="14"/>
        <v>0.79842105263157892</v>
      </c>
      <c r="J41" s="17">
        <f t="shared" si="14"/>
        <v>0.83694736842105266</v>
      </c>
      <c r="K41" s="17">
        <f t="shared" si="14"/>
        <v>0.81859649122807021</v>
      </c>
      <c r="L41" s="17">
        <f t="shared" si="14"/>
        <v>0.72597744360902261</v>
      </c>
      <c r="M41" s="17">
        <f t="shared" si="14"/>
        <v>0.77003289473684211</v>
      </c>
      <c r="N41" s="17">
        <f t="shared" si="14"/>
        <v>0.72040935672514617</v>
      </c>
      <c r="O41" s="17">
        <f t="shared" si="14"/>
        <v>0.7508473684210526</v>
      </c>
      <c r="P41" s="17">
        <f t="shared" si="14"/>
        <v>0.74450239234449755</v>
      </c>
      <c r="Q41" s="17">
        <f t="shared" si="14"/>
        <v>0.76289912280701755</v>
      </c>
      <c r="R41" s="17">
        <f t="shared" si="14"/>
        <v>0.7710566801619434</v>
      </c>
      <c r="S41" s="17">
        <f t="shared" si="14"/>
        <v>0.7727669172932331</v>
      </c>
      <c r="T41" s="17">
        <f t="shared" si="14"/>
        <v>0.8284070175438597</v>
      </c>
      <c r="U41" s="17">
        <f t="shared" si="14"/>
        <v>0.82100657894736839</v>
      </c>
      <c r="V41" s="17">
        <f t="shared" si="14"/>
        <v>0.77453869969040245</v>
      </c>
      <c r="W41" s="17">
        <f t="shared" si="14"/>
        <v>0.77582163742690069</v>
      </c>
      <c r="X41" s="17">
        <f t="shared" si="14"/>
        <v>0.80688642659279775</v>
      </c>
      <c r="Y41" s="17">
        <f t="shared" si="14"/>
        <v>0.79634473684210527</v>
      </c>
      <c r="Z41" s="158" t="s">
        <v>71</v>
      </c>
      <c r="AA41" s="138">
        <v>350</v>
      </c>
      <c r="AX41"/>
    </row>
    <row r="42" spans="2:50">
      <c r="B42" s="4" t="s">
        <v>64</v>
      </c>
      <c r="C42" s="17"/>
      <c r="D42" s="17"/>
      <c r="E42" s="17"/>
      <c r="F42" s="17">
        <f>(F53/$C$53)</f>
        <v>0.83277777777777773</v>
      </c>
      <c r="G42" s="17">
        <f t="shared" ref="G42:Y42" si="15">(G53/$C$53)</f>
        <v>0.41638888888888886</v>
      </c>
      <c r="H42" s="17">
        <f t="shared" si="15"/>
        <v>0.58499999999999996</v>
      </c>
      <c r="I42" s="17">
        <f t="shared" si="15"/>
        <v>0.43874999999999997</v>
      </c>
      <c r="J42" s="17">
        <f t="shared" si="15"/>
        <v>0.61086666666666667</v>
      </c>
      <c r="K42" s="17">
        <f t="shared" si="15"/>
        <v>0.55888888888888888</v>
      </c>
      <c r="L42" s="17">
        <f t="shared" si="15"/>
        <v>0.47904761904761906</v>
      </c>
      <c r="M42" s="17">
        <f t="shared" si="15"/>
        <v>0.41916666666666669</v>
      </c>
      <c r="N42" s="17">
        <f t="shared" si="15"/>
        <v>0.41209876543209878</v>
      </c>
      <c r="O42" s="17">
        <f t="shared" si="15"/>
        <v>0.40083333333333332</v>
      </c>
      <c r="P42" s="17">
        <f t="shared" si="15"/>
        <v>0.36439393939393938</v>
      </c>
      <c r="Q42" s="17">
        <f t="shared" si="15"/>
        <v>0.33402777777777776</v>
      </c>
      <c r="R42" s="17">
        <f t="shared" si="15"/>
        <v>0.38692307692307693</v>
      </c>
      <c r="S42" s="17">
        <f t="shared" si="15"/>
        <v>0.40138888888888891</v>
      </c>
      <c r="T42" s="17">
        <f t="shared" si="15"/>
        <v>0.44566666666666666</v>
      </c>
      <c r="U42" s="17">
        <f t="shared" si="15"/>
        <v>0.43652777777777779</v>
      </c>
      <c r="V42" s="17">
        <f t="shared" si="15"/>
        <v>0.45980392156862743</v>
      </c>
      <c r="W42" s="17">
        <f t="shared" si="15"/>
        <v>0.45089506172839505</v>
      </c>
      <c r="X42" s="17">
        <f t="shared" si="15"/>
        <v>0.42716374269005847</v>
      </c>
      <c r="Y42" s="17">
        <f t="shared" si="15"/>
        <v>0.47630555555555554</v>
      </c>
      <c r="Z42" s="158" t="s">
        <v>72</v>
      </c>
      <c r="AA42" s="138">
        <v>140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0</v>
      </c>
      <c r="G43" s="17">
        <f t="shared" si="16"/>
        <v>0</v>
      </c>
      <c r="H43" s="17">
        <f t="shared" si="16"/>
        <v>0.27740740740740738</v>
      </c>
      <c r="I43" s="17">
        <f t="shared" si="16"/>
        <v>0.28291666666666665</v>
      </c>
      <c r="J43" s="17">
        <f t="shared" si="16"/>
        <v>0.28622222222222221</v>
      </c>
      <c r="K43" s="17">
        <f t="shared" si="16"/>
        <v>0.27555555555555555</v>
      </c>
      <c r="L43" s="17">
        <f t="shared" si="16"/>
        <v>0.2965079365079365</v>
      </c>
      <c r="M43" s="17">
        <f t="shared" si="16"/>
        <v>0.296875</v>
      </c>
      <c r="N43" s="17">
        <f t="shared" si="16"/>
        <v>0.29716049382716048</v>
      </c>
      <c r="O43" s="17">
        <f t="shared" si="16"/>
        <v>0.32300000000000001</v>
      </c>
      <c r="P43" s="17">
        <f t="shared" si="16"/>
        <v>0.29363636363636358</v>
      </c>
      <c r="Q43" s="17">
        <f t="shared" si="16"/>
        <v>0.25527777777777777</v>
      </c>
      <c r="R43" s="17">
        <f t="shared" si="16"/>
        <v>0.23564102564102565</v>
      </c>
      <c r="S43" s="17">
        <f t="shared" si="16"/>
        <v>0.28361111111111109</v>
      </c>
      <c r="T43" s="17">
        <f t="shared" si="16"/>
        <v>0.28466666666666668</v>
      </c>
      <c r="U43" s="17">
        <f t="shared" si="16"/>
        <v>0.27937499999999998</v>
      </c>
      <c r="V43" s="17">
        <f t="shared" si="16"/>
        <v>0.31683006535947711</v>
      </c>
      <c r="W43" s="17">
        <f t="shared" si="16"/>
        <v>0.29922839506172838</v>
      </c>
      <c r="X43" s="17">
        <f t="shared" si="16"/>
        <v>0.2700877192982456</v>
      </c>
      <c r="Y43" s="17">
        <f t="shared" si="16"/>
        <v>0.25658333333333333</v>
      </c>
      <c r="Z43" s="158" t="s">
        <v>94</v>
      </c>
      <c r="AA43" s="158">
        <v>100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0.18487654320987654</v>
      </c>
      <c r="G44" s="17">
        <f t="shared" ref="G44:Y44" si="17">(G55/$C$55)</f>
        <v>0.47808641975308641</v>
      </c>
      <c r="H44" s="17">
        <f t="shared" si="17"/>
        <v>0.34958847736625509</v>
      </c>
      <c r="I44" s="17">
        <f t="shared" si="17"/>
        <v>0.35462962962962963</v>
      </c>
      <c r="J44" s="17">
        <f t="shared" si="17"/>
        <v>0.36395061728395062</v>
      </c>
      <c r="K44" s="17">
        <f t="shared" si="17"/>
        <v>0.36491769547325104</v>
      </c>
      <c r="L44" s="17">
        <f t="shared" si="17"/>
        <v>0.33919753086419752</v>
      </c>
      <c r="M44" s="17">
        <f t="shared" si="17"/>
        <v>0.33148148148148149</v>
      </c>
      <c r="N44" s="17">
        <f t="shared" si="17"/>
        <v>0.3771262002743484</v>
      </c>
      <c r="O44" s="17">
        <f t="shared" si="17"/>
        <v>0.33941358024691359</v>
      </c>
      <c r="P44" s="17">
        <f t="shared" si="17"/>
        <v>0.38987093153759822</v>
      </c>
      <c r="Q44" s="17">
        <f t="shared" si="17"/>
        <v>0.43447016460905352</v>
      </c>
      <c r="R44" s="17">
        <f t="shared" si="17"/>
        <v>0.43903608736942074</v>
      </c>
      <c r="S44" s="17">
        <f t="shared" si="17"/>
        <v>0.480379188712522</v>
      </c>
      <c r="T44" s="17">
        <f t="shared" si="17"/>
        <v>0.46481893004115227</v>
      </c>
      <c r="U44" s="17">
        <f t="shared" si="17"/>
        <v>0.45887731481481481</v>
      </c>
      <c r="V44" s="17">
        <f t="shared" si="17"/>
        <v>0.47542120551924477</v>
      </c>
      <c r="W44" s="17">
        <f t="shared" si="17"/>
        <v>0.50334705075445818</v>
      </c>
      <c r="X44" s="17">
        <f t="shared" si="17"/>
        <v>0.4982488628979857</v>
      </c>
      <c r="Y44" s="17">
        <f t="shared" si="17"/>
        <v>0.51807407407407402</v>
      </c>
      <c r="Z44" s="160" t="s">
        <v>73</v>
      </c>
      <c r="AA44" s="138">
        <v>300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0.53920454545454544</v>
      </c>
      <c r="G45" s="17">
        <f t="shared" si="18"/>
        <v>0.69687500000000002</v>
      </c>
      <c r="H45" s="17">
        <f t="shared" si="18"/>
        <v>0.57803030303030312</v>
      </c>
      <c r="I45" s="17">
        <f t="shared" si="18"/>
        <v>0.5625</v>
      </c>
      <c r="J45" s="17">
        <f t="shared" si="18"/>
        <v>0.73204545454545455</v>
      </c>
      <c r="K45" s="17">
        <f t="shared" si="18"/>
        <v>0.64318181818181819</v>
      </c>
      <c r="L45" s="17">
        <f t="shared" si="18"/>
        <v>0.68271103896103902</v>
      </c>
      <c r="M45" s="17">
        <f t="shared" si="18"/>
        <v>0.59737215909090913</v>
      </c>
      <c r="N45" s="17">
        <f t="shared" si="18"/>
        <v>0.60675505050505052</v>
      </c>
      <c r="O45" s="17">
        <f t="shared" si="18"/>
        <v>0.64818181818181819</v>
      </c>
      <c r="P45" s="17">
        <f t="shared" si="18"/>
        <v>0.70325413223140498</v>
      </c>
      <c r="Q45" s="17">
        <f t="shared" si="18"/>
        <v>0.6730113636363636</v>
      </c>
      <c r="R45" s="17">
        <f t="shared" si="18"/>
        <v>0.62124125874125879</v>
      </c>
      <c r="S45" s="17">
        <f t="shared" si="18"/>
        <v>0.66205357142857135</v>
      </c>
      <c r="T45" s="17">
        <f t="shared" si="18"/>
        <v>0.6822348484848485</v>
      </c>
      <c r="U45" s="17">
        <f t="shared" si="18"/>
        <v>0.6395951704545455</v>
      </c>
      <c r="V45" s="17">
        <f t="shared" si="18"/>
        <v>0.62533422459893051</v>
      </c>
      <c r="W45" s="17">
        <f t="shared" si="18"/>
        <v>0.61424242424242415</v>
      </c>
      <c r="X45" s="17">
        <f t="shared" si="18"/>
        <v>0.58191387559808605</v>
      </c>
      <c r="Y45" s="17">
        <f t="shared" si="18"/>
        <v>0.58429545454545451</v>
      </c>
      <c r="Z45" s="160" t="s">
        <v>74</v>
      </c>
      <c r="AA45" s="138">
        <v>120</v>
      </c>
      <c r="AX45"/>
    </row>
    <row r="46" spans="2:50">
      <c r="B46" s="4" t="s">
        <v>63</v>
      </c>
      <c r="C46" s="17"/>
      <c r="D46" s="17"/>
      <c r="E46" s="17"/>
      <c r="F46" s="17">
        <f t="shared" si="18"/>
        <v>0</v>
      </c>
      <c r="G46" s="17">
        <f t="shared" si="18"/>
        <v>0</v>
      </c>
      <c r="H46" s="17">
        <f t="shared" si="18"/>
        <v>0</v>
      </c>
      <c r="I46" s="17">
        <f t="shared" si="18"/>
        <v>0</v>
      </c>
      <c r="J46" s="17">
        <f t="shared" si="18"/>
        <v>0</v>
      </c>
      <c r="K46" s="17">
        <f t="shared" si="18"/>
        <v>0</v>
      </c>
      <c r="L46" s="17">
        <f t="shared" si="18"/>
        <v>1.6233766233766236E-2</v>
      </c>
      <c r="M46" s="17">
        <f t="shared" si="18"/>
        <v>3.2443181818181815E-2</v>
      </c>
      <c r="N46" s="17">
        <f t="shared" si="18"/>
        <v>3.1022727272727271E-2</v>
      </c>
      <c r="O46" s="17">
        <f t="shared" si="18"/>
        <v>2.7920454545454547E-2</v>
      </c>
      <c r="P46" s="17">
        <f t="shared" si="18"/>
        <v>7.3150826446281E-2</v>
      </c>
      <c r="Q46" s="17">
        <f t="shared" si="18"/>
        <v>6.7054924242424249E-2</v>
      </c>
      <c r="R46" s="17">
        <f t="shared" si="18"/>
        <v>8.4353146853146849E-2</v>
      </c>
      <c r="S46" s="17">
        <f t="shared" si="18"/>
        <v>0.11478896103896102</v>
      </c>
      <c r="T46" s="17">
        <f t="shared" si="18"/>
        <v>0.10713636363636364</v>
      </c>
      <c r="U46" s="17">
        <f t="shared" si="18"/>
        <v>0.1004403409090909</v>
      </c>
      <c r="V46" s="17">
        <f t="shared" si="18"/>
        <v>0.10884358288770053</v>
      </c>
      <c r="W46" s="17">
        <f t="shared" si="18"/>
        <v>0.10279671717171718</v>
      </c>
      <c r="X46" s="17">
        <f t="shared" si="18"/>
        <v>8.5179425837320563E-2</v>
      </c>
      <c r="Y46" s="17">
        <f t="shared" si="18"/>
        <v>8.0920454545454545E-2</v>
      </c>
      <c r="Z46" s="160" t="s">
        <v>75</v>
      </c>
      <c r="AA46" s="138">
        <v>35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0.74486956521739134</v>
      </c>
      <c r="G47" s="18">
        <f t="shared" si="19"/>
        <v>0.37243478260869567</v>
      </c>
      <c r="H47" s="18">
        <f t="shared" si="19"/>
        <v>0.51389371980676324</v>
      </c>
      <c r="I47" s="18">
        <f t="shared" si="19"/>
        <v>0.46578260869565219</v>
      </c>
      <c r="J47" s="18">
        <f t="shared" si="19"/>
        <v>0.59729855072463767</v>
      </c>
      <c r="K47" s="18">
        <f t="shared" si="19"/>
        <v>0.49774879227053137</v>
      </c>
      <c r="L47" s="18">
        <f t="shared" si="19"/>
        <v>0.5951387163561076</v>
      </c>
      <c r="M47" s="18">
        <f t="shared" si="19"/>
        <v>0.61991304347826082</v>
      </c>
      <c r="N47" s="18">
        <f t="shared" si="19"/>
        <v>0.58970048309178746</v>
      </c>
      <c r="O47" s="18">
        <f t="shared" si="19"/>
        <v>0.63061449275362313</v>
      </c>
      <c r="P47" s="18">
        <f t="shared" si="19"/>
        <v>0.6751936758893281</v>
      </c>
      <c r="Q47" s="18">
        <f t="shared" si="19"/>
        <v>0.68641062801932373</v>
      </c>
      <c r="R47" s="18">
        <f t="shared" si="19"/>
        <v>0.72572129319955414</v>
      </c>
      <c r="S47" s="18">
        <f t="shared" si="19"/>
        <v>0.73268737060041411</v>
      </c>
      <c r="T47" s="18">
        <f t="shared" si="19"/>
        <v>0.78640772946859894</v>
      </c>
      <c r="U47" s="18">
        <f t="shared" si="19"/>
        <v>0.79472826086956527</v>
      </c>
      <c r="V47" s="18">
        <f t="shared" si="19"/>
        <v>0.81850980392156869</v>
      </c>
      <c r="W47" s="18">
        <f t="shared" si="19"/>
        <v>0.81385185185185183</v>
      </c>
      <c r="X47" s="18">
        <f t="shared" si="19"/>
        <v>0.81249733028222737</v>
      </c>
      <c r="Y47" s="18">
        <f t="shared" si="19"/>
        <v>0.85743478260869566</v>
      </c>
      <c r="Z47" s="159" t="s">
        <v>76</v>
      </c>
      <c r="AA47" s="138">
        <v>260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0.46695495495495498</v>
      </c>
      <c r="G48" s="17">
        <f t="shared" si="20"/>
        <v>0.41197597597597596</v>
      </c>
      <c r="H48" s="17">
        <f t="shared" si="20"/>
        <v>0.50377977977977972</v>
      </c>
      <c r="I48" s="17">
        <f t="shared" si="20"/>
        <v>0.48522222222222222</v>
      </c>
      <c r="J48" s="17">
        <f t="shared" si="20"/>
        <v>0.55996636636636632</v>
      </c>
      <c r="K48" s="17">
        <f t="shared" si="20"/>
        <v>0.51917317317317313</v>
      </c>
      <c r="L48" s="17">
        <f t="shared" si="20"/>
        <v>0.51273788073788074</v>
      </c>
      <c r="M48" s="17">
        <f t="shared" si="20"/>
        <v>0.51268318318318318</v>
      </c>
      <c r="N48" s="17">
        <f t="shared" si="20"/>
        <v>0.50408808808808814</v>
      </c>
      <c r="O48" s="17">
        <f t="shared" si="20"/>
        <v>0.51780060060060062</v>
      </c>
      <c r="P48" s="17">
        <f t="shared" si="20"/>
        <v>0.53889707889707894</v>
      </c>
      <c r="Q48" s="17">
        <f t="shared" si="20"/>
        <v>0.54282782782782779</v>
      </c>
      <c r="R48" s="17">
        <f t="shared" si="20"/>
        <v>0.55367521367521366</v>
      </c>
      <c r="S48" s="17">
        <f t="shared" si="20"/>
        <v>0.57783526383526373</v>
      </c>
      <c r="T48" s="17">
        <f t="shared" si="20"/>
        <v>0.60486246246246245</v>
      </c>
      <c r="U48" s="17">
        <f t="shared" si="20"/>
        <v>0.59696621621621626</v>
      </c>
      <c r="V48" s="17">
        <f t="shared" si="20"/>
        <v>0.60045433668963089</v>
      </c>
      <c r="W48" s="17">
        <f t="shared" si="20"/>
        <v>0.60053853853853856</v>
      </c>
      <c r="X48" s="17">
        <f t="shared" si="20"/>
        <v>0.5953602023075707</v>
      </c>
      <c r="Y48" s="17">
        <f t="shared" si="20"/>
        <v>0.60977777777777775</v>
      </c>
      <c r="AA48" s="139">
        <f>SUM(AA41:AA47)</f>
        <v>1305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380000</v>
      </c>
      <c r="D52" s="4"/>
      <c r="E52" s="4"/>
      <c r="F52" s="55">
        <f t="shared" ref="F52:Y58" si="22">(F29)/F$1*$Y$1</f>
        <v>215800</v>
      </c>
      <c r="G52" s="55">
        <f t="shared" si="22"/>
        <v>204950</v>
      </c>
      <c r="H52" s="55">
        <f t="shared" si="22"/>
        <v>291266.66666666669</v>
      </c>
      <c r="I52" s="55">
        <f t="shared" si="22"/>
        <v>303400</v>
      </c>
      <c r="J52" s="55">
        <f t="shared" si="22"/>
        <v>318040</v>
      </c>
      <c r="K52" s="55">
        <f t="shared" si="22"/>
        <v>311066.66666666669</v>
      </c>
      <c r="L52" s="55">
        <f t="shared" si="22"/>
        <v>275871.42857142858</v>
      </c>
      <c r="M52" s="55">
        <f t="shared" si="22"/>
        <v>292612.5</v>
      </c>
      <c r="N52" s="55">
        <f t="shared" si="22"/>
        <v>273755.55555555556</v>
      </c>
      <c r="O52" s="55">
        <f t="shared" si="22"/>
        <v>285322</v>
      </c>
      <c r="P52" s="55">
        <f t="shared" si="22"/>
        <v>282910.90909090906</v>
      </c>
      <c r="Q52" s="55">
        <f t="shared" si="22"/>
        <v>289901.66666666669</v>
      </c>
      <c r="R52" s="55">
        <f t="shared" si="22"/>
        <v>293001.5384615385</v>
      </c>
      <c r="S52" s="55">
        <f t="shared" si="22"/>
        <v>293651.42857142858</v>
      </c>
      <c r="T52" s="55">
        <f t="shared" si="22"/>
        <v>314794.66666666669</v>
      </c>
      <c r="U52" s="55">
        <f t="shared" si="22"/>
        <v>311982.5</v>
      </c>
      <c r="V52" s="55">
        <f t="shared" si="22"/>
        <v>294324.70588235295</v>
      </c>
      <c r="W52" s="55">
        <f t="shared" si="22"/>
        <v>294812.22222222225</v>
      </c>
      <c r="X52" s="55">
        <f t="shared" si="22"/>
        <v>306616.84210526315</v>
      </c>
      <c r="Y52" s="55">
        <f t="shared" si="22"/>
        <v>302611</v>
      </c>
      <c r="AX52"/>
    </row>
    <row r="53" spans="2:50">
      <c r="B53" s="4" t="s">
        <v>64</v>
      </c>
      <c r="C53" s="149">
        <v>180000</v>
      </c>
      <c r="D53" s="4"/>
      <c r="E53" s="4"/>
      <c r="F53" s="55">
        <f t="shared" si="22"/>
        <v>149900</v>
      </c>
      <c r="G53" s="55">
        <f t="shared" si="22"/>
        <v>74950</v>
      </c>
      <c r="H53" s="55">
        <f t="shared" si="22"/>
        <v>105300</v>
      </c>
      <c r="I53" s="55">
        <f t="shared" si="22"/>
        <v>78975</v>
      </c>
      <c r="J53" s="55">
        <f t="shared" si="22"/>
        <v>109956</v>
      </c>
      <c r="K53" s="55">
        <f t="shared" si="22"/>
        <v>100600</v>
      </c>
      <c r="L53" s="55">
        <f t="shared" si="22"/>
        <v>86228.571428571435</v>
      </c>
      <c r="M53" s="55">
        <f t="shared" si="22"/>
        <v>75450</v>
      </c>
      <c r="N53" s="55">
        <f t="shared" si="22"/>
        <v>74177.777777777781</v>
      </c>
      <c r="O53" s="55">
        <f t="shared" si="22"/>
        <v>72150</v>
      </c>
      <c r="P53" s="55">
        <f t="shared" si="22"/>
        <v>65590.909090909088</v>
      </c>
      <c r="Q53" s="55">
        <f t="shared" si="22"/>
        <v>60125</v>
      </c>
      <c r="R53" s="55">
        <f t="shared" si="22"/>
        <v>69646.153846153844</v>
      </c>
      <c r="S53" s="55">
        <f t="shared" si="22"/>
        <v>72250</v>
      </c>
      <c r="T53" s="55">
        <f t="shared" si="22"/>
        <v>80220</v>
      </c>
      <c r="U53" s="55">
        <f t="shared" si="22"/>
        <v>78575</v>
      </c>
      <c r="V53" s="55">
        <f t="shared" si="22"/>
        <v>82764.705882352937</v>
      </c>
      <c r="W53" s="55">
        <f t="shared" si="22"/>
        <v>81161.111111111109</v>
      </c>
      <c r="X53" s="55">
        <f t="shared" si="22"/>
        <v>76889.473684210519</v>
      </c>
      <c r="Y53" s="55">
        <f t="shared" si="22"/>
        <v>85735</v>
      </c>
      <c r="AX53"/>
    </row>
    <row r="54" spans="2:50">
      <c r="B54" s="4" t="str">
        <f>+B43</f>
        <v>Brazil</v>
      </c>
      <c r="C54" s="149">
        <v>180000</v>
      </c>
      <c r="D54" s="4"/>
      <c r="E54" s="4"/>
      <c r="F54" s="55">
        <f t="shared" si="22"/>
        <v>0</v>
      </c>
      <c r="G54" s="55">
        <f t="shared" si="22"/>
        <v>0</v>
      </c>
      <c r="H54" s="55">
        <f t="shared" si="22"/>
        <v>49933.333333333328</v>
      </c>
      <c r="I54" s="55">
        <f t="shared" si="22"/>
        <v>50925</v>
      </c>
      <c r="J54" s="55">
        <f t="shared" si="22"/>
        <v>51520</v>
      </c>
      <c r="K54" s="55">
        <f t="shared" si="22"/>
        <v>49600</v>
      </c>
      <c r="L54" s="55">
        <f t="shared" si="22"/>
        <v>53371.428571428565</v>
      </c>
      <c r="M54" s="55">
        <f t="shared" si="22"/>
        <v>53437.5</v>
      </c>
      <c r="N54" s="55">
        <f t="shared" si="22"/>
        <v>53488.888888888891</v>
      </c>
      <c r="O54" s="55">
        <f t="shared" si="22"/>
        <v>58140</v>
      </c>
      <c r="P54" s="55">
        <f t="shared" si="22"/>
        <v>52854.545454545449</v>
      </c>
      <c r="Q54" s="55">
        <f t="shared" si="22"/>
        <v>45950</v>
      </c>
      <c r="R54" s="55">
        <f t="shared" si="22"/>
        <v>42415.384615384617</v>
      </c>
      <c r="S54" s="55">
        <f t="shared" si="22"/>
        <v>51050</v>
      </c>
      <c r="T54" s="55">
        <f t="shared" si="22"/>
        <v>51240</v>
      </c>
      <c r="U54" s="55">
        <f t="shared" si="22"/>
        <v>50287.5</v>
      </c>
      <c r="V54" s="55">
        <f t="shared" si="22"/>
        <v>57029.411764705881</v>
      </c>
      <c r="W54" s="55">
        <f t="shared" si="22"/>
        <v>53861.111111111109</v>
      </c>
      <c r="X54" s="55">
        <f t="shared" si="22"/>
        <v>48615.789473684206</v>
      </c>
      <c r="Y54" s="55">
        <f t="shared" si="22"/>
        <v>46185</v>
      </c>
      <c r="AX54"/>
    </row>
    <row r="55" spans="2:50">
      <c r="B55" s="4" t="str">
        <f>+B44</f>
        <v>Boston</v>
      </c>
      <c r="C55" s="149">
        <v>324000</v>
      </c>
      <c r="D55" s="4"/>
      <c r="E55" s="4"/>
      <c r="F55" s="55">
        <f>(F32)/F$1*$Y$1</f>
        <v>59900</v>
      </c>
      <c r="G55" s="55">
        <f>(G32)/G$1*$Y$1</f>
        <v>154900</v>
      </c>
      <c r="H55" s="55">
        <f t="shared" si="22"/>
        <v>113266.66666666666</v>
      </c>
      <c r="I55" s="55">
        <f t="shared" si="22"/>
        <v>114900</v>
      </c>
      <c r="J55" s="55">
        <f t="shared" si="22"/>
        <v>117920</v>
      </c>
      <c r="K55" s="55">
        <f t="shared" si="22"/>
        <v>118233.33333333334</v>
      </c>
      <c r="L55" s="55">
        <f t="shared" si="22"/>
        <v>109900</v>
      </c>
      <c r="M55" s="55">
        <f t="shared" si="22"/>
        <v>107400</v>
      </c>
      <c r="N55" s="55">
        <f t="shared" si="22"/>
        <v>122188.88888888889</v>
      </c>
      <c r="O55" s="55">
        <f t="shared" si="22"/>
        <v>109970</v>
      </c>
      <c r="P55" s="55">
        <f t="shared" si="22"/>
        <v>126318.18181818182</v>
      </c>
      <c r="Q55" s="55">
        <f t="shared" si="22"/>
        <v>140768.33333333334</v>
      </c>
      <c r="R55" s="55">
        <f t="shared" si="22"/>
        <v>142247.69230769231</v>
      </c>
      <c r="S55" s="55">
        <f t="shared" si="22"/>
        <v>155642.85714285713</v>
      </c>
      <c r="T55" s="55">
        <f t="shared" si="22"/>
        <v>150601.33333333334</v>
      </c>
      <c r="U55" s="55">
        <f t="shared" si="22"/>
        <v>148676.25</v>
      </c>
      <c r="V55" s="55">
        <f t="shared" si="22"/>
        <v>154036.4705882353</v>
      </c>
      <c r="W55" s="55">
        <f t="shared" si="22"/>
        <v>163084.44444444444</v>
      </c>
      <c r="X55" s="55">
        <f t="shared" si="22"/>
        <v>161432.63157894736</v>
      </c>
      <c r="Y55" s="55">
        <f t="shared" si="22"/>
        <v>167856</v>
      </c>
      <c r="AX55"/>
    </row>
    <row r="56" spans="2:50">
      <c r="B56" s="4" t="s">
        <v>2</v>
      </c>
      <c r="C56" s="149">
        <v>176000</v>
      </c>
      <c r="D56" s="4"/>
      <c r="E56" s="4"/>
      <c r="F56" s="55">
        <f t="shared" ref="F56:U58" si="23">(F33)/F$1*$Y$1</f>
        <v>94900</v>
      </c>
      <c r="G56" s="55">
        <f t="shared" si="23"/>
        <v>122650</v>
      </c>
      <c r="H56" s="55">
        <f t="shared" si="23"/>
        <v>101733.33333333334</v>
      </c>
      <c r="I56" s="55">
        <f t="shared" si="23"/>
        <v>99000</v>
      </c>
      <c r="J56" s="55">
        <f t="shared" si="23"/>
        <v>128840</v>
      </c>
      <c r="K56" s="55">
        <f t="shared" si="23"/>
        <v>113200</v>
      </c>
      <c r="L56" s="55">
        <f t="shared" si="23"/>
        <v>120157.14285714287</v>
      </c>
      <c r="M56" s="55">
        <f t="shared" si="23"/>
        <v>105137.5</v>
      </c>
      <c r="N56" s="55">
        <f t="shared" si="23"/>
        <v>106788.88888888889</v>
      </c>
      <c r="O56" s="55">
        <f t="shared" si="23"/>
        <v>114080</v>
      </c>
      <c r="P56" s="55">
        <f t="shared" si="23"/>
        <v>123772.72727272728</v>
      </c>
      <c r="Q56" s="55">
        <f t="shared" si="23"/>
        <v>118450</v>
      </c>
      <c r="R56" s="55">
        <f t="shared" si="23"/>
        <v>109338.46153846155</v>
      </c>
      <c r="S56" s="55">
        <f t="shared" si="23"/>
        <v>116521.42857142857</v>
      </c>
      <c r="T56" s="55">
        <f t="shared" si="23"/>
        <v>120073.33333333334</v>
      </c>
      <c r="U56" s="55">
        <f t="shared" si="23"/>
        <v>112568.75</v>
      </c>
      <c r="V56" s="55">
        <f t="shared" si="22"/>
        <v>110058.82352941176</v>
      </c>
      <c r="W56" s="55">
        <f t="shared" si="22"/>
        <v>108106.66666666666</v>
      </c>
      <c r="X56" s="55">
        <f t="shared" si="22"/>
        <v>102416.84210526315</v>
      </c>
      <c r="Y56" s="55">
        <f t="shared" si="22"/>
        <v>102836</v>
      </c>
      <c r="AA56" s="48"/>
    </row>
    <row r="57" spans="2:50">
      <c r="B57" s="4" t="s">
        <v>63</v>
      </c>
      <c r="C57" s="149">
        <v>80000</v>
      </c>
      <c r="D57" s="4"/>
      <c r="E57" s="4"/>
      <c r="F57" s="55">
        <f t="shared" si="23"/>
        <v>0</v>
      </c>
      <c r="G57" s="55">
        <f t="shared" si="23"/>
        <v>0</v>
      </c>
      <c r="H57" s="55">
        <f t="shared" si="23"/>
        <v>0</v>
      </c>
      <c r="I57" s="55">
        <f t="shared" si="23"/>
        <v>0</v>
      </c>
      <c r="J57" s="55">
        <f t="shared" si="23"/>
        <v>0</v>
      </c>
      <c r="K57" s="55">
        <f t="shared" si="23"/>
        <v>0</v>
      </c>
      <c r="L57" s="55">
        <f t="shared" si="23"/>
        <v>2857.1428571428573</v>
      </c>
      <c r="M57" s="55">
        <f t="shared" si="23"/>
        <v>5710</v>
      </c>
      <c r="N57" s="55">
        <f t="shared" si="23"/>
        <v>5460</v>
      </c>
      <c r="O57" s="55">
        <f t="shared" si="23"/>
        <v>4914</v>
      </c>
      <c r="P57" s="55">
        <f t="shared" si="23"/>
        <v>12874.545454545456</v>
      </c>
      <c r="Q57" s="55">
        <f t="shared" si="23"/>
        <v>11801.666666666668</v>
      </c>
      <c r="R57" s="55">
        <f t="shared" si="23"/>
        <v>14846.153846153846</v>
      </c>
      <c r="S57" s="55">
        <f t="shared" si="23"/>
        <v>20202.857142857141</v>
      </c>
      <c r="T57" s="55">
        <f t="shared" si="23"/>
        <v>18856</v>
      </c>
      <c r="U57" s="55">
        <f t="shared" si="23"/>
        <v>17677.5</v>
      </c>
      <c r="V57" s="55">
        <f t="shared" si="22"/>
        <v>19156.470588235294</v>
      </c>
      <c r="W57" s="55">
        <f t="shared" si="22"/>
        <v>18092.222222222223</v>
      </c>
      <c r="X57" s="55">
        <f t="shared" si="22"/>
        <v>14991.57894736842</v>
      </c>
      <c r="Y57" s="55">
        <f t="shared" si="22"/>
        <v>14242</v>
      </c>
      <c r="AA57" s="48"/>
    </row>
    <row r="58" spans="2:50">
      <c r="B58" s="4" t="s">
        <v>3</v>
      </c>
      <c r="C58" s="150">
        <v>345000</v>
      </c>
      <c r="D58" s="19"/>
      <c r="E58" s="19"/>
      <c r="F58" s="98">
        <f t="shared" si="23"/>
        <v>256980</v>
      </c>
      <c r="G58" s="98">
        <f t="shared" si="23"/>
        <v>128490</v>
      </c>
      <c r="H58" s="98">
        <f t="shared" si="23"/>
        <v>177293.33333333331</v>
      </c>
      <c r="I58" s="98">
        <f t="shared" si="23"/>
        <v>160695</v>
      </c>
      <c r="J58" s="98">
        <f t="shared" si="23"/>
        <v>206068</v>
      </c>
      <c r="K58" s="98">
        <f t="shared" si="23"/>
        <v>171723.33333333331</v>
      </c>
      <c r="L58" s="98">
        <f t="shared" si="23"/>
        <v>205322.85714285713</v>
      </c>
      <c r="M58" s="98">
        <f t="shared" si="23"/>
        <v>213870</v>
      </c>
      <c r="N58" s="98">
        <f t="shared" si="23"/>
        <v>203446.66666666669</v>
      </c>
      <c r="O58" s="98">
        <f t="shared" si="23"/>
        <v>217562</v>
      </c>
      <c r="P58" s="98">
        <f t="shared" si="23"/>
        <v>232941.81818181821</v>
      </c>
      <c r="Q58" s="98">
        <f t="shared" si="23"/>
        <v>236811.66666666669</v>
      </c>
      <c r="R58" s="98">
        <f t="shared" si="23"/>
        <v>250373.84615384619</v>
      </c>
      <c r="S58" s="98">
        <f t="shared" si="23"/>
        <v>252777.14285714287</v>
      </c>
      <c r="T58" s="98">
        <f t="shared" si="23"/>
        <v>271310.66666666663</v>
      </c>
      <c r="U58" s="98">
        <f t="shared" si="23"/>
        <v>274181.25</v>
      </c>
      <c r="V58" s="98">
        <f t="shared" si="22"/>
        <v>282385.8823529412</v>
      </c>
      <c r="W58" s="98">
        <f t="shared" si="22"/>
        <v>280778.88888888888</v>
      </c>
      <c r="X58" s="98">
        <f t="shared" si="22"/>
        <v>280311.57894736843</v>
      </c>
      <c r="Y58" s="98">
        <f t="shared" si="22"/>
        <v>295815</v>
      </c>
    </row>
    <row r="59" spans="2:50">
      <c r="B59" s="153" t="s">
        <v>27</v>
      </c>
      <c r="C59" s="151">
        <f>SUM(C52:C58)</f>
        <v>1665000</v>
      </c>
      <c r="D59" s="10">
        <f>SUM(D52:D58)</f>
        <v>0</v>
      </c>
      <c r="E59" s="10"/>
      <c r="F59" s="10">
        <f t="shared" ref="F59:Y59" si="24">SUM(F52:F58)</f>
        <v>777480</v>
      </c>
      <c r="G59" s="10">
        <f t="shared" si="24"/>
        <v>685940</v>
      </c>
      <c r="H59" s="10">
        <f t="shared" si="24"/>
        <v>838793.33333333326</v>
      </c>
      <c r="I59" s="10">
        <f t="shared" si="24"/>
        <v>807895</v>
      </c>
      <c r="J59" s="10">
        <f t="shared" si="24"/>
        <v>932344</v>
      </c>
      <c r="K59" s="10">
        <f t="shared" si="24"/>
        <v>864423.33333333326</v>
      </c>
      <c r="L59" s="10">
        <f t="shared" si="24"/>
        <v>853708.57142857148</v>
      </c>
      <c r="M59" s="10">
        <f t="shared" si="24"/>
        <v>853617.5</v>
      </c>
      <c r="N59" s="10">
        <f t="shared" si="24"/>
        <v>839306.66666666674</v>
      </c>
      <c r="O59" s="10">
        <f t="shared" si="24"/>
        <v>862138</v>
      </c>
      <c r="P59" s="10">
        <f t="shared" si="24"/>
        <v>897263.63636363635</v>
      </c>
      <c r="Q59" s="10">
        <f t="shared" si="24"/>
        <v>903808.33333333326</v>
      </c>
      <c r="R59" s="10">
        <f t="shared" si="24"/>
        <v>921869.23076923075</v>
      </c>
      <c r="S59" s="10">
        <f t="shared" si="24"/>
        <v>962095.7142857142</v>
      </c>
      <c r="T59" s="10">
        <f t="shared" si="24"/>
        <v>1007096</v>
      </c>
      <c r="U59" s="10">
        <f t="shared" si="24"/>
        <v>993948.75</v>
      </c>
      <c r="V59" s="10">
        <f t="shared" si="24"/>
        <v>999756.47058823542</v>
      </c>
      <c r="W59" s="10">
        <f t="shared" si="24"/>
        <v>999896.66666666674</v>
      </c>
      <c r="X59" s="10">
        <f t="shared" si="24"/>
        <v>991274.73684210517</v>
      </c>
      <c r="Y59" s="10">
        <f t="shared" si="24"/>
        <v>1015280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83250</v>
      </c>
      <c r="G62" s="144">
        <f t="shared" ref="G62:Y62" si="25">+$C$13*G1</f>
        <v>166500</v>
      </c>
      <c r="H62" s="144">
        <f t="shared" si="25"/>
        <v>249750</v>
      </c>
      <c r="I62" s="144">
        <f t="shared" si="25"/>
        <v>333000</v>
      </c>
      <c r="J62" s="144">
        <f t="shared" si="25"/>
        <v>416250</v>
      </c>
      <c r="K62" s="144">
        <f t="shared" si="25"/>
        <v>499500</v>
      </c>
      <c r="L62" s="144">
        <f t="shared" si="25"/>
        <v>582750</v>
      </c>
      <c r="M62" s="144">
        <f t="shared" si="25"/>
        <v>666000</v>
      </c>
      <c r="N62" s="144">
        <f t="shared" si="25"/>
        <v>749250</v>
      </c>
      <c r="O62" s="144">
        <f t="shared" si="25"/>
        <v>832500</v>
      </c>
      <c r="P62" s="144">
        <f t="shared" si="25"/>
        <v>915750</v>
      </c>
      <c r="Q62" s="144">
        <f t="shared" si="25"/>
        <v>999000</v>
      </c>
      <c r="R62" s="144">
        <f t="shared" si="25"/>
        <v>1082250</v>
      </c>
      <c r="S62" s="144">
        <f t="shared" si="25"/>
        <v>1165500</v>
      </c>
      <c r="T62" s="144">
        <f t="shared" si="25"/>
        <v>1248750</v>
      </c>
      <c r="U62" s="144">
        <f t="shared" si="25"/>
        <v>1332000</v>
      </c>
      <c r="V62" s="144">
        <f t="shared" si="25"/>
        <v>1415250</v>
      </c>
      <c r="W62" s="144">
        <f t="shared" si="25"/>
        <v>1498500</v>
      </c>
      <c r="X62" s="144">
        <f t="shared" si="25"/>
        <v>1581750</v>
      </c>
      <c r="Y62" s="144">
        <f t="shared" si="25"/>
        <v>1665000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8" type="noConversion"/>
  <conditionalFormatting sqref="Z14">
    <cfRule type="cellIs" dxfId="87" priority="8" stopIfTrue="1" operator="lessThan">
      <formula>$C$13</formula>
    </cfRule>
    <cfRule type="cellIs" dxfId="86" priority="9" stopIfTrue="1" operator="lessThan">
      <formula>$C$13</formula>
    </cfRule>
    <cfRule type="cellIs" dxfId="85" priority="10" stopIfTrue="1" operator="greaterThan">
      <formula>$C$13</formula>
    </cfRule>
    <cfRule type="cellIs" dxfId="84" priority="11" stopIfTrue="1" operator="greaterThan">
      <formula>$C$13</formula>
    </cfRule>
  </conditionalFormatting>
  <conditionalFormatting sqref="AA29:AA36">
    <cfRule type="cellIs" dxfId="83" priority="4" stopIfTrue="1" operator="lessThan">
      <formula>0</formula>
    </cfRule>
    <cfRule type="cellIs" dxfId="82" priority="5" stopIfTrue="1" operator="greaterThan">
      <formula>0</formula>
    </cfRule>
    <cfRule type="cellIs" dxfId="81" priority="6" stopIfTrue="1" operator="lessThan">
      <formula>0</formula>
    </cfRule>
    <cfRule type="cellIs" dxfId="80" priority="7" stopIfTrue="1" operator="greaterThan">
      <formula>0</formula>
    </cfRule>
  </conditionalFormatting>
  <conditionalFormatting sqref="Z6">
    <cfRule type="cellIs" dxfId="79" priority="2" stopIfTrue="1" operator="lessThan">
      <formula>$C$6</formula>
    </cfRule>
    <cfRule type="cellIs" dxfId="78" priority="3" stopIfTrue="1" operator="greaterThan">
      <formula>$C$6</formula>
    </cfRule>
  </conditionalFormatting>
  <conditionalFormatting sqref="Z6:Z12">
    <cfRule type="cellIs" dxfId="77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L1" workbookViewId="0">
      <selection activeCell="R23" sqref="R23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42</v>
      </c>
    </row>
    <row r="4" spans="2:50" ht="15.75" thickBot="1">
      <c r="B4" s="9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41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1" t="s">
        <v>43</v>
      </c>
      <c r="AX5"/>
    </row>
    <row r="6" spans="2:50">
      <c r="B6" s="4" t="s">
        <v>0</v>
      </c>
      <c r="C6" s="20">
        <f>+C40/20</f>
        <v>12500</v>
      </c>
      <c r="D6" s="10"/>
      <c r="E6" s="11">
        <v>17813</v>
      </c>
      <c r="F6" s="10">
        <v>10117</v>
      </c>
      <c r="G6" s="10">
        <v>18482</v>
      </c>
      <c r="H6" s="10">
        <v>2785</v>
      </c>
      <c r="I6" s="10">
        <v>26462</v>
      </c>
      <c r="J6" s="10">
        <v>15017</v>
      </c>
      <c r="K6" s="10">
        <v>18290</v>
      </c>
      <c r="L6" s="10">
        <v>7123</v>
      </c>
      <c r="M6" s="10">
        <v>13003</v>
      </c>
      <c r="N6" s="10">
        <v>23893</v>
      </c>
      <c r="O6" s="10">
        <v>6427</v>
      </c>
      <c r="P6" s="10">
        <v>17193</v>
      </c>
      <c r="Q6" s="10">
        <v>20479</v>
      </c>
      <c r="R6" s="10">
        <v>4795</v>
      </c>
      <c r="S6" s="10">
        <v>14809</v>
      </c>
      <c r="T6" s="10">
        <v>16714</v>
      </c>
      <c r="U6" s="10">
        <v>23435</v>
      </c>
      <c r="V6" s="10">
        <v>7309</v>
      </c>
      <c r="W6" s="10">
        <v>8170</v>
      </c>
      <c r="X6" s="10">
        <v>32063</v>
      </c>
      <c r="Y6" s="10">
        <v>12537</v>
      </c>
      <c r="Z6" s="72">
        <f>SUM(F6:Y6)/Y$1</f>
        <v>14955.15</v>
      </c>
      <c r="AX6"/>
    </row>
    <row r="7" spans="2:50">
      <c r="B7" s="4" t="s">
        <v>1</v>
      </c>
      <c r="C7" s="20">
        <f>+C41/20</f>
        <v>15000</v>
      </c>
      <c r="D7" s="10"/>
      <c r="E7" s="11">
        <v>0</v>
      </c>
      <c r="F7" s="10">
        <v>6640</v>
      </c>
      <c r="G7" s="10">
        <v>2695</v>
      </c>
      <c r="H7" s="10">
        <v>2156</v>
      </c>
      <c r="I7" s="10">
        <v>7085</v>
      </c>
      <c r="J7" s="10">
        <v>16880</v>
      </c>
      <c r="K7" s="10">
        <v>6895</v>
      </c>
      <c r="L7" s="10">
        <v>8000</v>
      </c>
      <c r="M7" s="10">
        <v>12780</v>
      </c>
      <c r="N7" s="10">
        <v>4695</v>
      </c>
      <c r="O7" s="10">
        <v>2695</v>
      </c>
      <c r="P7" s="10">
        <v>11335</v>
      </c>
      <c r="Q7" s="10">
        <v>4195</v>
      </c>
      <c r="R7" s="10">
        <v>0</v>
      </c>
      <c r="S7" s="10">
        <v>12341</v>
      </c>
      <c r="T7" s="10">
        <v>7195</v>
      </c>
      <c r="U7" s="10">
        <v>4795</v>
      </c>
      <c r="V7" s="10">
        <v>9535</v>
      </c>
      <c r="W7" s="10">
        <v>14615</v>
      </c>
      <c r="X7" s="10">
        <v>10780</v>
      </c>
      <c r="Y7" s="10">
        <v>31565</v>
      </c>
      <c r="Z7" s="69">
        <f>SUM(F7:Y7)/Y$1</f>
        <v>8843.85</v>
      </c>
      <c r="AX7"/>
    </row>
    <row r="8" spans="2:50">
      <c r="B8" s="4" t="s">
        <v>2</v>
      </c>
      <c r="C8" s="20">
        <f>+C42/20</f>
        <v>8325</v>
      </c>
      <c r="D8" s="10"/>
      <c r="E8" s="11">
        <f>10185*0.9</f>
        <v>9166.5</v>
      </c>
      <c r="F8" s="10">
        <f>5095*0.9</f>
        <v>4585.5</v>
      </c>
      <c r="G8" s="10">
        <v>0</v>
      </c>
      <c r="H8" s="10">
        <f>13485*0.9</f>
        <v>12136.5</v>
      </c>
      <c r="I8" s="10">
        <f>3695*0.9</f>
        <v>3325.5</v>
      </c>
      <c r="J8" s="10">
        <f>13885*0.9</f>
        <v>12496.5</v>
      </c>
      <c r="K8" s="10">
        <f>15685*0.9</f>
        <v>14116.5</v>
      </c>
      <c r="L8" s="10">
        <f>9780*0.9</f>
        <v>8802</v>
      </c>
      <c r="M8" s="10">
        <f>10095*0.9</f>
        <v>9085.5</v>
      </c>
      <c r="N8" s="10">
        <f>5390*0.9</f>
        <v>4851</v>
      </c>
      <c r="O8" s="10">
        <f>12575*0.9</f>
        <v>11317.5</v>
      </c>
      <c r="P8" s="10">
        <f>17484*0.9</f>
        <v>15735.6</v>
      </c>
      <c r="Q8" s="10">
        <f>5390*0.9</f>
        <v>4851</v>
      </c>
      <c r="R8" s="10">
        <f>6295*0.9</f>
        <v>5665.5</v>
      </c>
      <c r="S8" s="10">
        <f>11995*0.9</f>
        <v>10795.5</v>
      </c>
      <c r="T8" s="10">
        <f>1500*0.9</f>
        <v>1350</v>
      </c>
      <c r="U8" s="10">
        <f>15282*0.9</f>
        <v>13753.800000000001</v>
      </c>
      <c r="V8" s="10">
        <f>18775*0.9</f>
        <v>16897.5</v>
      </c>
      <c r="W8" s="10">
        <f>8400*0.9</f>
        <v>7560</v>
      </c>
      <c r="X8" s="10">
        <f>10585*0.9</f>
        <v>9526.5</v>
      </c>
      <c r="Y8" s="10">
        <f>11755*0.9</f>
        <v>10579.5</v>
      </c>
      <c r="Z8" s="73">
        <f>SUM(F8:Y8)/Y$1</f>
        <v>8871.57</v>
      </c>
      <c r="AX8"/>
    </row>
    <row r="9" spans="2:50">
      <c r="B9" s="4" t="s">
        <v>3</v>
      </c>
      <c r="C9" s="21">
        <f>+C43/20</f>
        <v>18040</v>
      </c>
      <c r="D9" s="13"/>
      <c r="E9" s="40">
        <f>56796-18196</f>
        <v>38600</v>
      </c>
      <c r="F9" s="13">
        <f>11095*1.64</f>
        <v>18195.8</v>
      </c>
      <c r="G9" s="13">
        <f>6757*1.64</f>
        <v>11081.48</v>
      </c>
      <c r="H9" s="13">
        <f>11595*1.64</f>
        <v>19015.8</v>
      </c>
      <c r="I9" s="13">
        <f>7175*1.64</f>
        <v>11767</v>
      </c>
      <c r="J9" s="13">
        <f>11059*1.64</f>
        <v>18136.759999999998</v>
      </c>
      <c r="K9" s="13">
        <f>12302*1.64</f>
        <v>20175.28</v>
      </c>
      <c r="L9" s="13">
        <f>8852*1.64</f>
        <v>14517.279999999999</v>
      </c>
      <c r="M9" s="13">
        <f>7772*1.64</f>
        <v>12746.08</v>
      </c>
      <c r="N9" s="13">
        <f>8190*1.64</f>
        <v>13431.599999999999</v>
      </c>
      <c r="O9" s="13">
        <f>31096*1.64</f>
        <v>50997.439999999995</v>
      </c>
      <c r="P9" s="13">
        <f>17354*1.64</f>
        <v>28460.559999999998</v>
      </c>
      <c r="Q9" s="13">
        <f>15485*1.64</f>
        <v>25395.399999999998</v>
      </c>
      <c r="R9" s="13">
        <f>13595*1.64</f>
        <v>22295.8</v>
      </c>
      <c r="S9" s="13">
        <f>29798*1.64</f>
        <v>48868.719999999994</v>
      </c>
      <c r="T9" s="13">
        <f>24086*1.64</f>
        <v>39501.040000000001</v>
      </c>
      <c r="U9" s="13">
        <f>4857*1.64</f>
        <v>7965.48</v>
      </c>
      <c r="V9" s="13">
        <f>20869*1.64</f>
        <v>34225.159999999996</v>
      </c>
      <c r="W9" s="13">
        <f>7338*1.64</f>
        <v>12034.32</v>
      </c>
      <c r="X9" s="13">
        <f>24409*1.64</f>
        <v>40030.759999999995</v>
      </c>
      <c r="Y9" s="13">
        <f>9975*1.64</f>
        <v>16358.999999999998</v>
      </c>
      <c r="Z9" s="70">
        <f>SUM(F9:Y9)/Y$1</f>
        <v>23260.037999999993</v>
      </c>
      <c r="AX9"/>
    </row>
    <row r="10" spans="2:50" ht="15.75" thickBot="1">
      <c r="B10" s="14" t="s">
        <v>27</v>
      </c>
      <c r="C10" s="20">
        <f>SUM(C6:C9)</f>
        <v>53865</v>
      </c>
      <c r="D10" s="10"/>
      <c r="E10" s="11">
        <f t="shared" ref="E10:Y10" si="0">SUM(E6:E9)</f>
        <v>65579.5</v>
      </c>
      <c r="F10" s="10">
        <f t="shared" si="0"/>
        <v>39538.300000000003</v>
      </c>
      <c r="G10" s="10">
        <f t="shared" si="0"/>
        <v>32258.48</v>
      </c>
      <c r="H10" s="10">
        <f t="shared" si="0"/>
        <v>36093.300000000003</v>
      </c>
      <c r="I10" s="10">
        <f t="shared" si="0"/>
        <v>48639.5</v>
      </c>
      <c r="J10" s="10">
        <f t="shared" si="0"/>
        <v>62530.259999999995</v>
      </c>
      <c r="K10" s="10">
        <f t="shared" si="0"/>
        <v>59476.78</v>
      </c>
      <c r="L10" s="10">
        <f t="shared" si="0"/>
        <v>38442.28</v>
      </c>
      <c r="M10" s="10">
        <f t="shared" si="0"/>
        <v>47614.58</v>
      </c>
      <c r="N10" s="10">
        <f t="shared" si="0"/>
        <v>46870.6</v>
      </c>
      <c r="O10" s="10">
        <f t="shared" si="0"/>
        <v>71436.94</v>
      </c>
      <c r="P10" s="10">
        <f t="shared" si="0"/>
        <v>72724.160000000003</v>
      </c>
      <c r="Q10" s="10">
        <f t="shared" si="0"/>
        <v>54920.399999999994</v>
      </c>
      <c r="R10" s="10">
        <f t="shared" si="0"/>
        <v>32756.3</v>
      </c>
      <c r="S10" s="10">
        <f t="shared" si="0"/>
        <v>86814.22</v>
      </c>
      <c r="T10" s="10">
        <f>SUM(T6:T9)</f>
        <v>64760.04</v>
      </c>
      <c r="U10" s="10">
        <f t="shared" si="0"/>
        <v>49949.279999999999</v>
      </c>
      <c r="V10" s="10">
        <f t="shared" si="0"/>
        <v>67966.66</v>
      </c>
      <c r="W10" s="10">
        <f t="shared" si="0"/>
        <v>42379.32</v>
      </c>
      <c r="X10" s="10">
        <f t="shared" si="0"/>
        <v>92400.26</v>
      </c>
      <c r="Y10" s="10">
        <f t="shared" si="0"/>
        <v>71040.5</v>
      </c>
      <c r="Z10" s="4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75">
        <f>SUM(F10:Y10)/Y1</f>
        <v>55930.608000000007</v>
      </c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0.80935999999999997</v>
      </c>
      <c r="G15" s="25">
        <f t="shared" si="2"/>
        <v>1.4785599999999999</v>
      </c>
      <c r="H15" s="25">
        <f t="shared" si="2"/>
        <v>0.2228</v>
      </c>
      <c r="I15" s="25">
        <f t="shared" si="2"/>
        <v>2.1169599999999997</v>
      </c>
      <c r="J15" s="25">
        <f t="shared" si="2"/>
        <v>1.20136</v>
      </c>
      <c r="K15" s="25">
        <f t="shared" si="2"/>
        <v>1.4632000000000001</v>
      </c>
      <c r="L15" s="25">
        <f t="shared" si="2"/>
        <v>0.56984000000000001</v>
      </c>
      <c r="M15" s="25">
        <f t="shared" si="2"/>
        <v>1.0402400000000001</v>
      </c>
      <c r="N15" s="25">
        <f t="shared" si="2"/>
        <v>1.91144</v>
      </c>
      <c r="O15" s="25">
        <f t="shared" si="2"/>
        <v>0.51415999999999995</v>
      </c>
      <c r="P15" s="25">
        <f t="shared" si="2"/>
        <v>1.37544</v>
      </c>
      <c r="Q15" s="25">
        <f t="shared" si="2"/>
        <v>1.63832</v>
      </c>
      <c r="R15" s="25">
        <f t="shared" si="2"/>
        <v>0.38360000000000005</v>
      </c>
      <c r="S15" s="25">
        <f t="shared" si="2"/>
        <v>1.18472</v>
      </c>
      <c r="T15" s="25">
        <f t="shared" si="2"/>
        <v>1.3371200000000001</v>
      </c>
      <c r="U15" s="25">
        <f t="shared" si="2"/>
        <v>1.8748</v>
      </c>
      <c r="V15" s="25">
        <f t="shared" si="2"/>
        <v>0.58472000000000002</v>
      </c>
      <c r="W15" s="25">
        <f t="shared" si="2"/>
        <v>0.65359999999999996</v>
      </c>
      <c r="X15" s="25">
        <f t="shared" si="2"/>
        <v>2.5650399999999998</v>
      </c>
      <c r="Y15" s="25">
        <f t="shared" si="2"/>
        <v>1.0029600000000001</v>
      </c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0.44266666666666665</v>
      </c>
      <c r="G16" s="25">
        <f t="shared" si="2"/>
        <v>0.17966666666666664</v>
      </c>
      <c r="H16" s="25">
        <f t="shared" si="2"/>
        <v>0.14373333333333338</v>
      </c>
      <c r="I16" s="25">
        <f t="shared" si="2"/>
        <v>0.47233333333333338</v>
      </c>
      <c r="J16" s="25">
        <f t="shared" si="2"/>
        <v>1.1253333333333333</v>
      </c>
      <c r="K16" s="25">
        <f t="shared" si="2"/>
        <v>0.45966666666666667</v>
      </c>
      <c r="L16" s="25">
        <f t="shared" si="2"/>
        <v>0.53333333333333333</v>
      </c>
      <c r="M16" s="25">
        <f t="shared" si="2"/>
        <v>0.85199999999999998</v>
      </c>
      <c r="N16" s="25">
        <f t="shared" si="2"/>
        <v>0.31299999999999994</v>
      </c>
      <c r="O16" s="25">
        <f t="shared" si="2"/>
        <v>0.17966666666666664</v>
      </c>
      <c r="P16" s="25">
        <f t="shared" si="2"/>
        <v>0.75566666666666671</v>
      </c>
      <c r="Q16" s="25">
        <f t="shared" si="2"/>
        <v>0.27966666666666662</v>
      </c>
      <c r="R16" s="25">
        <f t="shared" si="2"/>
        <v>0</v>
      </c>
      <c r="S16" s="25">
        <f t="shared" si="2"/>
        <v>0.82273333333333332</v>
      </c>
      <c r="T16" s="25">
        <f t="shared" si="2"/>
        <v>0.47966666666666669</v>
      </c>
      <c r="U16" s="25">
        <f t="shared" si="2"/>
        <v>0.31966666666666665</v>
      </c>
      <c r="V16" s="25">
        <f t="shared" si="2"/>
        <v>0.6356666666666666</v>
      </c>
      <c r="W16" s="25">
        <f t="shared" si="2"/>
        <v>0.97433333333333338</v>
      </c>
      <c r="X16" s="25">
        <f t="shared" si="2"/>
        <v>0.71866666666666668</v>
      </c>
      <c r="Y16" s="25">
        <f t="shared" si="2"/>
        <v>2.1043333333333334</v>
      </c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0.55081081081081074</v>
      </c>
      <c r="G17" s="25">
        <f t="shared" si="2"/>
        <v>0</v>
      </c>
      <c r="H17" s="25">
        <f t="shared" si="2"/>
        <v>1.4578378378378378</v>
      </c>
      <c r="I17" s="25">
        <f t="shared" si="2"/>
        <v>0.39945945945945949</v>
      </c>
      <c r="J17" s="25">
        <f t="shared" si="2"/>
        <v>1.5010810810810811</v>
      </c>
      <c r="K17" s="25">
        <f t="shared" si="2"/>
        <v>1.6956756756756757</v>
      </c>
      <c r="L17" s="25">
        <f t="shared" si="2"/>
        <v>1.0572972972972974</v>
      </c>
      <c r="M17" s="25">
        <f t="shared" si="2"/>
        <v>1.0913513513513513</v>
      </c>
      <c r="N17" s="25">
        <f t="shared" si="2"/>
        <v>0.58270270270270275</v>
      </c>
      <c r="O17" s="25">
        <f t="shared" si="2"/>
        <v>1.3594594594594596</v>
      </c>
      <c r="P17" s="25">
        <f t="shared" si="2"/>
        <v>1.890162162162162</v>
      </c>
      <c r="Q17" s="25">
        <f t="shared" si="2"/>
        <v>0.58270270270270275</v>
      </c>
      <c r="R17" s="25">
        <f t="shared" si="2"/>
        <v>0.68054054054054047</v>
      </c>
      <c r="S17" s="25">
        <f t="shared" si="2"/>
        <v>1.2967567567567568</v>
      </c>
      <c r="T17" s="25">
        <f t="shared" si="2"/>
        <v>0.16216216216216217</v>
      </c>
      <c r="U17" s="25">
        <f t="shared" si="2"/>
        <v>1.6521081081081084</v>
      </c>
      <c r="V17" s="25">
        <f t="shared" si="2"/>
        <v>2.0297297297297296</v>
      </c>
      <c r="W17" s="25">
        <f t="shared" si="2"/>
        <v>0.90810810810810816</v>
      </c>
      <c r="X17" s="25">
        <f t="shared" si="2"/>
        <v>1.1443243243243244</v>
      </c>
      <c r="Y17" s="25">
        <f t="shared" si="2"/>
        <v>1.2708108108108109</v>
      </c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1.0086363636363636</v>
      </c>
      <c r="G18" s="27">
        <f t="shared" si="2"/>
        <v>0.6142727272727273</v>
      </c>
      <c r="H18" s="27">
        <f t="shared" si="2"/>
        <v>1.054090909090909</v>
      </c>
      <c r="I18" s="27">
        <f t="shared" si="2"/>
        <v>0.65227272727272734</v>
      </c>
      <c r="J18" s="27">
        <f t="shared" si="2"/>
        <v>1.0053636363636362</v>
      </c>
      <c r="K18" s="27">
        <f t="shared" si="2"/>
        <v>1.1183636363636362</v>
      </c>
      <c r="L18" s="27">
        <f t="shared" si="2"/>
        <v>0.80472727272727262</v>
      </c>
      <c r="M18" s="27">
        <f t="shared" si="2"/>
        <v>0.70654545454545459</v>
      </c>
      <c r="N18" s="27">
        <f t="shared" si="2"/>
        <v>0.7445454545454544</v>
      </c>
      <c r="O18" s="27">
        <f t="shared" si="2"/>
        <v>2.8269090909090906</v>
      </c>
      <c r="P18" s="27">
        <f t="shared" si="2"/>
        <v>1.5776363636363635</v>
      </c>
      <c r="Q18" s="27">
        <f t="shared" si="2"/>
        <v>1.4077272727272727</v>
      </c>
      <c r="R18" s="27">
        <f t="shared" si="2"/>
        <v>1.2359090909090908</v>
      </c>
      <c r="S18" s="27">
        <f t="shared" si="2"/>
        <v>2.7089090909090903</v>
      </c>
      <c r="T18" s="27">
        <f t="shared" si="2"/>
        <v>2.1896363636363638</v>
      </c>
      <c r="U18" s="27">
        <f t="shared" si="2"/>
        <v>0.44154545454545457</v>
      </c>
      <c r="V18" s="27">
        <f t="shared" si="2"/>
        <v>1.8971818181818181</v>
      </c>
      <c r="W18" s="27">
        <f t="shared" si="2"/>
        <v>0.66709090909090907</v>
      </c>
      <c r="X18" s="27">
        <f t="shared" si="2"/>
        <v>2.2189999999999994</v>
      </c>
      <c r="Y18" s="27">
        <f t="shared" si="2"/>
        <v>0.90681818181818175</v>
      </c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0.73402580525387551</v>
      </c>
      <c r="G19" s="25">
        <f t="shared" si="2"/>
        <v>0.5988764503852223</v>
      </c>
      <c r="H19" s="25">
        <f t="shared" si="2"/>
        <v>0.67006961849067115</v>
      </c>
      <c r="I19" s="25">
        <f t="shared" si="2"/>
        <v>0.90298895386614686</v>
      </c>
      <c r="J19" s="25">
        <f>(J10-$C10)/$C10+1</f>
        <v>1.1608699526594262</v>
      </c>
      <c r="K19" s="25">
        <f>(K10-$C10)/$C10+1</f>
        <v>1.1041823076209041</v>
      </c>
      <c r="L19" s="25">
        <f>(L10-$C10)/$C10+1</f>
        <v>0.71367826974844517</v>
      </c>
      <c r="M19" s="25">
        <f t="shared" si="2"/>
        <v>0.88396138494384113</v>
      </c>
      <c r="N19" s="25">
        <f t="shared" si="2"/>
        <v>0.87014944769330738</v>
      </c>
      <c r="O19" s="25">
        <f t="shared" si="2"/>
        <v>1.3262218509236052</v>
      </c>
      <c r="P19" s="25">
        <f t="shared" si="2"/>
        <v>1.3501190012067206</v>
      </c>
      <c r="Q19" s="25">
        <f t="shared" si="2"/>
        <v>1.0195934280144805</v>
      </c>
      <c r="R19" s="25">
        <f t="shared" si="2"/>
        <v>0.60811844425879513</v>
      </c>
      <c r="S19" s="25">
        <f>(S10-$C10)/$C10+1</f>
        <v>1.6116999907175344</v>
      </c>
      <c r="T19" s="25">
        <f>(T10-$C10)/$C10+1</f>
        <v>1.202265664160401</v>
      </c>
      <c r="U19" s="25">
        <f>(U10-$C10)/$C10+1</f>
        <v>0.92730492898913952</v>
      </c>
      <c r="V19" s="25">
        <f>(V10-$C10)/$C10+1</f>
        <v>1.2617963427086234</v>
      </c>
      <c r="W19" s="25">
        <f>(W10-$C10)/$C10+1</f>
        <v>0.78676914508493456</v>
      </c>
      <c r="X19" s="25">
        <f t="shared" si="2"/>
        <v>1.715404437018472</v>
      </c>
      <c r="Y19" s="25">
        <f t="shared" si="2"/>
        <v>1.3188619697391628</v>
      </c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44" t="s">
        <v>39</v>
      </c>
      <c r="AA21" s="50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45" t="s">
        <v>40</v>
      </c>
      <c r="AA22" s="51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29637</v>
      </c>
      <c r="G23" s="23">
        <v>42174</v>
      </c>
      <c r="H23" s="23">
        <v>44959</v>
      </c>
      <c r="I23" s="23">
        <v>71421</v>
      </c>
      <c r="J23" s="23">
        <v>86438</v>
      </c>
      <c r="K23" s="23">
        <v>104728</v>
      </c>
      <c r="L23" s="23">
        <v>111851</v>
      </c>
      <c r="M23" s="23">
        <v>124854</v>
      </c>
      <c r="N23" s="23">
        <v>148747</v>
      </c>
      <c r="O23" s="23">
        <v>155174</v>
      </c>
      <c r="P23" s="23">
        <v>172367</v>
      </c>
      <c r="Q23" s="23">
        <v>192846</v>
      </c>
      <c r="R23" s="23">
        <v>197641</v>
      </c>
      <c r="S23" s="23">
        <v>212450</v>
      </c>
      <c r="T23" s="23">
        <v>229164</v>
      </c>
      <c r="U23" s="60">
        <v>252599</v>
      </c>
      <c r="V23" s="60">
        <v>259908</v>
      </c>
      <c r="W23" s="60">
        <v>265383</v>
      </c>
      <c r="X23" s="60">
        <v>294661</v>
      </c>
      <c r="Y23" s="60">
        <v>300385</v>
      </c>
      <c r="Z23" s="46">
        <f>+Y23/C40</f>
        <v>1.2015400000000001</v>
      </c>
      <c r="AA23" s="61">
        <f>+Z23-Y21</f>
        <v>0.20154000000000005</v>
      </c>
      <c r="AX23"/>
    </row>
    <row r="24" spans="2:50">
      <c r="B24" s="4" t="str">
        <f>+B16</f>
        <v>Boston</v>
      </c>
      <c r="C24" s="4"/>
      <c r="D24" s="4"/>
      <c r="E24" s="23"/>
      <c r="F24" s="34">
        <v>6640</v>
      </c>
      <c r="G24" s="34">
        <v>9335</v>
      </c>
      <c r="H24" s="34">
        <v>18936</v>
      </c>
      <c r="I24" s="34">
        <v>26021</v>
      </c>
      <c r="J24" s="34">
        <v>42881</v>
      </c>
      <c r="K24" s="34">
        <v>49776</v>
      </c>
      <c r="L24" s="34">
        <v>57776</v>
      </c>
      <c r="M24" s="34">
        <v>70556</v>
      </c>
      <c r="N24" s="34">
        <v>72556</v>
      </c>
      <c r="O24" s="34">
        <v>75251</v>
      </c>
      <c r="P24" s="23">
        <v>86586</v>
      </c>
      <c r="Q24" s="23">
        <v>90781</v>
      </c>
      <c r="R24" s="23">
        <v>90781</v>
      </c>
      <c r="S24" s="23">
        <v>103122</v>
      </c>
      <c r="T24" s="23">
        <v>107622</v>
      </c>
      <c r="U24" s="23">
        <v>112417</v>
      </c>
      <c r="V24" s="23">
        <v>123947</v>
      </c>
      <c r="W24" s="23">
        <v>133867</v>
      </c>
      <c r="X24" s="23">
        <v>144647</v>
      </c>
      <c r="Y24" s="23">
        <v>156453</v>
      </c>
      <c r="Z24" s="46">
        <f>Y24/C41</f>
        <v>0.52151000000000003</v>
      </c>
      <c r="AA24" s="54">
        <f>+Z24-Y21</f>
        <v>-0.47848999999999997</v>
      </c>
      <c r="AX24"/>
    </row>
    <row r="25" spans="2:50" s="4" customFormat="1" ht="12.75">
      <c r="B25" s="4" t="str">
        <f>+B17</f>
        <v>Canada</v>
      </c>
      <c r="E25" s="23"/>
      <c r="F25" s="34">
        <f>12880*0.9</f>
        <v>11592</v>
      </c>
      <c r="G25" s="34">
        <f>12880*0.9</f>
        <v>11592</v>
      </c>
      <c r="H25" s="34">
        <f>26365*0.9</f>
        <v>23728.5</v>
      </c>
      <c r="I25" s="34">
        <f>29060*0.9</f>
        <v>26154</v>
      </c>
      <c r="J25" s="34">
        <f>42945*0.9</f>
        <v>38650.5</v>
      </c>
      <c r="K25" s="34">
        <f>58630*0.9</f>
        <v>52767</v>
      </c>
      <c r="L25" s="34">
        <f>68410*0.9</f>
        <v>61569</v>
      </c>
      <c r="M25" s="34">
        <f>78505*0.9</f>
        <v>70654.5</v>
      </c>
      <c r="N25" s="34">
        <f>83895*0.9</f>
        <v>75505.5</v>
      </c>
      <c r="O25" s="68">
        <f>96470*0.9</f>
        <v>86823</v>
      </c>
      <c r="P25" s="34">
        <f>114320*0.9</f>
        <v>102888</v>
      </c>
      <c r="Q25" s="34">
        <f>117710*0.9</f>
        <v>105939</v>
      </c>
      <c r="R25" s="34">
        <f>126005*0.9</f>
        <v>113404.5</v>
      </c>
      <c r="S25" s="34">
        <f>138000*0.9</f>
        <v>124200</v>
      </c>
      <c r="T25" s="34">
        <f>139500*0.9</f>
        <v>125550</v>
      </c>
      <c r="U25" s="34">
        <f>154782*0.9</f>
        <v>139303.80000000002</v>
      </c>
      <c r="V25" s="34">
        <f>168762*0.9</f>
        <v>151885.80000000002</v>
      </c>
      <c r="W25" s="34">
        <f>177162*0.9</f>
        <v>159445.80000000002</v>
      </c>
      <c r="X25" s="74">
        <f>186252*0.9</f>
        <v>167626.80000000002</v>
      </c>
      <c r="Y25" s="74">
        <v>179000</v>
      </c>
      <c r="Z25" s="46">
        <f>Y25/C42</f>
        <v>1.075075075075075</v>
      </c>
      <c r="AA25" s="62">
        <f>+Z25-Y21</f>
        <v>7.5075075075075048E-2</v>
      </c>
    </row>
    <row r="26" spans="2:50">
      <c r="B26" s="5" t="str">
        <f>+B18</f>
        <v>Norwich</v>
      </c>
      <c r="C26" s="19"/>
      <c r="D26" s="19"/>
      <c r="E26" s="35"/>
      <c r="F26" s="35">
        <f>34632*1.64</f>
        <v>56796.479999999996</v>
      </c>
      <c r="G26" s="35">
        <f>41388*1.64</f>
        <v>67876.319999999992</v>
      </c>
      <c r="H26" s="35">
        <f>71963*1.64</f>
        <v>118019.31999999999</v>
      </c>
      <c r="I26" s="35">
        <f>79138*1.64</f>
        <v>129786.31999999999</v>
      </c>
      <c r="J26" s="36">
        <f>91441*1.64</f>
        <v>149963.24</v>
      </c>
      <c r="K26" s="36">
        <f>103237*1.64</f>
        <v>169308.68</v>
      </c>
      <c r="L26" s="35">
        <f>108053*1.64</f>
        <v>177206.91999999998</v>
      </c>
      <c r="M26" s="35">
        <f>113456*1.64</f>
        <v>186067.84</v>
      </c>
      <c r="N26" s="35">
        <f>120982*1.64</f>
        <v>198410.47999999998</v>
      </c>
      <c r="O26" s="36">
        <f>150834*1.64</f>
        <v>247367.75999999998</v>
      </c>
      <c r="P26" s="35">
        <f>165819*1.64</f>
        <v>271943.15999999997</v>
      </c>
      <c r="Q26" s="35">
        <f>174447*1.64</f>
        <v>286093.07999999996</v>
      </c>
      <c r="R26" s="35">
        <f>184840*1.64</f>
        <v>303137.59999999998</v>
      </c>
      <c r="S26" s="35">
        <f>212000*1.64</f>
        <v>347680</v>
      </c>
      <c r="T26" s="57">
        <f>232236*1.64</f>
        <v>380867.04</v>
      </c>
      <c r="U26" s="59">
        <f>235849*1.64</f>
        <v>386792.36</v>
      </c>
      <c r="V26" s="56">
        <f>243777*1.64</f>
        <v>399794.27999999997</v>
      </c>
      <c r="W26" s="56">
        <f>250515*1.64</f>
        <v>410844.6</v>
      </c>
      <c r="X26" s="56">
        <f>254449*1.64</f>
        <v>417296.36</v>
      </c>
      <c r="Y26" s="56">
        <f>(258262)*1.64</f>
        <v>423549.68</v>
      </c>
      <c r="Z26" s="47">
        <f>Y26/C43</f>
        <v>1.1739181818181819</v>
      </c>
      <c r="AA26" s="62">
        <f>+Z26-Y21</f>
        <v>0.17391818181818186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104665.48</v>
      </c>
      <c r="G27" s="10">
        <f t="shared" ref="G27:Y27" si="5">SUM(G23:G26)</f>
        <v>130977.31999999999</v>
      </c>
      <c r="H27" s="4">
        <f t="shared" si="5"/>
        <v>205642.82</v>
      </c>
      <c r="I27" s="4">
        <f t="shared" si="5"/>
        <v>253382.32</v>
      </c>
      <c r="J27" s="4">
        <f t="shared" si="5"/>
        <v>317932.74</v>
      </c>
      <c r="K27" s="4">
        <f t="shared" si="5"/>
        <v>376579.68</v>
      </c>
      <c r="L27" s="10">
        <f t="shared" si="5"/>
        <v>408402.92</v>
      </c>
      <c r="M27" s="10">
        <f t="shared" si="5"/>
        <v>452132.33999999997</v>
      </c>
      <c r="N27" s="10">
        <f t="shared" si="5"/>
        <v>495218.98</v>
      </c>
      <c r="O27" s="4">
        <f>SUM(O23:O26)</f>
        <v>564615.76</v>
      </c>
      <c r="P27" s="10">
        <f t="shared" si="5"/>
        <v>633784.15999999992</v>
      </c>
      <c r="Q27" s="10">
        <f t="shared" si="5"/>
        <v>675659.08</v>
      </c>
      <c r="R27" s="10">
        <f t="shared" si="5"/>
        <v>704964.1</v>
      </c>
      <c r="S27" s="10">
        <f t="shared" si="5"/>
        <v>787452</v>
      </c>
      <c r="T27" s="4">
        <f t="shared" si="5"/>
        <v>843203.04</v>
      </c>
      <c r="U27" s="10">
        <f t="shared" si="5"/>
        <v>891112.16</v>
      </c>
      <c r="V27" s="10">
        <f t="shared" si="5"/>
        <v>935535.08000000007</v>
      </c>
      <c r="W27" s="10">
        <f t="shared" si="5"/>
        <v>969540.4</v>
      </c>
      <c r="X27" s="10">
        <f t="shared" si="5"/>
        <v>1024231.16</v>
      </c>
      <c r="Y27" s="10">
        <f t="shared" si="5"/>
        <v>1059387.68</v>
      </c>
      <c r="Z27" s="47">
        <f>Y27/C44</f>
        <v>0.98337295089575782</v>
      </c>
      <c r="AA27" s="84">
        <f>+Z27-Y21</f>
        <v>-1.6627049104242175E-2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9.7155369906247097E-2</v>
      </c>
      <c r="G28" s="30">
        <f t="shared" si="6"/>
        <v>0.12157924440731457</v>
      </c>
      <c r="H28" s="30">
        <f t="shared" si="6"/>
        <v>0.19088723661004364</v>
      </c>
      <c r="I28" s="30">
        <f t="shared" si="6"/>
        <v>0.23520126241529751</v>
      </c>
      <c r="J28" s="30">
        <f t="shared" si="6"/>
        <v>0.29511996658312445</v>
      </c>
      <c r="K28" s="30">
        <f t="shared" si="6"/>
        <v>0.34955878585352268</v>
      </c>
      <c r="L28" s="30">
        <f t="shared" si="6"/>
        <v>0.37909859834772114</v>
      </c>
      <c r="M28" s="30">
        <f t="shared" si="6"/>
        <v>0.41969028125870228</v>
      </c>
      <c r="N28" s="30">
        <f t="shared" si="6"/>
        <v>0.45968530585723566</v>
      </c>
      <c r="O28" s="30">
        <f>+O27/$C$44</f>
        <v>0.5241026269377147</v>
      </c>
      <c r="P28" s="30">
        <f t="shared" ref="P28:Y28" si="7">+P27/$C$44</f>
        <v>0.58830795507286726</v>
      </c>
      <c r="Q28" s="30">
        <f t="shared" si="7"/>
        <v>0.62717820477118724</v>
      </c>
      <c r="R28" s="30">
        <f t="shared" si="7"/>
        <v>0.65438048825768125</v>
      </c>
      <c r="S28" s="30">
        <f t="shared" si="7"/>
        <v>0.73094959621275413</v>
      </c>
      <c r="T28" s="30">
        <f t="shared" si="7"/>
        <v>0.78270030632135901</v>
      </c>
      <c r="U28" s="30">
        <f t="shared" si="7"/>
        <v>0.82717178130511471</v>
      </c>
      <c r="V28" s="30">
        <f t="shared" si="7"/>
        <v>0.86840720319316822</v>
      </c>
      <c r="W28" s="30">
        <f t="shared" si="7"/>
        <v>0.8999725239023485</v>
      </c>
      <c r="X28" s="30">
        <f t="shared" si="7"/>
        <v>0.95073903276710292</v>
      </c>
      <c r="Y28" s="30">
        <f t="shared" si="7"/>
        <v>0.98337295089575782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2.3709600000000002</v>
      </c>
      <c r="G32" s="17">
        <f t="shared" si="9"/>
        <v>1.68696</v>
      </c>
      <c r="H32" s="17">
        <f t="shared" si="9"/>
        <v>1.1989066666666668</v>
      </c>
      <c r="I32" s="17">
        <f t="shared" si="9"/>
        <v>1.42842</v>
      </c>
      <c r="J32" s="17">
        <f t="shared" si="9"/>
        <v>1.383008</v>
      </c>
      <c r="K32" s="17">
        <f t="shared" si="9"/>
        <v>1.3963733333333335</v>
      </c>
      <c r="L32" s="17">
        <f t="shared" si="9"/>
        <v>1.278297142857143</v>
      </c>
      <c r="M32" s="17">
        <f t="shared" si="9"/>
        <v>1.24854</v>
      </c>
      <c r="N32" s="17">
        <f t="shared" si="9"/>
        <v>1.3221955555555556</v>
      </c>
      <c r="O32" s="17">
        <f t="shared" si="9"/>
        <v>1.2413920000000001</v>
      </c>
      <c r="P32" s="17">
        <f t="shared" si="9"/>
        <v>1.2535781818181817</v>
      </c>
      <c r="Q32" s="17">
        <f t="shared" si="9"/>
        <v>1.2856399999999999</v>
      </c>
      <c r="R32" s="17">
        <f t="shared" si="9"/>
        <v>1.2162523076923077</v>
      </c>
      <c r="S32" s="17">
        <f t="shared" si="9"/>
        <v>1.214</v>
      </c>
      <c r="T32" s="17">
        <f t="shared" si="9"/>
        <v>1.222208</v>
      </c>
      <c r="U32" s="17">
        <f t="shared" si="9"/>
        <v>1.2629950000000001</v>
      </c>
      <c r="V32" s="17">
        <f t="shared" si="9"/>
        <v>1.2230964705882352</v>
      </c>
      <c r="W32" s="17">
        <f t="shared" si="9"/>
        <v>1.1794800000000001</v>
      </c>
      <c r="X32" s="17">
        <f t="shared" si="9"/>
        <v>1.2406778947368422</v>
      </c>
      <c r="Y32" s="17">
        <f t="shared" si="9"/>
        <v>1.2015400000000001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0.44266666666666665</v>
      </c>
      <c r="G33" s="17">
        <f t="shared" si="10"/>
        <v>0.31116666666666665</v>
      </c>
      <c r="H33" s="17">
        <f t="shared" si="10"/>
        <v>0.42080000000000001</v>
      </c>
      <c r="I33" s="17">
        <f t="shared" si="10"/>
        <v>0.43368333333333331</v>
      </c>
      <c r="J33" s="17">
        <f t="shared" si="10"/>
        <v>0.57174666666666663</v>
      </c>
      <c r="K33" s="17">
        <f t="shared" si="10"/>
        <v>0.55306666666666671</v>
      </c>
      <c r="L33" s="17">
        <f t="shared" si="10"/>
        <v>0.5502476190476191</v>
      </c>
      <c r="M33" s="17">
        <f t="shared" si="10"/>
        <v>0.58796666666666664</v>
      </c>
      <c r="N33" s="17">
        <f t="shared" si="10"/>
        <v>0.53745185185185185</v>
      </c>
      <c r="O33" s="17">
        <f t="shared" si="10"/>
        <v>0.5016733333333333</v>
      </c>
      <c r="P33" s="17">
        <f t="shared" si="10"/>
        <v>0.52476363636363632</v>
      </c>
      <c r="Q33" s="17">
        <f t="shared" si="10"/>
        <v>0.50433888888888889</v>
      </c>
      <c r="R33" s="17">
        <f t="shared" si="10"/>
        <v>0.46554358974358967</v>
      </c>
      <c r="S33" s="17">
        <f t="shared" si="10"/>
        <v>0.49105714285714291</v>
      </c>
      <c r="T33" s="17">
        <f t="shared" si="10"/>
        <v>0.47832000000000002</v>
      </c>
      <c r="U33" s="17">
        <f t="shared" si="10"/>
        <v>0.46840416666666668</v>
      </c>
      <c r="V33" s="17">
        <f t="shared" si="10"/>
        <v>0.48606666666666665</v>
      </c>
      <c r="W33" s="17">
        <f t="shared" si="10"/>
        <v>0.49580370370370375</v>
      </c>
      <c r="X33" s="17">
        <f t="shared" si="10"/>
        <v>0.50753333333333328</v>
      </c>
      <c r="Y33" s="17">
        <f t="shared" si="10"/>
        <v>0.52151000000000003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1.3924324324324324</v>
      </c>
      <c r="G34" s="17">
        <f t="shared" si="11"/>
        <v>0.69621621621621621</v>
      </c>
      <c r="H34" s="17">
        <f t="shared" si="11"/>
        <v>0.95009009009009004</v>
      </c>
      <c r="I34" s="17">
        <f t="shared" si="11"/>
        <v>0.78540540540540538</v>
      </c>
      <c r="J34" s="17">
        <f t="shared" si="11"/>
        <v>0.92854054054054058</v>
      </c>
      <c r="K34" s="17">
        <f t="shared" si="11"/>
        <v>1.0563963963963965</v>
      </c>
      <c r="L34" s="17">
        <f t="shared" si="11"/>
        <v>1.0565250965250965</v>
      </c>
      <c r="M34" s="17">
        <f t="shared" si="11"/>
        <v>1.0608783783783784</v>
      </c>
      <c r="N34" s="17">
        <f t="shared" si="11"/>
        <v>1.0077477477477477</v>
      </c>
      <c r="O34" s="17">
        <f t="shared" si="11"/>
        <v>1.042918918918919</v>
      </c>
      <c r="P34" s="17">
        <f t="shared" si="11"/>
        <v>1.1235380835380835</v>
      </c>
      <c r="Q34" s="17">
        <f t="shared" si="11"/>
        <v>1.0604504504504504</v>
      </c>
      <c r="R34" s="17">
        <f t="shared" si="11"/>
        <v>1.0478586278586277</v>
      </c>
      <c r="S34" s="17">
        <f t="shared" si="11"/>
        <v>1.0656370656370655</v>
      </c>
      <c r="T34" s="17">
        <f t="shared" si="11"/>
        <v>1.0054054054054054</v>
      </c>
      <c r="U34" s="17">
        <f t="shared" si="11"/>
        <v>1.0458243243243246</v>
      </c>
      <c r="V34" s="17">
        <f t="shared" si="11"/>
        <v>1.0732082670906202</v>
      </c>
      <c r="W34" s="17">
        <f t="shared" si="11"/>
        <v>1.0640360360360361</v>
      </c>
      <c r="X34" s="17">
        <f t="shared" si="11"/>
        <v>1.0597553342816501</v>
      </c>
      <c r="Y34" s="17">
        <f t="shared" si="11"/>
        <v>1.075075075075075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3.1483636363636358</v>
      </c>
      <c r="G35" s="18">
        <f t="shared" si="12"/>
        <v>1.8812727272727272</v>
      </c>
      <c r="H35" s="18">
        <f t="shared" si="12"/>
        <v>2.1806969696969696</v>
      </c>
      <c r="I35" s="18">
        <f t="shared" si="12"/>
        <v>1.7985909090909091</v>
      </c>
      <c r="J35" s="18">
        <f t="shared" si="12"/>
        <v>1.6625636363636362</v>
      </c>
      <c r="K35" s="18">
        <f t="shared" si="12"/>
        <v>1.5641969696969695</v>
      </c>
      <c r="L35" s="18">
        <f t="shared" si="12"/>
        <v>1.4032857142857142</v>
      </c>
      <c r="M35" s="18">
        <f t="shared" si="12"/>
        <v>1.2892727272727271</v>
      </c>
      <c r="N35" s="18">
        <f t="shared" si="12"/>
        <v>1.222040404040404</v>
      </c>
      <c r="O35" s="18">
        <f t="shared" si="12"/>
        <v>1.3712181818181817</v>
      </c>
      <c r="P35" s="18">
        <f t="shared" si="12"/>
        <v>1.3704049586776859</v>
      </c>
      <c r="Q35" s="18">
        <f t="shared" si="12"/>
        <v>1.3215681818181817</v>
      </c>
      <c r="R35" s="18">
        <f t="shared" si="12"/>
        <v>1.2925874125874126</v>
      </c>
      <c r="S35" s="18">
        <f t="shared" si="12"/>
        <v>1.3766233766233766</v>
      </c>
      <c r="T35" s="18">
        <f t="shared" si="12"/>
        <v>1.4074909090909089</v>
      </c>
      <c r="U35" s="18">
        <f t="shared" si="12"/>
        <v>1.3400511363636363</v>
      </c>
      <c r="V35" s="18">
        <f t="shared" si="12"/>
        <v>1.303620320855615</v>
      </c>
      <c r="W35" s="18">
        <f t="shared" si="12"/>
        <v>1.2652272727272726</v>
      </c>
      <c r="X35" s="18">
        <f t="shared" si="12"/>
        <v>1.2174593301435406</v>
      </c>
      <c r="Y35" s="18">
        <f t="shared" si="12"/>
        <v>1.1739181818181819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1.9431073981249418</v>
      </c>
      <c r="G36" s="17">
        <f t="shared" si="13"/>
        <v>1.2157924440731458</v>
      </c>
      <c r="H36" s="17">
        <f t="shared" si="13"/>
        <v>1.2725815774002909</v>
      </c>
      <c r="I36" s="17">
        <f t="shared" si="13"/>
        <v>1.1760063120764876</v>
      </c>
      <c r="J36" s="17">
        <f t="shared" si="13"/>
        <v>1.1804798663324978</v>
      </c>
      <c r="K36" s="17">
        <f t="shared" si="13"/>
        <v>1.1651959528450757</v>
      </c>
      <c r="L36" s="17">
        <f t="shared" si="13"/>
        <v>1.0831388524220604</v>
      </c>
      <c r="M36" s="17">
        <f t="shared" si="13"/>
        <v>1.0492257031467558</v>
      </c>
      <c r="N36" s="17">
        <f t="shared" si="13"/>
        <v>1.0215229019049683</v>
      </c>
      <c r="O36" s="17">
        <f t="shared" si="13"/>
        <v>1.0482052538754294</v>
      </c>
      <c r="P36" s="17">
        <f t="shared" si="13"/>
        <v>1.0696508274052134</v>
      </c>
      <c r="Q36" s="17">
        <f t="shared" si="13"/>
        <v>1.0452970079519786</v>
      </c>
      <c r="R36" s="17">
        <f t="shared" si="13"/>
        <v>1.0067392127041248</v>
      </c>
      <c r="S36" s="17">
        <f t="shared" si="13"/>
        <v>1.0442137088753631</v>
      </c>
      <c r="T36" s="17">
        <f t="shared" si="13"/>
        <v>1.0436004084284787</v>
      </c>
      <c r="U36" s="17">
        <f t="shared" si="13"/>
        <v>1.0339647266313932</v>
      </c>
      <c r="V36" s="17">
        <f t="shared" si="13"/>
        <v>1.0216555331684329</v>
      </c>
      <c r="W36" s="17">
        <f t="shared" si="13"/>
        <v>0.99996947100260936</v>
      </c>
      <c r="X36" s="17">
        <f t="shared" si="13"/>
        <v>1.0007779292285293</v>
      </c>
      <c r="Y36" s="17">
        <f t="shared" si="13"/>
        <v>0.98337295089575782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250000</v>
      </c>
      <c r="D40" s="4"/>
      <c r="E40" s="4"/>
      <c r="F40" s="10">
        <f t="shared" ref="F40:Y43" si="15">(F23)/F$1*$Y$1</f>
        <v>592740</v>
      </c>
      <c r="G40" s="10">
        <f t="shared" si="15"/>
        <v>421740</v>
      </c>
      <c r="H40" s="10">
        <f t="shared" si="15"/>
        <v>299726.66666666669</v>
      </c>
      <c r="I40" s="10">
        <f t="shared" si="15"/>
        <v>357105</v>
      </c>
      <c r="J40" s="10">
        <f t="shared" si="15"/>
        <v>345752</v>
      </c>
      <c r="K40" s="10">
        <f t="shared" si="15"/>
        <v>349093.33333333337</v>
      </c>
      <c r="L40" s="10">
        <f t="shared" si="15"/>
        <v>319574.28571428574</v>
      </c>
      <c r="M40" s="10">
        <f t="shared" si="15"/>
        <v>312135</v>
      </c>
      <c r="N40" s="10">
        <f t="shared" si="15"/>
        <v>330548.88888888888</v>
      </c>
      <c r="O40" s="10">
        <f t="shared" si="15"/>
        <v>310348</v>
      </c>
      <c r="P40" s="10">
        <f t="shared" si="15"/>
        <v>313394.54545454541</v>
      </c>
      <c r="Q40" s="10">
        <f t="shared" si="15"/>
        <v>321410</v>
      </c>
      <c r="R40" s="10">
        <f t="shared" si="15"/>
        <v>304063.07692307694</v>
      </c>
      <c r="S40" s="10">
        <f t="shared" si="15"/>
        <v>303500</v>
      </c>
      <c r="T40" s="10">
        <f t="shared" si="15"/>
        <v>305552</v>
      </c>
      <c r="U40" s="10">
        <f t="shared" si="15"/>
        <v>315748.75</v>
      </c>
      <c r="V40" s="10">
        <f t="shared" si="15"/>
        <v>305774.1176470588</v>
      </c>
      <c r="W40" s="10">
        <f t="shared" si="15"/>
        <v>294870</v>
      </c>
      <c r="X40" s="10">
        <f>(X23)/X$1*$Y$1</f>
        <v>310169.47368421056</v>
      </c>
      <c r="Y40" s="10">
        <f t="shared" si="15"/>
        <v>300385</v>
      </c>
      <c r="AX40"/>
    </row>
    <row r="41" spans="2:50">
      <c r="B41" s="4" t="s">
        <v>1</v>
      </c>
      <c r="C41" s="37">
        <v>300000</v>
      </c>
      <c r="D41" s="4"/>
      <c r="E41" s="4"/>
      <c r="F41" s="48">
        <f t="shared" si="15"/>
        <v>132800</v>
      </c>
      <c r="G41" s="48">
        <f t="shared" si="15"/>
        <v>93350</v>
      </c>
      <c r="H41" s="48">
        <f t="shared" si="15"/>
        <v>126240</v>
      </c>
      <c r="I41" s="48">
        <f t="shared" si="15"/>
        <v>130105</v>
      </c>
      <c r="J41" s="48">
        <f t="shared" si="15"/>
        <v>171524</v>
      </c>
      <c r="K41" s="48">
        <f t="shared" si="15"/>
        <v>165920</v>
      </c>
      <c r="L41" s="48">
        <f t="shared" si="15"/>
        <v>165074.28571428574</v>
      </c>
      <c r="M41" s="48">
        <f t="shared" si="15"/>
        <v>176390</v>
      </c>
      <c r="N41" s="48">
        <f t="shared" si="15"/>
        <v>161235.55555555556</v>
      </c>
      <c r="O41" s="48">
        <f t="shared" si="15"/>
        <v>150502</v>
      </c>
      <c r="P41" s="48">
        <f t="shared" si="15"/>
        <v>157429.09090909091</v>
      </c>
      <c r="Q41" s="48">
        <f t="shared" si="15"/>
        <v>151301.66666666666</v>
      </c>
      <c r="R41" s="48">
        <f t="shared" si="15"/>
        <v>139663.07692307691</v>
      </c>
      <c r="S41" s="48">
        <f t="shared" si="15"/>
        <v>147317.14285714287</v>
      </c>
      <c r="T41" s="48">
        <f t="shared" si="15"/>
        <v>143496</v>
      </c>
      <c r="U41" s="48">
        <f t="shared" si="15"/>
        <v>140521.25</v>
      </c>
      <c r="V41" s="48">
        <f t="shared" si="15"/>
        <v>145820</v>
      </c>
      <c r="W41" s="48">
        <f t="shared" si="15"/>
        <v>148741.11111111112</v>
      </c>
      <c r="X41" s="48">
        <f t="shared" si="15"/>
        <v>152260</v>
      </c>
      <c r="Y41" s="48">
        <f t="shared" si="15"/>
        <v>156453</v>
      </c>
      <c r="AX41"/>
    </row>
    <row r="42" spans="2:50">
      <c r="B42" s="4" t="s">
        <v>2</v>
      </c>
      <c r="C42" s="37">
        <f>185000*0.9</f>
        <v>166500</v>
      </c>
      <c r="D42" s="4"/>
      <c r="E42" s="4"/>
      <c r="F42" s="10">
        <f t="shared" si="15"/>
        <v>231840</v>
      </c>
      <c r="G42" s="48">
        <f t="shared" si="15"/>
        <v>115920</v>
      </c>
      <c r="H42" s="48">
        <f t="shared" si="15"/>
        <v>158190</v>
      </c>
      <c r="I42" s="48">
        <f t="shared" si="15"/>
        <v>130770</v>
      </c>
      <c r="J42" s="48">
        <f t="shared" si="15"/>
        <v>154602</v>
      </c>
      <c r="K42" s="10">
        <f t="shared" si="15"/>
        <v>175890</v>
      </c>
      <c r="L42" s="10">
        <f t="shared" si="15"/>
        <v>175911.42857142858</v>
      </c>
      <c r="M42" s="10">
        <f t="shared" si="15"/>
        <v>176636.25</v>
      </c>
      <c r="N42" s="10">
        <f t="shared" si="15"/>
        <v>167790</v>
      </c>
      <c r="O42" s="10">
        <f t="shared" si="15"/>
        <v>173646</v>
      </c>
      <c r="P42" s="10">
        <f t="shared" si="15"/>
        <v>187069.09090909091</v>
      </c>
      <c r="Q42" s="10">
        <f t="shared" si="15"/>
        <v>176565</v>
      </c>
      <c r="R42" s="10">
        <f t="shared" si="15"/>
        <v>174468.46153846153</v>
      </c>
      <c r="S42" s="10">
        <f t="shared" si="15"/>
        <v>177428.57142857142</v>
      </c>
      <c r="T42" s="10">
        <f t="shared" si="15"/>
        <v>167400</v>
      </c>
      <c r="U42" s="10">
        <f t="shared" si="15"/>
        <v>174129.75000000003</v>
      </c>
      <c r="V42" s="10">
        <f t="shared" si="15"/>
        <v>178689.17647058825</v>
      </c>
      <c r="W42" s="10">
        <f t="shared" si="15"/>
        <v>177162</v>
      </c>
      <c r="X42" s="10">
        <f t="shared" si="15"/>
        <v>176449.26315789475</v>
      </c>
      <c r="Y42" s="10">
        <f t="shared" si="15"/>
        <v>179000</v>
      </c>
    </row>
    <row r="43" spans="2:50">
      <c r="B43" s="4" t="s">
        <v>3</v>
      </c>
      <c r="C43" s="38">
        <f>220000*1.64</f>
        <v>360800</v>
      </c>
      <c r="D43" s="19"/>
      <c r="E43" s="19"/>
      <c r="F43" s="13">
        <f t="shared" si="15"/>
        <v>1135929.5999999999</v>
      </c>
      <c r="G43" s="13">
        <f t="shared" si="15"/>
        <v>678763.2</v>
      </c>
      <c r="H43" s="13">
        <f t="shared" si="15"/>
        <v>786795.46666666656</v>
      </c>
      <c r="I43" s="13">
        <f t="shared" si="15"/>
        <v>648931.6</v>
      </c>
      <c r="J43" s="13">
        <f t="shared" si="15"/>
        <v>599852.96</v>
      </c>
      <c r="K43" s="13">
        <f t="shared" si="15"/>
        <v>564362.2666666666</v>
      </c>
      <c r="L43" s="13">
        <f t="shared" si="15"/>
        <v>506305.48571428569</v>
      </c>
      <c r="M43" s="13">
        <f t="shared" si="15"/>
        <v>465169.6</v>
      </c>
      <c r="N43" s="13">
        <f t="shared" si="15"/>
        <v>440912.17777777778</v>
      </c>
      <c r="O43" s="13">
        <f t="shared" si="15"/>
        <v>494735.51999999996</v>
      </c>
      <c r="P43" s="13">
        <f t="shared" si="15"/>
        <v>494442.10909090907</v>
      </c>
      <c r="Q43" s="13">
        <f t="shared" si="15"/>
        <v>476821.79999999993</v>
      </c>
      <c r="R43" s="13">
        <f t="shared" si="15"/>
        <v>466365.53846153844</v>
      </c>
      <c r="S43" s="13">
        <f t="shared" si="15"/>
        <v>496685.71428571426</v>
      </c>
      <c r="T43" s="13">
        <f t="shared" si="15"/>
        <v>507822.72</v>
      </c>
      <c r="U43" s="13">
        <f t="shared" si="15"/>
        <v>483490.44999999995</v>
      </c>
      <c r="V43" s="13">
        <f t="shared" si="15"/>
        <v>470346.21176470589</v>
      </c>
      <c r="W43" s="13">
        <f t="shared" si="15"/>
        <v>456493.99999999994</v>
      </c>
      <c r="X43" s="13">
        <f>(X26)/X$1*$Y$1</f>
        <v>439259.32631578943</v>
      </c>
      <c r="Y43" s="13">
        <f t="shared" si="15"/>
        <v>423549.68</v>
      </c>
    </row>
    <row r="44" spans="2:50">
      <c r="B44" s="14" t="s">
        <v>27</v>
      </c>
      <c r="C44" s="39">
        <f>SUM(C40:C43)</f>
        <v>1077300</v>
      </c>
      <c r="D44" s="10">
        <f>SUM(D40:D43)</f>
        <v>0</v>
      </c>
      <c r="E44" s="10">
        <f>SUM(E40:E43)</f>
        <v>0</v>
      </c>
      <c r="F44" s="10">
        <f t="shared" ref="F44:Y44" si="16">SUM(F40:F43)</f>
        <v>2093309.5999999999</v>
      </c>
      <c r="G44" s="10">
        <f t="shared" si="16"/>
        <v>1309773.2</v>
      </c>
      <c r="H44" s="10">
        <f t="shared" si="16"/>
        <v>1370952.1333333333</v>
      </c>
      <c r="I44" s="10">
        <f t="shared" si="16"/>
        <v>1266911.6000000001</v>
      </c>
      <c r="J44" s="10">
        <f t="shared" si="16"/>
        <v>1271730.96</v>
      </c>
      <c r="K44" s="10">
        <f t="shared" si="16"/>
        <v>1255265.6000000001</v>
      </c>
      <c r="L44" s="10">
        <f t="shared" si="16"/>
        <v>1166865.4857142856</v>
      </c>
      <c r="M44" s="10">
        <f t="shared" si="16"/>
        <v>1130330.8500000001</v>
      </c>
      <c r="N44" s="10">
        <f t="shared" si="16"/>
        <v>1100486.6222222224</v>
      </c>
      <c r="O44" s="10">
        <f t="shared" si="16"/>
        <v>1129231.52</v>
      </c>
      <c r="P44" s="10">
        <f t="shared" si="16"/>
        <v>1152334.8363636364</v>
      </c>
      <c r="Q44" s="10">
        <f t="shared" si="16"/>
        <v>1126098.4666666666</v>
      </c>
      <c r="R44" s="10">
        <f t="shared" si="16"/>
        <v>1084560.1538461538</v>
      </c>
      <c r="S44" s="10">
        <f t="shared" si="16"/>
        <v>1124931.4285714286</v>
      </c>
      <c r="T44" s="10">
        <f t="shared" si="16"/>
        <v>1124270.72</v>
      </c>
      <c r="U44" s="10">
        <f t="shared" si="16"/>
        <v>1113890.2</v>
      </c>
      <c r="V44" s="10">
        <f t="shared" si="16"/>
        <v>1100629.5058823528</v>
      </c>
      <c r="W44" s="10">
        <f t="shared" si="16"/>
        <v>1077267.111111111</v>
      </c>
      <c r="X44" s="10">
        <f t="shared" si="16"/>
        <v>1078138.0631578946</v>
      </c>
      <c r="Y44" s="10">
        <f t="shared" si="16"/>
        <v>1059387.68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1:AX80"/>
  <sheetViews>
    <sheetView showGridLines="0" workbookViewId="0">
      <selection activeCell="C1" sqref="A1:C1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98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19000</v>
      </c>
      <c r="D6" s="10"/>
      <c r="E6" s="11">
        <v>40430</v>
      </c>
      <c r="F6" s="122">
        <v>14435</v>
      </c>
      <c r="G6" s="34">
        <v>18340</v>
      </c>
      <c r="H6" s="34">
        <v>8169</v>
      </c>
      <c r="I6" s="34">
        <v>12194</v>
      </c>
      <c r="J6" s="34">
        <v>30900</v>
      </c>
      <c r="K6" s="34">
        <v>18395</v>
      </c>
      <c r="L6" s="34">
        <v>21347</v>
      </c>
      <c r="M6" s="34">
        <v>9170</v>
      </c>
      <c r="N6" s="34">
        <v>11870</v>
      </c>
      <c r="O6" s="34">
        <v>11870</v>
      </c>
      <c r="P6" s="81">
        <v>0</v>
      </c>
      <c r="Q6" s="34">
        <v>11772</v>
      </c>
      <c r="R6" s="34">
        <v>19907</v>
      </c>
      <c r="S6" s="34">
        <v>20154</v>
      </c>
      <c r="T6" s="34">
        <v>25144</v>
      </c>
      <c r="U6" s="34">
        <v>11374</v>
      </c>
      <c r="V6" s="34">
        <v>17810</v>
      </c>
      <c r="W6" s="34">
        <v>11870</v>
      </c>
      <c r="X6" s="34">
        <v>13810</v>
      </c>
      <c r="Y6" s="34">
        <v>11925</v>
      </c>
      <c r="Z6" s="69">
        <f t="shared" ref="Z6:Z12" si="1">(SUM(F6:Y6)/(COUNT(F6:Y6)))</f>
        <v>15022.8</v>
      </c>
      <c r="AA6" s="103"/>
      <c r="AX6"/>
    </row>
    <row r="7" spans="1:50">
      <c r="B7" s="4" t="s">
        <v>64</v>
      </c>
      <c r="C7" s="20">
        <f t="shared" si="0"/>
        <v>9000</v>
      </c>
      <c r="D7" s="10"/>
      <c r="E7" s="11">
        <v>0</v>
      </c>
      <c r="F7" s="81">
        <v>0</v>
      </c>
      <c r="G7" s="34">
        <v>0</v>
      </c>
      <c r="H7" s="34">
        <v>2695</v>
      </c>
      <c r="I7" s="34">
        <v>0</v>
      </c>
      <c r="J7" s="34">
        <v>2290</v>
      </c>
      <c r="K7" s="34">
        <v>4000</v>
      </c>
      <c r="L7" s="34">
        <v>2695</v>
      </c>
      <c r="M7" s="34">
        <v>0</v>
      </c>
      <c r="N7" s="34">
        <v>0</v>
      </c>
      <c r="O7" s="34">
        <v>0</v>
      </c>
      <c r="P7" s="34">
        <v>0</v>
      </c>
      <c r="Q7" s="34">
        <v>5390</v>
      </c>
      <c r="R7" s="34">
        <v>0</v>
      </c>
      <c r="S7" s="34">
        <v>0</v>
      </c>
      <c r="T7" s="34">
        <v>0</v>
      </c>
      <c r="U7" s="34">
        <v>12600</v>
      </c>
      <c r="V7" s="34">
        <v>2695</v>
      </c>
      <c r="W7" s="34">
        <v>0</v>
      </c>
      <c r="X7" s="34">
        <v>0</v>
      </c>
      <c r="Y7" s="34">
        <v>8200</v>
      </c>
      <c r="Z7" s="69">
        <f t="shared" si="1"/>
        <v>2028.25</v>
      </c>
      <c r="AA7" s="103"/>
      <c r="AX7"/>
    </row>
    <row r="8" spans="1:50">
      <c r="B8" s="4" t="s">
        <v>77</v>
      </c>
      <c r="C8" s="20">
        <f t="shared" si="0"/>
        <v>9000</v>
      </c>
      <c r="D8" s="10"/>
      <c r="E8" s="11">
        <v>0</v>
      </c>
      <c r="F8" s="81">
        <v>0</v>
      </c>
      <c r="G8" s="34">
        <v>2500</v>
      </c>
      <c r="H8" s="34">
        <v>0</v>
      </c>
      <c r="I8" s="34">
        <v>0</v>
      </c>
      <c r="J8" s="34">
        <v>6180</v>
      </c>
      <c r="K8" s="34">
        <v>0</v>
      </c>
      <c r="L8" s="34">
        <v>0</v>
      </c>
      <c r="M8" s="34">
        <v>4795</v>
      </c>
      <c r="N8" s="34">
        <v>0</v>
      </c>
      <c r="O8" s="34">
        <v>0</v>
      </c>
      <c r="P8" s="34">
        <v>0</v>
      </c>
      <c r="Q8" s="34">
        <v>2695</v>
      </c>
      <c r="R8" s="34">
        <v>4990</v>
      </c>
      <c r="S8" s="34">
        <v>2695</v>
      </c>
      <c r="T8" s="34">
        <v>17440</v>
      </c>
      <c r="U8" s="34">
        <v>3500</v>
      </c>
      <c r="V8" s="34">
        <v>2425</v>
      </c>
      <c r="W8" s="34">
        <v>2695</v>
      </c>
      <c r="X8" s="34">
        <v>6070</v>
      </c>
      <c r="Y8" s="34">
        <v>2695</v>
      </c>
      <c r="Z8" s="69">
        <f t="shared" si="1"/>
        <v>2934</v>
      </c>
      <c r="AA8" s="103"/>
      <c r="AX8"/>
    </row>
    <row r="9" spans="1:50">
      <c r="B9" s="4" t="s">
        <v>1</v>
      </c>
      <c r="C9" s="20">
        <f t="shared" si="0"/>
        <v>16200</v>
      </c>
      <c r="D9" s="10"/>
      <c r="E9" s="11">
        <v>15665</v>
      </c>
      <c r="F9" s="81">
        <v>0</v>
      </c>
      <c r="G9" s="34">
        <v>12985</v>
      </c>
      <c r="H9" s="34">
        <v>30025</v>
      </c>
      <c r="I9" s="34">
        <v>31160</v>
      </c>
      <c r="J9" s="34">
        <v>14990</v>
      </c>
      <c r="K9" s="34">
        <v>17245</v>
      </c>
      <c r="L9" s="34">
        <v>8490</v>
      </c>
      <c r="M9" s="34">
        <v>12485</v>
      </c>
      <c r="N9" s="34">
        <v>6500</v>
      </c>
      <c r="O9" s="34">
        <v>13480</v>
      </c>
      <c r="P9" s="34">
        <v>5990</v>
      </c>
      <c r="Q9" s="34">
        <v>10240</v>
      </c>
      <c r="R9" s="34">
        <v>9990</v>
      </c>
      <c r="S9" s="34">
        <v>5995</v>
      </c>
      <c r="T9" s="34">
        <v>11380</v>
      </c>
      <c r="U9" s="34">
        <v>13925</v>
      </c>
      <c r="V9" s="34">
        <v>13390</v>
      </c>
      <c r="W9" s="34">
        <v>10990</v>
      </c>
      <c r="X9" s="34">
        <v>5995</v>
      </c>
      <c r="Y9" s="34">
        <v>16985</v>
      </c>
      <c r="Z9" s="69">
        <f t="shared" si="1"/>
        <v>12612</v>
      </c>
      <c r="AA9" s="103"/>
      <c r="AX9"/>
    </row>
    <row r="10" spans="1:50">
      <c r="B10" s="4" t="s">
        <v>2</v>
      </c>
      <c r="C10" s="20">
        <f t="shared" si="0"/>
        <v>9600</v>
      </c>
      <c r="D10" s="10"/>
      <c r="E10" s="11">
        <v>0</v>
      </c>
      <c r="F10" s="122">
        <v>1500</v>
      </c>
      <c r="G10" s="34">
        <v>2995</v>
      </c>
      <c r="H10" s="34">
        <v>9995</v>
      </c>
      <c r="I10" s="34">
        <v>11381</v>
      </c>
      <c r="J10" s="34">
        <v>4396</v>
      </c>
      <c r="K10" s="34">
        <v>4495</v>
      </c>
      <c r="L10" s="34">
        <v>5900</v>
      </c>
      <c r="M10" s="34">
        <v>11705</v>
      </c>
      <c r="N10" s="34">
        <v>8490</v>
      </c>
      <c r="O10" s="34">
        <v>4540</v>
      </c>
      <c r="P10" s="34">
        <v>1500</v>
      </c>
      <c r="Q10" s="34">
        <v>2396</v>
      </c>
      <c r="R10" s="34">
        <v>2995</v>
      </c>
      <c r="S10" s="34">
        <v>3495</v>
      </c>
      <c r="T10" s="34">
        <v>6995</v>
      </c>
      <c r="U10" s="34">
        <v>0</v>
      </c>
      <c r="V10" s="34">
        <v>1980</v>
      </c>
      <c r="W10" s="34">
        <v>0</v>
      </c>
      <c r="X10" s="34">
        <v>5995</v>
      </c>
      <c r="Y10" s="34">
        <v>5990</v>
      </c>
      <c r="Z10" s="69">
        <f t="shared" si="1"/>
        <v>4837.1499999999996</v>
      </c>
      <c r="AA10" s="103"/>
      <c r="AX10"/>
    </row>
    <row r="11" spans="1:50">
      <c r="B11" s="4" t="s">
        <v>99</v>
      </c>
      <c r="C11" s="20">
        <f t="shared" si="0"/>
        <v>5250</v>
      </c>
      <c r="D11" s="10"/>
      <c r="E11" s="11">
        <v>1923</v>
      </c>
      <c r="F11" s="122">
        <v>1923</v>
      </c>
      <c r="G11" s="34">
        <v>1923</v>
      </c>
      <c r="H11" s="34">
        <v>0</v>
      </c>
      <c r="I11" s="34">
        <v>0</v>
      </c>
      <c r="J11" s="34">
        <v>4490</v>
      </c>
      <c r="K11" s="34">
        <v>1000</v>
      </c>
      <c r="L11" s="34">
        <v>7763</v>
      </c>
      <c r="M11" s="34">
        <v>0</v>
      </c>
      <c r="N11" s="34">
        <v>3520</v>
      </c>
      <c r="O11" s="34">
        <v>0</v>
      </c>
      <c r="P11" s="34">
        <v>1450</v>
      </c>
      <c r="Q11" s="34">
        <v>3905</v>
      </c>
      <c r="R11" s="34">
        <v>4135</v>
      </c>
      <c r="S11" s="34">
        <v>0</v>
      </c>
      <c r="T11" s="34">
        <v>1731</v>
      </c>
      <c r="U11" s="34">
        <v>1388</v>
      </c>
      <c r="V11" s="34">
        <v>0</v>
      </c>
      <c r="W11" s="34">
        <v>4135</v>
      </c>
      <c r="X11" s="34">
        <v>0</v>
      </c>
      <c r="Y11" s="34">
        <v>0</v>
      </c>
      <c r="Z11" s="69">
        <f t="shared" si="1"/>
        <v>1868.15</v>
      </c>
      <c r="AA11" s="103"/>
      <c r="AX11"/>
    </row>
    <row r="12" spans="1:50">
      <c r="B12" s="4" t="s">
        <v>3</v>
      </c>
      <c r="C12" s="21">
        <f t="shared" si="0"/>
        <v>17250</v>
      </c>
      <c r="D12" s="13"/>
      <c r="E12" s="40">
        <v>13239</v>
      </c>
      <c r="F12" s="124">
        <v>20355</v>
      </c>
      <c r="G12" s="35">
        <v>15826</v>
      </c>
      <c r="H12" s="35">
        <v>19857</v>
      </c>
      <c r="I12" s="35">
        <v>17180</v>
      </c>
      <c r="J12" s="35">
        <v>14576</v>
      </c>
      <c r="K12" s="80">
        <v>0</v>
      </c>
      <c r="L12" s="80">
        <v>0</v>
      </c>
      <c r="M12" s="35">
        <v>32895</v>
      </c>
      <c r="N12" s="35">
        <v>5188</v>
      </c>
      <c r="O12" s="35">
        <v>11283</v>
      </c>
      <c r="P12" s="35">
        <v>9184</v>
      </c>
      <c r="Q12" s="35">
        <v>13723</v>
      </c>
      <c r="R12" s="35">
        <v>9438</v>
      </c>
      <c r="S12" s="35">
        <v>14764</v>
      </c>
      <c r="T12" s="35">
        <v>20875</v>
      </c>
      <c r="U12" s="35">
        <v>16444</v>
      </c>
      <c r="V12" s="35">
        <v>13192</v>
      </c>
      <c r="W12" s="35">
        <v>17592</v>
      </c>
      <c r="X12" s="35">
        <v>18422</v>
      </c>
      <c r="Y12" s="35">
        <v>24581</v>
      </c>
      <c r="Z12" s="69">
        <f t="shared" si="1"/>
        <v>14768.75</v>
      </c>
      <c r="AA12" s="103"/>
      <c r="AX12"/>
    </row>
    <row r="13" spans="1:50" ht="15.75" thickBot="1">
      <c r="B13" s="14" t="s">
        <v>27</v>
      </c>
      <c r="C13" s="20">
        <f>SUM(C6:C12)</f>
        <v>85300</v>
      </c>
      <c r="D13" s="10"/>
      <c r="E13" s="11">
        <f t="shared" ref="E13:Y13" si="2">SUM(E6:E12)</f>
        <v>71257</v>
      </c>
      <c r="F13" s="10">
        <f t="shared" si="2"/>
        <v>38213</v>
      </c>
      <c r="G13" s="10">
        <f t="shared" si="2"/>
        <v>54569</v>
      </c>
      <c r="H13" s="10">
        <f t="shared" si="2"/>
        <v>70741</v>
      </c>
      <c r="I13" s="10">
        <f t="shared" si="2"/>
        <v>71915</v>
      </c>
      <c r="J13" s="10">
        <f t="shared" si="2"/>
        <v>77822</v>
      </c>
      <c r="K13" s="10">
        <f t="shared" si="2"/>
        <v>45135</v>
      </c>
      <c r="L13" s="10">
        <f t="shared" si="2"/>
        <v>46195</v>
      </c>
      <c r="M13" s="10">
        <f t="shared" si="2"/>
        <v>71050</v>
      </c>
      <c r="N13" s="10">
        <f t="shared" si="2"/>
        <v>35568</v>
      </c>
      <c r="O13" s="10">
        <f t="shared" si="2"/>
        <v>41173</v>
      </c>
      <c r="P13" s="10">
        <f t="shared" si="2"/>
        <v>18124</v>
      </c>
      <c r="Q13" s="10">
        <f t="shared" si="2"/>
        <v>50121</v>
      </c>
      <c r="R13" s="10">
        <f t="shared" si="2"/>
        <v>51455</v>
      </c>
      <c r="S13" s="10">
        <f t="shared" si="2"/>
        <v>47103</v>
      </c>
      <c r="T13" s="10">
        <f t="shared" si="2"/>
        <v>83565</v>
      </c>
      <c r="U13" s="10">
        <f t="shared" si="2"/>
        <v>59231</v>
      </c>
      <c r="V13" s="10">
        <f t="shared" si="2"/>
        <v>51492</v>
      </c>
      <c r="W13" s="10">
        <f t="shared" si="2"/>
        <v>47282</v>
      </c>
      <c r="X13" s="10">
        <f t="shared" si="2"/>
        <v>50292</v>
      </c>
      <c r="Y13" s="10">
        <f t="shared" si="2"/>
        <v>70376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58">
        <f>(SUM(F13:Y13)/(COUNT(F13:Y13)))</f>
        <v>54071.1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0.75973684210526315</v>
      </c>
      <c r="G18" s="25">
        <f t="shared" si="5"/>
        <v>0.96526315789473682</v>
      </c>
      <c r="H18" s="25">
        <f t="shared" si="5"/>
        <v>0.42994736842105263</v>
      </c>
      <c r="I18" s="25">
        <f t="shared" si="5"/>
        <v>0.64178947368421047</v>
      </c>
      <c r="J18" s="25">
        <f t="shared" si="5"/>
        <v>1.6263157894736842</v>
      </c>
      <c r="K18" s="25">
        <f t="shared" si="5"/>
        <v>0.96815789473684211</v>
      </c>
      <c r="L18" s="25">
        <f t="shared" si="5"/>
        <v>1.1235263157894737</v>
      </c>
      <c r="M18" s="25">
        <f t="shared" si="5"/>
        <v>0.48263157894736841</v>
      </c>
      <c r="N18" s="25">
        <f t="shared" si="5"/>
        <v>0.62473684210526315</v>
      </c>
      <c r="O18" s="25">
        <f t="shared" si="5"/>
        <v>0.62473684210526315</v>
      </c>
      <c r="P18" s="25">
        <f t="shared" si="5"/>
        <v>0</v>
      </c>
      <c r="Q18" s="25">
        <f t="shared" si="5"/>
        <v>0.61957894736842101</v>
      </c>
      <c r="R18" s="25">
        <f t="shared" si="5"/>
        <v>1.0477368421052631</v>
      </c>
      <c r="S18" s="25">
        <f t="shared" si="5"/>
        <v>1.0607368421052632</v>
      </c>
      <c r="T18" s="25">
        <f t="shared" si="5"/>
        <v>1.3233684210526315</v>
      </c>
      <c r="U18" s="25">
        <f t="shared" si="5"/>
        <v>0.5986315789473684</v>
      </c>
      <c r="V18" s="25">
        <f t="shared" si="5"/>
        <v>0.93736842105263163</v>
      </c>
      <c r="W18" s="25">
        <f t="shared" si="5"/>
        <v>0.62473684210526315</v>
      </c>
      <c r="X18" s="25">
        <f t="shared" si="5"/>
        <v>0.72684210526315796</v>
      </c>
      <c r="Y18" s="25">
        <f t="shared" si="5"/>
        <v>0.62763157894736843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0</v>
      </c>
      <c r="G19" s="25">
        <f t="shared" si="5"/>
        <v>0</v>
      </c>
      <c r="H19" s="25">
        <f t="shared" si="5"/>
        <v>0.2994444444444444</v>
      </c>
      <c r="I19" s="25">
        <f t="shared" si="5"/>
        <v>0</v>
      </c>
      <c r="J19" s="25">
        <f t="shared" si="5"/>
        <v>0.25444444444444447</v>
      </c>
      <c r="K19" s="25">
        <f t="shared" si="5"/>
        <v>0.44444444444444442</v>
      </c>
      <c r="L19" s="25">
        <f t="shared" si="5"/>
        <v>0.2994444444444444</v>
      </c>
      <c r="M19" s="25">
        <f t="shared" si="5"/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0.59888888888888892</v>
      </c>
      <c r="R19" s="25">
        <f t="shared" si="5"/>
        <v>0</v>
      </c>
      <c r="S19" s="25">
        <f t="shared" si="5"/>
        <v>0</v>
      </c>
      <c r="T19" s="25">
        <f t="shared" si="5"/>
        <v>0</v>
      </c>
      <c r="U19" s="25">
        <f t="shared" si="5"/>
        <v>1.4</v>
      </c>
      <c r="V19" s="25">
        <f t="shared" si="5"/>
        <v>0.2994444444444444</v>
      </c>
      <c r="W19" s="25">
        <f t="shared" si="5"/>
        <v>0</v>
      </c>
      <c r="X19" s="25">
        <f t="shared" si="5"/>
        <v>0</v>
      </c>
      <c r="Y19" s="25">
        <f t="shared" si="5"/>
        <v>0.91111111111111109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0</v>
      </c>
      <c r="G20" s="25">
        <f t="shared" si="5"/>
        <v>0.27777777777777779</v>
      </c>
      <c r="H20" s="25">
        <f t="shared" si="5"/>
        <v>0</v>
      </c>
      <c r="I20" s="25">
        <f t="shared" si="5"/>
        <v>0</v>
      </c>
      <c r="J20" s="25">
        <f t="shared" si="5"/>
        <v>0.68666666666666665</v>
      </c>
      <c r="K20" s="25">
        <f t="shared" si="5"/>
        <v>0</v>
      </c>
      <c r="L20" s="25">
        <f t="shared" si="5"/>
        <v>0</v>
      </c>
      <c r="M20" s="25">
        <f t="shared" si="5"/>
        <v>0.53277777777777779</v>
      </c>
      <c r="N20" s="25">
        <f t="shared" si="5"/>
        <v>0</v>
      </c>
      <c r="O20" s="25">
        <f t="shared" si="5"/>
        <v>0</v>
      </c>
      <c r="P20" s="25">
        <f t="shared" si="5"/>
        <v>0</v>
      </c>
      <c r="Q20" s="25">
        <f t="shared" si="5"/>
        <v>0.2994444444444444</v>
      </c>
      <c r="R20" s="25">
        <f t="shared" si="5"/>
        <v>0.55444444444444452</v>
      </c>
      <c r="S20" s="25">
        <f t="shared" si="5"/>
        <v>0.2994444444444444</v>
      </c>
      <c r="T20" s="25">
        <f t="shared" si="5"/>
        <v>1.9377777777777778</v>
      </c>
      <c r="U20" s="25">
        <f t="shared" si="5"/>
        <v>0.38888888888888884</v>
      </c>
      <c r="V20" s="25">
        <f t="shared" si="5"/>
        <v>0.26944444444444449</v>
      </c>
      <c r="W20" s="25">
        <f t="shared" si="5"/>
        <v>0.2994444444444444</v>
      </c>
      <c r="X20" s="25">
        <f t="shared" si="5"/>
        <v>0.6744444444444444</v>
      </c>
      <c r="Y20" s="25">
        <f t="shared" si="5"/>
        <v>0.2994444444444444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</v>
      </c>
      <c r="G21" s="25">
        <f t="shared" si="5"/>
        <v>0.80154320987654315</v>
      </c>
      <c r="H21" s="25">
        <f t="shared" si="5"/>
        <v>1.8533950617283952</v>
      </c>
      <c r="I21" s="25">
        <f t="shared" si="5"/>
        <v>1.9234567901234567</v>
      </c>
      <c r="J21" s="25">
        <f t="shared" si="5"/>
        <v>0.9253086419753086</v>
      </c>
      <c r="K21" s="25">
        <f t="shared" si="5"/>
        <v>1.0645061728395062</v>
      </c>
      <c r="L21" s="25">
        <f t="shared" si="5"/>
        <v>0.52407407407407414</v>
      </c>
      <c r="M21" s="25">
        <f t="shared" si="5"/>
        <v>0.77067901234567904</v>
      </c>
      <c r="N21" s="25">
        <f t="shared" si="5"/>
        <v>0.40123456790123457</v>
      </c>
      <c r="O21" s="25">
        <f t="shared" si="5"/>
        <v>0.83209876543209882</v>
      </c>
      <c r="P21" s="25">
        <f t="shared" si="5"/>
        <v>0.36975308641975313</v>
      </c>
      <c r="Q21" s="25">
        <f t="shared" si="5"/>
        <v>0.63209876543209875</v>
      </c>
      <c r="R21" s="25">
        <f t="shared" si="5"/>
        <v>0.6166666666666667</v>
      </c>
      <c r="S21" s="25">
        <f t="shared" si="5"/>
        <v>0.37006172839506168</v>
      </c>
      <c r="T21" s="25">
        <f t="shared" si="5"/>
        <v>0.70246913580246906</v>
      </c>
      <c r="U21" s="25">
        <f t="shared" si="5"/>
        <v>0.85956790123456783</v>
      </c>
      <c r="V21" s="25">
        <f t="shared" si="5"/>
        <v>0.82654320987654317</v>
      </c>
      <c r="W21" s="25">
        <f t="shared" si="5"/>
        <v>0.67839506172839514</v>
      </c>
      <c r="X21" s="25">
        <f t="shared" si="5"/>
        <v>0.37006172839506168</v>
      </c>
      <c r="Y21" s="25">
        <f t="shared" si="5"/>
        <v>1.0484567901234567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0.15625</v>
      </c>
      <c r="G22" s="25">
        <f t="shared" si="6"/>
        <v>0.3119791666666667</v>
      </c>
      <c r="H22" s="25">
        <f t="shared" si="6"/>
        <v>1.0411458333333334</v>
      </c>
      <c r="I22" s="25">
        <f t="shared" si="6"/>
        <v>1.1855208333333334</v>
      </c>
      <c r="J22" s="25">
        <f t="shared" si="6"/>
        <v>0.45791666666666664</v>
      </c>
      <c r="K22" s="25">
        <f t="shared" si="6"/>
        <v>0.4682291666666667</v>
      </c>
      <c r="L22" s="25">
        <f t="shared" si="6"/>
        <v>0.61458333333333326</v>
      </c>
      <c r="M22" s="25">
        <f t="shared" si="6"/>
        <v>1.2192708333333333</v>
      </c>
      <c r="N22" s="25">
        <f t="shared" si="6"/>
        <v>0.88437500000000002</v>
      </c>
      <c r="O22" s="25">
        <f t="shared" si="6"/>
        <v>0.47291666666666665</v>
      </c>
      <c r="P22" s="25">
        <f t="shared" si="6"/>
        <v>0.15625</v>
      </c>
      <c r="Q22" s="25">
        <f t="shared" si="6"/>
        <v>0.24958333333333338</v>
      </c>
      <c r="R22" s="25">
        <f t="shared" si="6"/>
        <v>0.3119791666666667</v>
      </c>
      <c r="S22" s="25">
        <f t="shared" si="6"/>
        <v>0.36406249999999996</v>
      </c>
      <c r="T22" s="25">
        <f t="shared" si="6"/>
        <v>0.72864583333333333</v>
      </c>
      <c r="U22" s="25">
        <f t="shared" si="6"/>
        <v>0</v>
      </c>
      <c r="V22" s="25">
        <f t="shared" si="6"/>
        <v>0.20625000000000004</v>
      </c>
      <c r="W22" s="25">
        <f t="shared" si="6"/>
        <v>0</v>
      </c>
      <c r="X22" s="25">
        <f t="shared" si="6"/>
        <v>0.6244791666666667</v>
      </c>
      <c r="Y22" s="25">
        <f t="shared" si="6"/>
        <v>0.62395833333333339</v>
      </c>
      <c r="Z22" s="104"/>
      <c r="AA22" s="104"/>
    </row>
    <row r="23" spans="2:50" s="1" customFormat="1" ht="12.75">
      <c r="B23" s="4" t="s">
        <v>99</v>
      </c>
      <c r="C23" s="25">
        <f t="shared" si="4"/>
        <v>1</v>
      </c>
      <c r="D23" s="25"/>
      <c r="E23" s="25"/>
      <c r="F23" s="25">
        <f t="shared" si="6"/>
        <v>0.36628571428571433</v>
      </c>
      <c r="G23" s="25">
        <f t="shared" si="6"/>
        <v>0.36628571428571433</v>
      </c>
      <c r="H23" s="25">
        <f t="shared" si="6"/>
        <v>0</v>
      </c>
      <c r="I23" s="25">
        <f t="shared" si="6"/>
        <v>0</v>
      </c>
      <c r="J23" s="25">
        <f t="shared" si="6"/>
        <v>0.85523809523809524</v>
      </c>
      <c r="K23" s="25">
        <f t="shared" si="6"/>
        <v>0.19047619047619047</v>
      </c>
      <c r="L23" s="25">
        <f t="shared" si="6"/>
        <v>1.4786666666666668</v>
      </c>
      <c r="M23" s="25">
        <f t="shared" si="6"/>
        <v>0</v>
      </c>
      <c r="N23" s="25">
        <f t="shared" si="6"/>
        <v>0.67047619047619045</v>
      </c>
      <c r="O23" s="25">
        <f t="shared" si="6"/>
        <v>0</v>
      </c>
      <c r="P23" s="25">
        <f t="shared" si="6"/>
        <v>0.27619047619047621</v>
      </c>
      <c r="Q23" s="25">
        <f t="shared" si="6"/>
        <v>0.74380952380952381</v>
      </c>
      <c r="R23" s="25">
        <f t="shared" si="6"/>
        <v>0.78761904761904766</v>
      </c>
      <c r="S23" s="25">
        <f t="shared" si="6"/>
        <v>0</v>
      </c>
      <c r="T23" s="25">
        <f t="shared" si="6"/>
        <v>0.32971428571428574</v>
      </c>
      <c r="U23" s="25">
        <f t="shared" si="6"/>
        <v>0.26438095238095238</v>
      </c>
      <c r="V23" s="25">
        <f t="shared" si="6"/>
        <v>0</v>
      </c>
      <c r="W23" s="25">
        <f t="shared" si="6"/>
        <v>0.78761904761904766</v>
      </c>
      <c r="X23" s="25">
        <f t="shared" si="6"/>
        <v>0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1.18</v>
      </c>
      <c r="G24" s="27">
        <f t="shared" si="6"/>
        <v>0.91744927536231879</v>
      </c>
      <c r="H24" s="27">
        <f t="shared" si="6"/>
        <v>1.1511304347826088</v>
      </c>
      <c r="I24" s="27">
        <f t="shared" si="6"/>
        <v>0.99594202898550721</v>
      </c>
      <c r="J24" s="27">
        <f t="shared" si="6"/>
        <v>0.84498550724637678</v>
      </c>
      <c r="K24" s="27">
        <f t="shared" si="6"/>
        <v>0</v>
      </c>
      <c r="L24" s="27">
        <f t="shared" si="6"/>
        <v>0</v>
      </c>
      <c r="M24" s="27">
        <f t="shared" si="6"/>
        <v>1.9069565217391304</v>
      </c>
      <c r="N24" s="27">
        <f t="shared" si="6"/>
        <v>0.30075362318840582</v>
      </c>
      <c r="O24" s="27">
        <f t="shared" si="6"/>
        <v>0.65408695652173909</v>
      </c>
      <c r="P24" s="27">
        <f t="shared" si="6"/>
        <v>0.53240579710144931</v>
      </c>
      <c r="Q24" s="27">
        <f t="shared" si="6"/>
        <v>0.79553623188405798</v>
      </c>
      <c r="R24" s="27">
        <f t="shared" si="6"/>
        <v>0.5471304347826087</v>
      </c>
      <c r="S24" s="27">
        <f t="shared" si="6"/>
        <v>0.85588405797101452</v>
      </c>
      <c r="T24" s="27">
        <f t="shared" si="6"/>
        <v>1.2101449275362319</v>
      </c>
      <c r="U24" s="27">
        <f t="shared" si="6"/>
        <v>0.95327536231884058</v>
      </c>
      <c r="V24" s="27">
        <f t="shared" si="6"/>
        <v>0.76475362318840578</v>
      </c>
      <c r="W24" s="27">
        <f t="shared" si="6"/>
        <v>1.0198260869565217</v>
      </c>
      <c r="X24" s="27">
        <f t="shared" si="6"/>
        <v>1.0679420289855073</v>
      </c>
      <c r="Y24" s="27">
        <f t="shared" si="6"/>
        <v>1.4249855072463768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0.44798358733880417</v>
      </c>
      <c r="G25" s="25">
        <f t="shared" si="6"/>
        <v>0.63973036342321221</v>
      </c>
      <c r="H25" s="25">
        <f t="shared" si="6"/>
        <v>0.82932004689331773</v>
      </c>
      <c r="I25" s="25">
        <f t="shared" si="6"/>
        <v>0.84308323563892151</v>
      </c>
      <c r="J25" s="25">
        <f>(J13-$C13)/$C13+1</f>
        <v>0.91233294255568587</v>
      </c>
      <c r="K25" s="25">
        <f>(K13-$C13)/$C13+1</f>
        <v>0.52913247362250881</v>
      </c>
      <c r="L25" s="25">
        <f>(L13-$C13)/$C13+1</f>
        <v>0.54155920281359904</v>
      </c>
      <c r="M25" s="25">
        <f t="shared" si="6"/>
        <v>0.83294255568581477</v>
      </c>
      <c r="N25" s="25">
        <f t="shared" si="6"/>
        <v>0.4169753810082063</v>
      </c>
      <c r="O25" s="25">
        <f t="shared" si="6"/>
        <v>0.48268464243845255</v>
      </c>
      <c r="P25" s="25">
        <f t="shared" si="6"/>
        <v>0.21247362250879254</v>
      </c>
      <c r="Q25" s="25">
        <f t="shared" si="6"/>
        <v>0.58758499413833531</v>
      </c>
      <c r="R25" s="25">
        <f t="shared" si="6"/>
        <v>0.60322391559202815</v>
      </c>
      <c r="S25" s="25">
        <f>(S13-$C13)/$C13+1</f>
        <v>0.5522039859320047</v>
      </c>
      <c r="T25" s="25">
        <f>(T13-$C13)/$C13+1</f>
        <v>0.97966002344665881</v>
      </c>
      <c r="U25" s="25">
        <f>(U13-$C13)/$C13+1</f>
        <v>0.69438452520515825</v>
      </c>
      <c r="V25" s="25">
        <f>(V13-$C13)/$C13+1</f>
        <v>0.6036576787807737</v>
      </c>
      <c r="W25" s="25">
        <f>(W13-$C13)/$C13+1</f>
        <v>0.55430246189917942</v>
      </c>
      <c r="X25" s="25">
        <f t="shared" si="6"/>
        <v>0.58958968347010554</v>
      </c>
      <c r="Y25" s="25">
        <f t="shared" si="6"/>
        <v>0.82504103165298948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40430</v>
      </c>
      <c r="G29" s="34">
        <v>58770</v>
      </c>
      <c r="H29" s="34">
        <v>66939</v>
      </c>
      <c r="I29" s="34">
        <v>79133</v>
      </c>
      <c r="J29" s="34">
        <v>110033</v>
      </c>
      <c r="K29" s="34">
        <v>128428</v>
      </c>
      <c r="L29" s="34">
        <v>149775</v>
      </c>
      <c r="M29" s="34">
        <v>158945</v>
      </c>
      <c r="N29" s="34">
        <v>170815</v>
      </c>
      <c r="O29" s="34">
        <v>182685</v>
      </c>
      <c r="P29" s="34">
        <v>182685</v>
      </c>
      <c r="Q29" s="34">
        <v>194457</v>
      </c>
      <c r="R29" s="34">
        <v>214364</v>
      </c>
      <c r="S29" s="34">
        <v>234518</v>
      </c>
      <c r="T29" s="34">
        <v>259662</v>
      </c>
      <c r="U29" s="34">
        <v>271036</v>
      </c>
      <c r="V29" s="34">
        <v>288846</v>
      </c>
      <c r="W29" s="34">
        <v>300716</v>
      </c>
      <c r="X29" s="34">
        <v>311921</v>
      </c>
      <c r="Y29" s="34">
        <v>326451</v>
      </c>
      <c r="Z29" s="109">
        <f>+Y29/C52</f>
        <v>0.85908157894736847</v>
      </c>
      <c r="AA29" s="145">
        <f t="shared" ref="AA29:AA36" si="9">+Z29-Y$27</f>
        <v>-0.14091842105263153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0</v>
      </c>
      <c r="G30" s="34">
        <v>0</v>
      </c>
      <c r="H30" s="34">
        <v>2695</v>
      </c>
      <c r="I30" s="34">
        <v>2695</v>
      </c>
      <c r="J30" s="34">
        <v>4985</v>
      </c>
      <c r="K30" s="34">
        <v>4985</v>
      </c>
      <c r="L30" s="34">
        <v>11680</v>
      </c>
      <c r="M30" s="34">
        <v>11680</v>
      </c>
      <c r="N30" s="34">
        <v>11680</v>
      </c>
      <c r="O30" s="34">
        <v>11680</v>
      </c>
      <c r="P30" s="34">
        <v>11680</v>
      </c>
      <c r="Q30" s="34">
        <v>19765</v>
      </c>
      <c r="R30" s="34">
        <v>19765</v>
      </c>
      <c r="S30" s="34">
        <v>19765</v>
      </c>
      <c r="T30" s="34">
        <v>19765</v>
      </c>
      <c r="U30" s="34">
        <v>32265</v>
      </c>
      <c r="V30" s="34">
        <v>34960</v>
      </c>
      <c r="W30" s="34">
        <v>34960</v>
      </c>
      <c r="X30" s="34">
        <v>34960</v>
      </c>
      <c r="Y30" s="34">
        <v>45855</v>
      </c>
      <c r="Z30" s="109">
        <f>+Y30/C53</f>
        <v>0.25474999999999998</v>
      </c>
      <c r="AA30" s="146">
        <f t="shared" si="9"/>
        <v>-0.74524999999999997</v>
      </c>
      <c r="AX30"/>
    </row>
    <row r="31" spans="2:50">
      <c r="B31" s="4" t="str">
        <f>+B20</f>
        <v>Brazil</v>
      </c>
      <c r="C31" s="4"/>
      <c r="D31" s="4"/>
      <c r="E31" s="23"/>
      <c r="F31" s="122">
        <v>0</v>
      </c>
      <c r="G31" s="34">
        <v>2500</v>
      </c>
      <c r="H31" s="34">
        <v>2500</v>
      </c>
      <c r="I31" s="34">
        <v>2500</v>
      </c>
      <c r="J31" s="34">
        <v>8680</v>
      </c>
      <c r="K31" s="34">
        <v>8680</v>
      </c>
      <c r="L31" s="34">
        <v>8680</v>
      </c>
      <c r="M31" s="34">
        <v>13475</v>
      </c>
      <c r="N31" s="34">
        <v>13475</v>
      </c>
      <c r="O31" s="34">
        <v>13475</v>
      </c>
      <c r="P31" s="34">
        <v>13475</v>
      </c>
      <c r="Q31" s="34">
        <v>16170</v>
      </c>
      <c r="R31" s="34">
        <v>21160</v>
      </c>
      <c r="S31" s="34">
        <v>23855</v>
      </c>
      <c r="T31" s="34">
        <v>41295</v>
      </c>
      <c r="U31" s="34">
        <v>44795</v>
      </c>
      <c r="V31" s="34">
        <v>40000</v>
      </c>
      <c r="W31" s="34">
        <v>40000</v>
      </c>
      <c r="X31" s="34">
        <v>40000</v>
      </c>
      <c r="Y31" s="34">
        <v>55655</v>
      </c>
      <c r="Z31" s="109">
        <f>+Y31/C54</f>
        <v>0.30919444444444444</v>
      </c>
      <c r="AA31" s="146">
        <f t="shared" si="9"/>
        <v>-0.69080555555555556</v>
      </c>
      <c r="AX31"/>
    </row>
    <row r="32" spans="2:50">
      <c r="B32" s="4" t="str">
        <f>+B21</f>
        <v>Boston</v>
      </c>
      <c r="C32" s="4"/>
      <c r="D32" s="4"/>
      <c r="E32" s="23"/>
      <c r="F32" s="122">
        <v>15685</v>
      </c>
      <c r="G32" s="34">
        <v>25655</v>
      </c>
      <c r="H32" s="34">
        <v>47690</v>
      </c>
      <c r="I32" s="34">
        <v>80345</v>
      </c>
      <c r="J32" s="34">
        <v>82345</v>
      </c>
      <c r="K32" s="34">
        <v>99590</v>
      </c>
      <c r="L32" s="34">
        <v>102585</v>
      </c>
      <c r="M32" s="34">
        <v>114070</v>
      </c>
      <c r="N32" s="34">
        <v>122070</v>
      </c>
      <c r="O32" s="34">
        <v>135550</v>
      </c>
      <c r="P32" s="34">
        <v>125320</v>
      </c>
      <c r="Q32" s="34">
        <v>129570</v>
      </c>
      <c r="R32" s="34">
        <v>145550</v>
      </c>
      <c r="S32" s="34">
        <v>148550</v>
      </c>
      <c r="T32" s="34">
        <v>159930</v>
      </c>
      <c r="U32" s="34">
        <v>167865</v>
      </c>
      <c r="V32" s="34">
        <v>181255</v>
      </c>
      <c r="W32" s="34">
        <v>190745</v>
      </c>
      <c r="X32" s="34">
        <v>187755</v>
      </c>
      <c r="Y32" s="34">
        <v>196850</v>
      </c>
      <c r="Z32" s="109">
        <f>+Y32/C55</f>
        <v>0.60756172839506173</v>
      </c>
      <c r="AA32" s="146">
        <f t="shared" si="9"/>
        <v>-0.39243827160493827</v>
      </c>
      <c r="AX32"/>
    </row>
    <row r="33" spans="2:50" s="4" customFormat="1" ht="12.75">
      <c r="B33" s="4" t="str">
        <f>+B22</f>
        <v>Canada</v>
      </c>
      <c r="E33" s="23"/>
      <c r="F33" s="122">
        <v>0</v>
      </c>
      <c r="G33" s="34">
        <v>4500</v>
      </c>
      <c r="H33" s="34">
        <v>12995</v>
      </c>
      <c r="I33" s="34">
        <v>22480</v>
      </c>
      <c r="J33" s="34">
        <v>25475</v>
      </c>
      <c r="K33" s="34">
        <v>27871</v>
      </c>
      <c r="L33" s="34">
        <v>32366</v>
      </c>
      <c r="M33" s="34">
        <v>50417</v>
      </c>
      <c r="N33" s="34">
        <v>55912</v>
      </c>
      <c r="O33" s="34">
        <v>55912</v>
      </c>
      <c r="P33" s="34">
        <v>60452</v>
      </c>
      <c r="Q33" s="34">
        <v>60452</v>
      </c>
      <c r="R33" s="34">
        <v>67244</v>
      </c>
      <c r="S33" s="34">
        <v>67244</v>
      </c>
      <c r="T33" s="34">
        <v>78734</v>
      </c>
      <c r="U33" s="34">
        <v>78734</v>
      </c>
      <c r="V33" s="34">
        <v>78734</v>
      </c>
      <c r="W33" s="34">
        <v>78734</v>
      </c>
      <c r="X33" s="34">
        <v>81734</v>
      </c>
      <c r="Y33" s="34">
        <v>48853</v>
      </c>
      <c r="Z33" s="109">
        <f>Y33/C56</f>
        <v>0.25444270833333332</v>
      </c>
      <c r="AA33" s="146">
        <f t="shared" si="9"/>
        <v>-0.74555729166666662</v>
      </c>
    </row>
    <row r="34" spans="2:50" s="4" customFormat="1" ht="12.75">
      <c r="B34" s="4" t="s">
        <v>99</v>
      </c>
      <c r="E34" s="23"/>
      <c r="F34" s="122">
        <v>1923</v>
      </c>
      <c r="G34" s="34">
        <v>3846</v>
      </c>
      <c r="H34" s="34">
        <v>3846</v>
      </c>
      <c r="I34" s="34">
        <v>3846</v>
      </c>
      <c r="J34" s="34">
        <v>8336</v>
      </c>
      <c r="K34" s="34">
        <v>9336</v>
      </c>
      <c r="L34" s="34">
        <v>17099</v>
      </c>
      <c r="M34" s="34">
        <v>17099</v>
      </c>
      <c r="N34" s="34">
        <v>20619</v>
      </c>
      <c r="O34" s="34">
        <v>20619</v>
      </c>
      <c r="P34" s="34">
        <v>22069</v>
      </c>
      <c r="Q34" s="34">
        <v>25974</v>
      </c>
      <c r="R34" s="34">
        <v>30109</v>
      </c>
      <c r="S34" s="34">
        <v>30109</v>
      </c>
      <c r="T34" s="34">
        <v>31840</v>
      </c>
      <c r="U34" s="34">
        <v>33228</v>
      </c>
      <c r="V34" s="34">
        <v>33228</v>
      </c>
      <c r="W34" s="34">
        <v>37363</v>
      </c>
      <c r="X34" s="34">
        <v>37363</v>
      </c>
      <c r="Y34" s="34">
        <v>37363</v>
      </c>
      <c r="Z34" s="109">
        <f>Y34/C57</f>
        <v>0.35583809523809523</v>
      </c>
      <c r="AA34" s="146">
        <f t="shared" si="9"/>
        <v>-0.64416190476190471</v>
      </c>
    </row>
    <row r="35" spans="2:50">
      <c r="B35" s="5" t="str">
        <f>+B24</f>
        <v>Norwich</v>
      </c>
      <c r="C35" s="19"/>
      <c r="D35" s="19"/>
      <c r="E35" s="35"/>
      <c r="F35" s="124">
        <v>13239</v>
      </c>
      <c r="G35" s="35">
        <v>27425</v>
      </c>
      <c r="H35" s="35">
        <v>47282</v>
      </c>
      <c r="I35" s="35">
        <v>64463</v>
      </c>
      <c r="J35" s="35">
        <v>79039</v>
      </c>
      <c r="K35" s="35">
        <v>79039</v>
      </c>
      <c r="L35" s="35">
        <v>79039</v>
      </c>
      <c r="M35" s="35">
        <v>104356</v>
      </c>
      <c r="N35" s="35">
        <v>109545</v>
      </c>
      <c r="O35" s="35">
        <v>120828</v>
      </c>
      <c r="P35" s="35">
        <v>125912</v>
      </c>
      <c r="Q35" s="35">
        <v>139636</v>
      </c>
      <c r="R35" s="35">
        <v>143572</v>
      </c>
      <c r="S35" s="35">
        <v>158245</v>
      </c>
      <c r="T35" s="35">
        <v>178272</v>
      </c>
      <c r="U35" s="35">
        <v>186845</v>
      </c>
      <c r="V35" s="35">
        <v>202398</v>
      </c>
      <c r="W35" s="35">
        <v>219991</v>
      </c>
      <c r="X35" s="35">
        <v>234303</v>
      </c>
      <c r="Y35" s="35">
        <v>263083</v>
      </c>
      <c r="Z35" s="110">
        <f>+Y35/C58</f>
        <v>0.76255942028985513</v>
      </c>
      <c r="AA35" s="147">
        <f t="shared" si="9"/>
        <v>-0.23744057971014487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71277</v>
      </c>
      <c r="G36" s="10">
        <f t="shared" si="10"/>
        <v>122696</v>
      </c>
      <c r="H36" s="10">
        <f t="shared" si="10"/>
        <v>183947</v>
      </c>
      <c r="I36" s="10">
        <f t="shared" si="10"/>
        <v>255462</v>
      </c>
      <c r="J36" s="10">
        <f t="shared" si="10"/>
        <v>318893</v>
      </c>
      <c r="K36" s="10">
        <f t="shared" si="10"/>
        <v>357929</v>
      </c>
      <c r="L36" s="10">
        <f t="shared" si="10"/>
        <v>401224</v>
      </c>
      <c r="M36" s="10">
        <f t="shared" si="10"/>
        <v>470042</v>
      </c>
      <c r="N36" s="10">
        <f t="shared" si="10"/>
        <v>504116</v>
      </c>
      <c r="O36" s="10">
        <f t="shared" si="10"/>
        <v>540749</v>
      </c>
      <c r="P36" s="10">
        <f t="shared" si="10"/>
        <v>541593</v>
      </c>
      <c r="Q36" s="10">
        <f t="shared" si="10"/>
        <v>586024</v>
      </c>
      <c r="R36" s="10">
        <f t="shared" si="10"/>
        <v>641764</v>
      </c>
      <c r="S36" s="10">
        <f t="shared" si="10"/>
        <v>682286</v>
      </c>
      <c r="T36" s="10">
        <f t="shared" si="10"/>
        <v>769498</v>
      </c>
      <c r="U36" s="10">
        <f t="shared" si="10"/>
        <v>814768</v>
      </c>
      <c r="V36" s="10">
        <f t="shared" si="10"/>
        <v>859421</v>
      </c>
      <c r="W36" s="10">
        <f t="shared" si="10"/>
        <v>902509</v>
      </c>
      <c r="X36" s="10">
        <f t="shared" si="10"/>
        <v>928036</v>
      </c>
      <c r="Y36" s="10">
        <f t="shared" si="10"/>
        <v>974110</v>
      </c>
      <c r="Z36" s="111">
        <f>+Y36/C59</f>
        <v>0.5709906213364595</v>
      </c>
      <c r="AA36" s="148">
        <f t="shared" si="9"/>
        <v>-0.4290093786635405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4.1780187573270809E-2</v>
      </c>
      <c r="G37" s="30">
        <f t="shared" si="11"/>
        <v>7.1920281359906219E-2</v>
      </c>
      <c r="H37" s="30">
        <f t="shared" si="11"/>
        <v>0.10782356389214537</v>
      </c>
      <c r="I37" s="30">
        <f t="shared" si="11"/>
        <v>0.14974325908558031</v>
      </c>
      <c r="J37" s="30">
        <f t="shared" si="11"/>
        <v>0.18692438452520516</v>
      </c>
      <c r="K37" s="30">
        <f t="shared" si="11"/>
        <v>0.20980597889800703</v>
      </c>
      <c r="L37" s="30">
        <f t="shared" si="11"/>
        <v>0.23518405627198125</v>
      </c>
      <c r="M37" s="30">
        <f t="shared" si="11"/>
        <v>0.27552286049237984</v>
      </c>
      <c r="N37" s="30">
        <f t="shared" si="11"/>
        <v>0.29549589683470107</v>
      </c>
      <c r="O37" s="30">
        <f>+O36/$C$59</f>
        <v>0.31696893317702229</v>
      </c>
      <c r="P37" s="30">
        <f t="shared" ref="P37:Y37" si="12">+P36/$C$59</f>
        <v>0.31746365767878076</v>
      </c>
      <c r="Q37" s="30">
        <f t="shared" si="12"/>
        <v>0.34350762016412661</v>
      </c>
      <c r="R37" s="30">
        <f t="shared" si="12"/>
        <v>0.37618053927315359</v>
      </c>
      <c r="S37" s="30">
        <f t="shared" si="12"/>
        <v>0.39993317702227432</v>
      </c>
      <c r="T37" s="30">
        <f t="shared" si="12"/>
        <v>0.45105392731535754</v>
      </c>
      <c r="U37" s="30">
        <f t="shared" si="12"/>
        <v>0.4775896834701055</v>
      </c>
      <c r="V37" s="30">
        <f t="shared" si="12"/>
        <v>0.50376377491207502</v>
      </c>
      <c r="W37" s="30">
        <f t="shared" si="12"/>
        <v>0.52902051582649467</v>
      </c>
      <c r="X37" s="30">
        <f t="shared" si="12"/>
        <v>0.54398358733880425</v>
      </c>
      <c r="Y37" s="30">
        <f t="shared" si="12"/>
        <v>0.5709906213364595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2.1278947368421051</v>
      </c>
      <c r="G41" s="17">
        <f t="shared" ref="G41:Y41" si="14">(G52/$C$52)</f>
        <v>1.5465789473684211</v>
      </c>
      <c r="H41" s="17">
        <f t="shared" si="14"/>
        <v>1.1743684210526315</v>
      </c>
      <c r="I41" s="17">
        <f t="shared" si="14"/>
        <v>1.0412236842105262</v>
      </c>
      <c r="J41" s="17">
        <f t="shared" si="14"/>
        <v>1.158242105263158</v>
      </c>
      <c r="K41" s="17">
        <f t="shared" si="14"/>
        <v>1.1265614035087721</v>
      </c>
      <c r="L41" s="17">
        <f t="shared" si="14"/>
        <v>1.1261278195488724</v>
      </c>
      <c r="M41" s="17">
        <f t="shared" si="14"/>
        <v>1.0456907894736842</v>
      </c>
      <c r="N41" s="17">
        <f t="shared" si="14"/>
        <v>0.99891812865497076</v>
      </c>
      <c r="O41" s="17">
        <f t="shared" si="14"/>
        <v>0.96150000000000002</v>
      </c>
      <c r="P41" s="17">
        <f t="shared" si="14"/>
        <v>0.87409090909090903</v>
      </c>
      <c r="Q41" s="17">
        <f t="shared" si="14"/>
        <v>0.85288157894736838</v>
      </c>
      <c r="R41" s="17">
        <f t="shared" si="14"/>
        <v>0.8678704453441296</v>
      </c>
      <c r="S41" s="17">
        <f t="shared" si="14"/>
        <v>0.88164661654135335</v>
      </c>
      <c r="T41" s="17">
        <f t="shared" si="14"/>
        <v>0.91109473684210529</v>
      </c>
      <c r="U41" s="17">
        <f t="shared" si="14"/>
        <v>0.89156578947368426</v>
      </c>
      <c r="V41" s="17">
        <f t="shared" si="14"/>
        <v>0.89426006191950458</v>
      </c>
      <c r="W41" s="17">
        <f t="shared" si="14"/>
        <v>0.87928654970760234</v>
      </c>
      <c r="X41" s="17">
        <f t="shared" si="14"/>
        <v>0.8640470914127425</v>
      </c>
      <c r="Y41" s="17">
        <f t="shared" si="14"/>
        <v>0.85908157894736847</v>
      </c>
      <c r="Z41" s="158" t="s">
        <v>71</v>
      </c>
      <c r="AA41" s="138">
        <v>340</v>
      </c>
      <c r="AX41"/>
    </row>
    <row r="42" spans="2:50">
      <c r="B42" s="4" t="s">
        <v>64</v>
      </c>
      <c r="C42" s="17"/>
      <c r="D42" s="17"/>
      <c r="E42" s="17"/>
      <c r="F42" s="17">
        <f>(F53/$C$53)</f>
        <v>0</v>
      </c>
      <c r="G42" s="17">
        <f t="shared" ref="G42:Y42" si="15">(G53/$C$53)</f>
        <v>0</v>
      </c>
      <c r="H42" s="17">
        <f t="shared" si="15"/>
        <v>9.9814814814814828E-2</v>
      </c>
      <c r="I42" s="17">
        <f t="shared" si="15"/>
        <v>7.4861111111111114E-2</v>
      </c>
      <c r="J42" s="17">
        <f t="shared" si="15"/>
        <v>0.11077777777777778</v>
      </c>
      <c r="K42" s="17">
        <f t="shared" si="15"/>
        <v>9.2314814814814822E-2</v>
      </c>
      <c r="L42" s="17">
        <f t="shared" si="15"/>
        <v>0.18539682539682539</v>
      </c>
      <c r="M42" s="17">
        <f t="shared" si="15"/>
        <v>0.16222222222222221</v>
      </c>
      <c r="N42" s="17">
        <f t="shared" si="15"/>
        <v>0.14419753086419754</v>
      </c>
      <c r="O42" s="17">
        <f t="shared" si="15"/>
        <v>0.12977777777777777</v>
      </c>
      <c r="P42" s="17">
        <f t="shared" si="15"/>
        <v>0.11797979797979798</v>
      </c>
      <c r="Q42" s="17">
        <f t="shared" si="15"/>
        <v>0.18300925925925923</v>
      </c>
      <c r="R42" s="17">
        <f t="shared" si="15"/>
        <v>0.16893162393162395</v>
      </c>
      <c r="S42" s="17">
        <f t="shared" si="15"/>
        <v>0.15686507936507935</v>
      </c>
      <c r="T42" s="17">
        <f t="shared" si="15"/>
        <v>0.14640740740740743</v>
      </c>
      <c r="U42" s="17">
        <f t="shared" si="15"/>
        <v>0.2240625</v>
      </c>
      <c r="V42" s="17">
        <f t="shared" si="15"/>
        <v>0.22849673202614379</v>
      </c>
      <c r="W42" s="17">
        <f t="shared" si="15"/>
        <v>0.21580246913580248</v>
      </c>
      <c r="X42" s="17">
        <f t="shared" si="15"/>
        <v>0.20444444444444446</v>
      </c>
      <c r="Y42" s="17">
        <f t="shared" si="15"/>
        <v>0.25474999999999998</v>
      </c>
      <c r="Z42" s="158" t="s">
        <v>72</v>
      </c>
      <c r="AA42" s="138">
        <v>160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0</v>
      </c>
      <c r="G43" s="17">
        <f t="shared" si="16"/>
        <v>0.1388888888888889</v>
      </c>
      <c r="H43" s="17">
        <f t="shared" si="16"/>
        <v>9.2592592592592601E-2</v>
      </c>
      <c r="I43" s="17">
        <f t="shared" si="16"/>
        <v>6.9444444444444448E-2</v>
      </c>
      <c r="J43" s="17">
        <f t="shared" si="16"/>
        <v>0.19288888888888889</v>
      </c>
      <c r="K43" s="17">
        <f t="shared" si="16"/>
        <v>0.16074074074074077</v>
      </c>
      <c r="L43" s="17">
        <f t="shared" si="16"/>
        <v>0.13777777777777778</v>
      </c>
      <c r="M43" s="17">
        <f t="shared" si="16"/>
        <v>0.18715277777777778</v>
      </c>
      <c r="N43" s="17">
        <f t="shared" si="16"/>
        <v>0.16635802469135802</v>
      </c>
      <c r="O43" s="17">
        <f t="shared" si="16"/>
        <v>0.14972222222222223</v>
      </c>
      <c r="P43" s="17">
        <f t="shared" si="16"/>
        <v>0.1361111111111111</v>
      </c>
      <c r="Q43" s="17">
        <f t="shared" si="16"/>
        <v>0.14972222222222223</v>
      </c>
      <c r="R43" s="17">
        <f t="shared" si="16"/>
        <v>0.18085470085470085</v>
      </c>
      <c r="S43" s="17">
        <f t="shared" si="16"/>
        <v>0.18932539682539681</v>
      </c>
      <c r="T43" s="17">
        <f t="shared" si="16"/>
        <v>0.30588888888888888</v>
      </c>
      <c r="U43" s="17">
        <f t="shared" si="16"/>
        <v>0.31107638888888889</v>
      </c>
      <c r="V43" s="17">
        <f t="shared" si="16"/>
        <v>0.26143790849673199</v>
      </c>
      <c r="W43" s="17">
        <f t="shared" si="16"/>
        <v>0.24691358024691359</v>
      </c>
      <c r="X43" s="17">
        <f t="shared" si="16"/>
        <v>0.23391812865497075</v>
      </c>
      <c r="Y43" s="17">
        <f t="shared" si="16"/>
        <v>0.30919444444444444</v>
      </c>
      <c r="Z43" s="158" t="s">
        <v>94</v>
      </c>
      <c r="AA43" s="158">
        <v>100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0.96820987654320989</v>
      </c>
      <c r="G44" s="17">
        <f t="shared" ref="G44:Y44" si="17">(G55/$C$55)</f>
        <v>0.79182098765432096</v>
      </c>
      <c r="H44" s="17">
        <f t="shared" si="17"/>
        <v>0.98127572016460896</v>
      </c>
      <c r="I44" s="17">
        <f t="shared" si="17"/>
        <v>1.2398919753086419</v>
      </c>
      <c r="J44" s="17">
        <f t="shared" si="17"/>
        <v>1.0166049382716049</v>
      </c>
      <c r="K44" s="17">
        <f t="shared" si="17"/>
        <v>1.024588477366255</v>
      </c>
      <c r="L44" s="17">
        <f t="shared" si="17"/>
        <v>0.90462962962962967</v>
      </c>
      <c r="M44" s="17">
        <f t="shared" si="17"/>
        <v>0.88016975308641976</v>
      </c>
      <c r="N44" s="17">
        <f t="shared" si="17"/>
        <v>0.83724279835390958</v>
      </c>
      <c r="O44" s="17">
        <f t="shared" si="17"/>
        <v>0.83672839506172836</v>
      </c>
      <c r="P44" s="17">
        <f t="shared" si="17"/>
        <v>0.70325476992143654</v>
      </c>
      <c r="Q44" s="17">
        <f t="shared" si="17"/>
        <v>0.6665123456790123</v>
      </c>
      <c r="R44" s="17">
        <f t="shared" si="17"/>
        <v>0.69112060778727435</v>
      </c>
      <c r="S44" s="17">
        <f t="shared" si="17"/>
        <v>0.6549823633156967</v>
      </c>
      <c r="T44" s="17">
        <f t="shared" si="17"/>
        <v>0.65814814814814815</v>
      </c>
      <c r="U44" s="17">
        <f t="shared" si="17"/>
        <v>0.64762731481481484</v>
      </c>
      <c r="V44" s="17">
        <f t="shared" si="17"/>
        <v>0.65815177923021062</v>
      </c>
      <c r="W44" s="17">
        <f t="shared" si="17"/>
        <v>0.65413237311385464</v>
      </c>
      <c r="X44" s="17">
        <f t="shared" si="17"/>
        <v>0.60999025341130608</v>
      </c>
      <c r="Y44" s="17">
        <f t="shared" si="17"/>
        <v>0.60756172839506173</v>
      </c>
      <c r="Z44" s="160" t="s">
        <v>73</v>
      </c>
      <c r="AA44" s="138">
        <v>310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0</v>
      </c>
      <c r="G45" s="17">
        <f t="shared" si="18"/>
        <v>0.234375</v>
      </c>
      <c r="H45" s="17">
        <f t="shared" si="18"/>
        <v>0.45121527777777781</v>
      </c>
      <c r="I45" s="17">
        <f t="shared" si="18"/>
        <v>0.5854166666666667</v>
      </c>
      <c r="J45" s="17">
        <f t="shared" si="18"/>
        <v>0.5307291666666667</v>
      </c>
      <c r="K45" s="17">
        <f t="shared" si="18"/>
        <v>0.48387152777777781</v>
      </c>
      <c r="L45" s="17">
        <f t="shared" si="18"/>
        <v>0.48163690476190474</v>
      </c>
      <c r="M45" s="17">
        <f t="shared" si="18"/>
        <v>0.65647135416666669</v>
      </c>
      <c r="N45" s="17">
        <f t="shared" si="18"/>
        <v>0.64712962962962961</v>
      </c>
      <c r="O45" s="17">
        <f t="shared" si="18"/>
        <v>0.58241666666666669</v>
      </c>
      <c r="P45" s="17">
        <f t="shared" si="18"/>
        <v>0.57246212121212126</v>
      </c>
      <c r="Q45" s="17">
        <f t="shared" si="18"/>
        <v>0.52475694444444454</v>
      </c>
      <c r="R45" s="17">
        <f t="shared" si="18"/>
        <v>0.53881410256410256</v>
      </c>
      <c r="S45" s="17">
        <f t="shared" si="18"/>
        <v>0.50032738095238094</v>
      </c>
      <c r="T45" s="17">
        <f t="shared" si="18"/>
        <v>0.54676388888888894</v>
      </c>
      <c r="U45" s="17">
        <f t="shared" si="18"/>
        <v>0.51259114583333332</v>
      </c>
      <c r="V45" s="17">
        <f t="shared" si="18"/>
        <v>0.48243872549019601</v>
      </c>
      <c r="W45" s="17">
        <f t="shared" si="18"/>
        <v>0.45563657407407404</v>
      </c>
      <c r="X45" s="17">
        <f t="shared" si="18"/>
        <v>0.4481030701754386</v>
      </c>
      <c r="Y45" s="17">
        <f t="shared" si="18"/>
        <v>0.25444270833333332</v>
      </c>
      <c r="Z45" s="160" t="s">
        <v>74</v>
      </c>
      <c r="AA45" s="138">
        <v>135</v>
      </c>
      <c r="AX45"/>
    </row>
    <row r="46" spans="2:50">
      <c r="B46" s="4" t="s">
        <v>99</v>
      </c>
      <c r="C46" s="17"/>
      <c r="D46" s="17"/>
      <c r="E46" s="17"/>
      <c r="F46" s="17">
        <f t="shared" si="18"/>
        <v>0.2003125</v>
      </c>
      <c r="G46" s="17">
        <f t="shared" si="18"/>
        <v>0.2003125</v>
      </c>
      <c r="H46" s="17">
        <f t="shared" si="18"/>
        <v>0.13354166666666667</v>
      </c>
      <c r="I46" s="17">
        <f t="shared" si="18"/>
        <v>0.10015625</v>
      </c>
      <c r="J46" s="17">
        <f t="shared" si="18"/>
        <v>0.17366666666666666</v>
      </c>
      <c r="K46" s="17">
        <f t="shared" si="18"/>
        <v>0.16208333333333333</v>
      </c>
      <c r="L46" s="17">
        <f t="shared" si="18"/>
        <v>0.25444940476190475</v>
      </c>
      <c r="M46" s="17">
        <f t="shared" si="18"/>
        <v>0.22264322916666668</v>
      </c>
      <c r="N46" s="17">
        <f t="shared" si="18"/>
        <v>0.23864583333333333</v>
      </c>
      <c r="O46" s="17">
        <f t="shared" si="18"/>
        <v>0.21478125000000001</v>
      </c>
      <c r="P46" s="17">
        <f t="shared" si="18"/>
        <v>0.20898674242424242</v>
      </c>
      <c r="Q46" s="17">
        <f t="shared" si="18"/>
        <v>0.22546875</v>
      </c>
      <c r="R46" s="17">
        <f t="shared" si="18"/>
        <v>0.24125801282051279</v>
      </c>
      <c r="S46" s="17">
        <f t="shared" si="18"/>
        <v>0.22402529761904763</v>
      </c>
      <c r="T46" s="17">
        <f t="shared" si="18"/>
        <v>0.22111111111111109</v>
      </c>
      <c r="U46" s="17">
        <f t="shared" si="18"/>
        <v>0.21632812500000001</v>
      </c>
      <c r="V46" s="17">
        <f t="shared" si="18"/>
        <v>0.20360294117647057</v>
      </c>
      <c r="W46" s="17">
        <f t="shared" si="18"/>
        <v>0.21622106481481482</v>
      </c>
      <c r="X46" s="17">
        <f t="shared" si="18"/>
        <v>0.20484100877192982</v>
      </c>
      <c r="Y46" s="17">
        <f t="shared" si="18"/>
        <v>0.19459895833333332</v>
      </c>
      <c r="Z46" s="160" t="s">
        <v>99</v>
      </c>
      <c r="AA46" s="138">
        <v>35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0.76747826086956517</v>
      </c>
      <c r="G47" s="18">
        <f t="shared" si="19"/>
        <v>0.79492753623188406</v>
      </c>
      <c r="H47" s="18">
        <f t="shared" si="19"/>
        <v>0.91366183574879223</v>
      </c>
      <c r="I47" s="18">
        <f t="shared" si="19"/>
        <v>0.93424637681159417</v>
      </c>
      <c r="J47" s="18">
        <f t="shared" si="19"/>
        <v>0.91639420289855067</v>
      </c>
      <c r="K47" s="18">
        <f t="shared" si="19"/>
        <v>0.76366183574879221</v>
      </c>
      <c r="L47" s="18">
        <f t="shared" si="19"/>
        <v>0.65456728778467899</v>
      </c>
      <c r="M47" s="18">
        <f t="shared" si="19"/>
        <v>0.75620289855072464</v>
      </c>
      <c r="N47" s="18">
        <f t="shared" si="19"/>
        <v>0.70560386473429948</v>
      </c>
      <c r="O47" s="18">
        <f t="shared" si="19"/>
        <v>0.70045217391304349</v>
      </c>
      <c r="P47" s="18">
        <f t="shared" si="19"/>
        <v>0.66356785243741767</v>
      </c>
      <c r="Q47" s="18">
        <f t="shared" si="19"/>
        <v>0.67457004830917877</v>
      </c>
      <c r="R47" s="18">
        <f t="shared" si="19"/>
        <v>0.64023188405797105</v>
      </c>
      <c r="S47" s="18">
        <f t="shared" si="19"/>
        <v>0.65525879917184271</v>
      </c>
      <c r="T47" s="18">
        <f t="shared" si="19"/>
        <v>0.68897391304347821</v>
      </c>
      <c r="U47" s="18">
        <f t="shared" si="19"/>
        <v>0.6769746376811594</v>
      </c>
      <c r="V47" s="18">
        <f t="shared" si="19"/>
        <v>0.69018925831202038</v>
      </c>
      <c r="W47" s="18">
        <f t="shared" si="19"/>
        <v>0.70850563607085348</v>
      </c>
      <c r="X47" s="18">
        <f t="shared" si="19"/>
        <v>0.71488329519450811</v>
      </c>
      <c r="Y47" s="18">
        <f t="shared" si="19"/>
        <v>0.76255942028985513</v>
      </c>
      <c r="Z47" s="159" t="s">
        <v>76</v>
      </c>
      <c r="AA47" s="138">
        <v>270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0.83560375146541621</v>
      </c>
      <c r="G48" s="17">
        <f t="shared" si="20"/>
        <v>0.71920281359906213</v>
      </c>
      <c r="H48" s="17">
        <f t="shared" si="20"/>
        <v>0.7188237592809692</v>
      </c>
      <c r="I48" s="17">
        <f t="shared" si="20"/>
        <v>0.74871629542790152</v>
      </c>
      <c r="J48" s="17">
        <f t="shared" si="20"/>
        <v>0.74769753810082062</v>
      </c>
      <c r="K48" s="17">
        <f t="shared" si="20"/>
        <v>0.69935326299335687</v>
      </c>
      <c r="L48" s="17">
        <f t="shared" si="20"/>
        <v>0.67195444649137492</v>
      </c>
      <c r="M48" s="17">
        <f t="shared" si="20"/>
        <v>0.6888071512309496</v>
      </c>
      <c r="N48" s="17">
        <f t="shared" si="20"/>
        <v>0.65665754852155789</v>
      </c>
      <c r="O48" s="17">
        <f t="shared" si="20"/>
        <v>0.63393786635404459</v>
      </c>
      <c r="P48" s="17">
        <f t="shared" si="20"/>
        <v>0.57720665032505591</v>
      </c>
      <c r="Q48" s="17">
        <f t="shared" si="20"/>
        <v>0.57251270027354439</v>
      </c>
      <c r="R48" s="17">
        <f t="shared" si="20"/>
        <v>0.57873929118946699</v>
      </c>
      <c r="S48" s="17">
        <f t="shared" si="20"/>
        <v>0.57133311003182041</v>
      </c>
      <c r="T48" s="17">
        <f t="shared" si="20"/>
        <v>0.60140523642047672</v>
      </c>
      <c r="U48" s="17">
        <f t="shared" si="20"/>
        <v>0.59698710433763191</v>
      </c>
      <c r="V48" s="17">
        <f t="shared" si="20"/>
        <v>0.59266326460244112</v>
      </c>
      <c r="W48" s="17">
        <f t="shared" si="20"/>
        <v>0.58780057314054968</v>
      </c>
      <c r="X48" s="17">
        <f t="shared" si="20"/>
        <v>0.57261430246189926</v>
      </c>
      <c r="Y48" s="17">
        <f t="shared" si="20"/>
        <v>0.5709906213364595</v>
      </c>
      <c r="AA48" s="139">
        <f>SUM(AA41:AA47)</f>
        <v>1350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380000</v>
      </c>
      <c r="D52" s="4"/>
      <c r="E52" s="4"/>
      <c r="F52" s="55">
        <f t="shared" ref="F52:Y58" si="22">(F29)/F$1*$Y$1</f>
        <v>808600</v>
      </c>
      <c r="G52" s="55">
        <f t="shared" si="22"/>
        <v>587700</v>
      </c>
      <c r="H52" s="55">
        <f t="shared" si="22"/>
        <v>446260</v>
      </c>
      <c r="I52" s="55">
        <f t="shared" si="22"/>
        <v>395665</v>
      </c>
      <c r="J52" s="55">
        <f t="shared" si="22"/>
        <v>440132</v>
      </c>
      <c r="K52" s="55">
        <f t="shared" si="22"/>
        <v>428093.33333333337</v>
      </c>
      <c r="L52" s="55">
        <f t="shared" si="22"/>
        <v>427928.57142857148</v>
      </c>
      <c r="M52" s="55">
        <f t="shared" si="22"/>
        <v>397362.5</v>
      </c>
      <c r="N52" s="55">
        <f t="shared" si="22"/>
        <v>379588.88888888888</v>
      </c>
      <c r="O52" s="55">
        <f t="shared" si="22"/>
        <v>365370</v>
      </c>
      <c r="P52" s="55">
        <f t="shared" si="22"/>
        <v>332154.54545454541</v>
      </c>
      <c r="Q52" s="55">
        <f t="shared" si="22"/>
        <v>324095</v>
      </c>
      <c r="R52" s="55">
        <f t="shared" si="22"/>
        <v>329790.76923076925</v>
      </c>
      <c r="S52" s="55">
        <f t="shared" si="22"/>
        <v>335025.71428571426</v>
      </c>
      <c r="T52" s="55">
        <f t="shared" si="22"/>
        <v>346216</v>
      </c>
      <c r="U52" s="55">
        <f t="shared" si="22"/>
        <v>338795</v>
      </c>
      <c r="V52" s="55">
        <f t="shared" si="22"/>
        <v>339818.82352941175</v>
      </c>
      <c r="W52" s="55">
        <f t="shared" si="22"/>
        <v>334128.88888888888</v>
      </c>
      <c r="X52" s="55">
        <f t="shared" si="22"/>
        <v>328337.89473684214</v>
      </c>
      <c r="Y52" s="55">
        <f t="shared" si="22"/>
        <v>326451</v>
      </c>
      <c r="AX52"/>
    </row>
    <row r="53" spans="2:50">
      <c r="B53" s="4" t="s">
        <v>64</v>
      </c>
      <c r="C53" s="149">
        <v>180000</v>
      </c>
      <c r="D53" s="4"/>
      <c r="E53" s="4"/>
      <c r="F53" s="55">
        <f t="shared" si="22"/>
        <v>0</v>
      </c>
      <c r="G53" s="55">
        <f t="shared" si="22"/>
        <v>0</v>
      </c>
      <c r="H53" s="55">
        <f t="shared" si="22"/>
        <v>17966.666666666668</v>
      </c>
      <c r="I53" s="55">
        <f t="shared" si="22"/>
        <v>13475</v>
      </c>
      <c r="J53" s="55">
        <f t="shared" si="22"/>
        <v>19940</v>
      </c>
      <c r="K53" s="55">
        <f t="shared" si="22"/>
        <v>16616.666666666668</v>
      </c>
      <c r="L53" s="55">
        <f t="shared" si="22"/>
        <v>33371.428571428572</v>
      </c>
      <c r="M53" s="55">
        <f t="shared" si="22"/>
        <v>29200</v>
      </c>
      <c r="N53" s="55">
        <f t="shared" si="22"/>
        <v>25955.555555555555</v>
      </c>
      <c r="O53" s="55">
        <f t="shared" si="22"/>
        <v>23360</v>
      </c>
      <c r="P53" s="55">
        <f t="shared" si="22"/>
        <v>21236.363636363636</v>
      </c>
      <c r="Q53" s="55">
        <f t="shared" si="22"/>
        <v>32941.666666666664</v>
      </c>
      <c r="R53" s="55">
        <f t="shared" si="22"/>
        <v>30407.692307692309</v>
      </c>
      <c r="S53" s="55">
        <f t="shared" si="22"/>
        <v>28235.714285714283</v>
      </c>
      <c r="T53" s="55">
        <f t="shared" si="22"/>
        <v>26353.333333333336</v>
      </c>
      <c r="U53" s="55">
        <f t="shared" si="22"/>
        <v>40331.25</v>
      </c>
      <c r="V53" s="55">
        <f t="shared" si="22"/>
        <v>41129.411764705881</v>
      </c>
      <c r="W53" s="55">
        <f t="shared" si="22"/>
        <v>38844.444444444445</v>
      </c>
      <c r="X53" s="55">
        <f t="shared" si="22"/>
        <v>36800</v>
      </c>
      <c r="Y53" s="55">
        <f t="shared" si="22"/>
        <v>45855</v>
      </c>
      <c r="AX53"/>
    </row>
    <row r="54" spans="2:50">
      <c r="B54" s="4" t="str">
        <f>+B43</f>
        <v>Brazil</v>
      </c>
      <c r="C54" s="149">
        <v>180000</v>
      </c>
      <c r="D54" s="4"/>
      <c r="E54" s="4"/>
      <c r="F54" s="55">
        <f t="shared" si="22"/>
        <v>0</v>
      </c>
      <c r="G54" s="55">
        <f t="shared" si="22"/>
        <v>25000</v>
      </c>
      <c r="H54" s="55">
        <f t="shared" si="22"/>
        <v>16666.666666666668</v>
      </c>
      <c r="I54" s="55">
        <f t="shared" si="22"/>
        <v>12500</v>
      </c>
      <c r="J54" s="55">
        <f t="shared" si="22"/>
        <v>34720</v>
      </c>
      <c r="K54" s="55">
        <f t="shared" si="22"/>
        <v>28933.333333333336</v>
      </c>
      <c r="L54" s="55">
        <f t="shared" si="22"/>
        <v>24800</v>
      </c>
      <c r="M54" s="55">
        <f t="shared" si="22"/>
        <v>33687.5</v>
      </c>
      <c r="N54" s="55">
        <f t="shared" si="22"/>
        <v>29944.444444444445</v>
      </c>
      <c r="O54" s="55">
        <f t="shared" si="22"/>
        <v>26950</v>
      </c>
      <c r="P54" s="55">
        <f t="shared" si="22"/>
        <v>24500</v>
      </c>
      <c r="Q54" s="55">
        <f t="shared" si="22"/>
        <v>26950</v>
      </c>
      <c r="R54" s="55">
        <f t="shared" si="22"/>
        <v>32553.846153846152</v>
      </c>
      <c r="S54" s="55">
        <f t="shared" si="22"/>
        <v>34078.571428571428</v>
      </c>
      <c r="T54" s="55">
        <f t="shared" si="22"/>
        <v>55060</v>
      </c>
      <c r="U54" s="55">
        <f t="shared" si="22"/>
        <v>55993.75</v>
      </c>
      <c r="V54" s="55">
        <f t="shared" si="22"/>
        <v>47058.823529411762</v>
      </c>
      <c r="W54" s="55">
        <f t="shared" si="22"/>
        <v>44444.444444444445</v>
      </c>
      <c r="X54" s="55">
        <f t="shared" si="22"/>
        <v>42105.263157894733</v>
      </c>
      <c r="Y54" s="55">
        <f t="shared" si="22"/>
        <v>55655</v>
      </c>
      <c r="AX54"/>
    </row>
    <row r="55" spans="2:50">
      <c r="B55" s="4" t="str">
        <f>+B44</f>
        <v>Boston</v>
      </c>
      <c r="C55" s="149">
        <v>324000</v>
      </c>
      <c r="D55" s="4"/>
      <c r="E55" s="4"/>
      <c r="F55" s="55">
        <f>(F32)/F$1*$Y$1</f>
        <v>313700</v>
      </c>
      <c r="G55" s="55">
        <f>(G32)/G$1*$Y$1</f>
        <v>256550</v>
      </c>
      <c r="H55" s="55">
        <f t="shared" si="22"/>
        <v>317933.33333333331</v>
      </c>
      <c r="I55" s="55">
        <f t="shared" si="22"/>
        <v>401725</v>
      </c>
      <c r="J55" s="55">
        <f t="shared" si="22"/>
        <v>329380</v>
      </c>
      <c r="K55" s="55">
        <f t="shared" si="22"/>
        <v>331966.66666666663</v>
      </c>
      <c r="L55" s="55">
        <f t="shared" si="22"/>
        <v>293100</v>
      </c>
      <c r="M55" s="55">
        <f t="shared" si="22"/>
        <v>285175</v>
      </c>
      <c r="N55" s="55">
        <f t="shared" si="22"/>
        <v>271266.66666666669</v>
      </c>
      <c r="O55" s="55">
        <f t="shared" si="22"/>
        <v>271100</v>
      </c>
      <c r="P55" s="55">
        <f t="shared" si="22"/>
        <v>227854.54545454544</v>
      </c>
      <c r="Q55" s="55">
        <f t="shared" si="22"/>
        <v>215950</v>
      </c>
      <c r="R55" s="55">
        <f t="shared" si="22"/>
        <v>223923.07692307691</v>
      </c>
      <c r="S55" s="55">
        <f t="shared" si="22"/>
        <v>212214.28571428574</v>
      </c>
      <c r="T55" s="55">
        <f t="shared" si="22"/>
        <v>213240</v>
      </c>
      <c r="U55" s="55">
        <f t="shared" si="22"/>
        <v>209831.25</v>
      </c>
      <c r="V55" s="55">
        <f t="shared" si="22"/>
        <v>213241.17647058825</v>
      </c>
      <c r="W55" s="55">
        <f t="shared" si="22"/>
        <v>211938.88888888891</v>
      </c>
      <c r="X55" s="55">
        <f t="shared" si="22"/>
        <v>197636.84210526317</v>
      </c>
      <c r="Y55" s="55">
        <f t="shared" si="22"/>
        <v>196850</v>
      </c>
      <c r="AX55"/>
    </row>
    <row r="56" spans="2:50">
      <c r="B56" s="4" t="s">
        <v>2</v>
      </c>
      <c r="C56" s="149">
        <v>192000</v>
      </c>
      <c r="D56" s="4"/>
      <c r="E56" s="4"/>
      <c r="F56" s="55">
        <f t="shared" ref="F56:U58" si="23">(F33)/F$1*$Y$1</f>
        <v>0</v>
      </c>
      <c r="G56" s="55">
        <f t="shared" si="23"/>
        <v>45000</v>
      </c>
      <c r="H56" s="55">
        <f t="shared" si="23"/>
        <v>86633.333333333343</v>
      </c>
      <c r="I56" s="55">
        <f t="shared" si="23"/>
        <v>112400</v>
      </c>
      <c r="J56" s="55">
        <f t="shared" si="23"/>
        <v>101900</v>
      </c>
      <c r="K56" s="55">
        <f t="shared" si="23"/>
        <v>92903.333333333343</v>
      </c>
      <c r="L56" s="55">
        <f t="shared" si="23"/>
        <v>92474.28571428571</v>
      </c>
      <c r="M56" s="55">
        <f t="shared" si="23"/>
        <v>126042.5</v>
      </c>
      <c r="N56" s="55">
        <f t="shared" si="23"/>
        <v>124248.88888888889</v>
      </c>
      <c r="O56" s="55">
        <f t="shared" si="23"/>
        <v>111824</v>
      </c>
      <c r="P56" s="55">
        <f t="shared" si="23"/>
        <v>109912.72727272728</v>
      </c>
      <c r="Q56" s="55">
        <f t="shared" si="23"/>
        <v>100753.33333333334</v>
      </c>
      <c r="R56" s="55">
        <f t="shared" si="23"/>
        <v>103452.30769230769</v>
      </c>
      <c r="S56" s="55">
        <f t="shared" si="23"/>
        <v>96062.85714285713</v>
      </c>
      <c r="T56" s="55">
        <f t="shared" si="23"/>
        <v>104978.66666666667</v>
      </c>
      <c r="U56" s="55">
        <f t="shared" si="23"/>
        <v>98417.5</v>
      </c>
      <c r="V56" s="55">
        <f t="shared" si="22"/>
        <v>92628.235294117636</v>
      </c>
      <c r="W56" s="55">
        <f t="shared" si="22"/>
        <v>87482.222222222219</v>
      </c>
      <c r="X56" s="55">
        <f t="shared" si="22"/>
        <v>86035.789473684214</v>
      </c>
      <c r="Y56" s="55">
        <f t="shared" si="22"/>
        <v>48853</v>
      </c>
      <c r="AA56" s="48"/>
    </row>
    <row r="57" spans="2:50">
      <c r="B57" s="4" t="s">
        <v>99</v>
      </c>
      <c r="C57" s="149">
        <v>105000</v>
      </c>
      <c r="D57" s="4"/>
      <c r="E57" s="4"/>
      <c r="F57" s="55">
        <f t="shared" si="23"/>
        <v>38460</v>
      </c>
      <c r="G57" s="55">
        <f t="shared" si="23"/>
        <v>38460</v>
      </c>
      <c r="H57" s="55">
        <f t="shared" si="23"/>
        <v>25640</v>
      </c>
      <c r="I57" s="55">
        <f t="shared" si="23"/>
        <v>19230</v>
      </c>
      <c r="J57" s="55">
        <f t="shared" si="23"/>
        <v>33344</v>
      </c>
      <c r="K57" s="55">
        <f t="shared" si="23"/>
        <v>31120</v>
      </c>
      <c r="L57" s="55">
        <f t="shared" si="23"/>
        <v>48854.285714285717</v>
      </c>
      <c r="M57" s="55">
        <f t="shared" si="23"/>
        <v>42747.5</v>
      </c>
      <c r="N57" s="55">
        <f t="shared" si="23"/>
        <v>45820</v>
      </c>
      <c r="O57" s="55">
        <f t="shared" si="23"/>
        <v>41238</v>
      </c>
      <c r="P57" s="55">
        <f t="shared" si="23"/>
        <v>40125.454545454544</v>
      </c>
      <c r="Q57" s="55">
        <f t="shared" si="23"/>
        <v>43290</v>
      </c>
      <c r="R57" s="55">
        <f t="shared" si="23"/>
        <v>46321.538461538454</v>
      </c>
      <c r="S57" s="55">
        <f t="shared" si="23"/>
        <v>43012.857142857145</v>
      </c>
      <c r="T57" s="55">
        <f t="shared" si="23"/>
        <v>42453.333333333328</v>
      </c>
      <c r="U57" s="55">
        <f t="shared" si="23"/>
        <v>41535</v>
      </c>
      <c r="V57" s="55">
        <f t="shared" si="22"/>
        <v>39091.76470588235</v>
      </c>
      <c r="W57" s="55">
        <f t="shared" si="22"/>
        <v>41514.444444444445</v>
      </c>
      <c r="X57" s="55">
        <f t="shared" si="22"/>
        <v>39329.473684210527</v>
      </c>
      <c r="Y57" s="55">
        <f t="shared" si="22"/>
        <v>37363</v>
      </c>
      <c r="AA57" s="48"/>
    </row>
    <row r="58" spans="2:50">
      <c r="B58" s="4" t="s">
        <v>3</v>
      </c>
      <c r="C58" s="150">
        <v>345000</v>
      </c>
      <c r="D58" s="19"/>
      <c r="E58" s="19"/>
      <c r="F58" s="98">
        <f t="shared" si="23"/>
        <v>264780</v>
      </c>
      <c r="G58" s="98">
        <f t="shared" si="23"/>
        <v>274250</v>
      </c>
      <c r="H58" s="98">
        <f t="shared" si="23"/>
        <v>315213.33333333331</v>
      </c>
      <c r="I58" s="98">
        <f t="shared" si="23"/>
        <v>322315</v>
      </c>
      <c r="J58" s="98">
        <f t="shared" si="23"/>
        <v>316156</v>
      </c>
      <c r="K58" s="98">
        <f t="shared" si="23"/>
        <v>263463.33333333331</v>
      </c>
      <c r="L58" s="98">
        <f t="shared" si="23"/>
        <v>225825.71428571426</v>
      </c>
      <c r="M58" s="98">
        <f t="shared" si="23"/>
        <v>260890</v>
      </c>
      <c r="N58" s="98">
        <f t="shared" si="23"/>
        <v>243433.33333333331</v>
      </c>
      <c r="O58" s="98">
        <f t="shared" si="23"/>
        <v>241656</v>
      </c>
      <c r="P58" s="98">
        <f t="shared" si="23"/>
        <v>228930.90909090909</v>
      </c>
      <c r="Q58" s="98">
        <f t="shared" si="23"/>
        <v>232726.66666666669</v>
      </c>
      <c r="R58" s="98">
        <f t="shared" si="23"/>
        <v>220880</v>
      </c>
      <c r="S58" s="98">
        <f t="shared" si="23"/>
        <v>226064.28571428574</v>
      </c>
      <c r="T58" s="98">
        <f t="shared" si="23"/>
        <v>237696</v>
      </c>
      <c r="U58" s="98">
        <f t="shared" si="23"/>
        <v>233556.25</v>
      </c>
      <c r="V58" s="98">
        <f t="shared" si="22"/>
        <v>238115.29411764705</v>
      </c>
      <c r="W58" s="98">
        <f t="shared" si="22"/>
        <v>244434.44444444444</v>
      </c>
      <c r="X58" s="98">
        <f t="shared" si="22"/>
        <v>246634.73684210528</v>
      </c>
      <c r="Y58" s="98">
        <f t="shared" si="22"/>
        <v>263083</v>
      </c>
    </row>
    <row r="59" spans="2:50">
      <c r="B59" s="153" t="s">
        <v>27</v>
      </c>
      <c r="C59" s="151">
        <f>SUM(C52:C58)</f>
        <v>1706000</v>
      </c>
      <c r="D59" s="10">
        <f>SUM(D52:D58)</f>
        <v>0</v>
      </c>
      <c r="E59" s="10"/>
      <c r="F59" s="10">
        <f t="shared" ref="F59:Y59" si="24">SUM(F52:F58)</f>
        <v>1425540</v>
      </c>
      <c r="G59" s="10">
        <f t="shared" si="24"/>
        <v>1226960</v>
      </c>
      <c r="H59" s="10">
        <f t="shared" si="24"/>
        <v>1226313.3333333335</v>
      </c>
      <c r="I59" s="10">
        <f t="shared" si="24"/>
        <v>1277310</v>
      </c>
      <c r="J59" s="10">
        <f t="shared" si="24"/>
        <v>1275572</v>
      </c>
      <c r="K59" s="10">
        <f t="shared" si="24"/>
        <v>1193096.6666666667</v>
      </c>
      <c r="L59" s="10">
        <f t="shared" si="24"/>
        <v>1146354.2857142857</v>
      </c>
      <c r="M59" s="10">
        <f t="shared" si="24"/>
        <v>1175105</v>
      </c>
      <c r="N59" s="10">
        <f t="shared" si="24"/>
        <v>1120257.7777777778</v>
      </c>
      <c r="O59" s="10">
        <f t="shared" si="24"/>
        <v>1081498</v>
      </c>
      <c r="P59" s="10">
        <f t="shared" si="24"/>
        <v>984714.54545454541</v>
      </c>
      <c r="Q59" s="10">
        <f t="shared" si="24"/>
        <v>976706.66666666674</v>
      </c>
      <c r="R59" s="10">
        <f t="shared" si="24"/>
        <v>987329.23076923075</v>
      </c>
      <c r="S59" s="10">
        <f t="shared" si="24"/>
        <v>974694.28571428568</v>
      </c>
      <c r="T59" s="10">
        <f t="shared" si="24"/>
        <v>1025997.3333333333</v>
      </c>
      <c r="U59" s="10">
        <f t="shared" si="24"/>
        <v>1018460</v>
      </c>
      <c r="V59" s="10">
        <f t="shared" si="24"/>
        <v>1011083.5294117646</v>
      </c>
      <c r="W59" s="10">
        <f t="shared" si="24"/>
        <v>1002787.7777777778</v>
      </c>
      <c r="X59" s="10">
        <f t="shared" si="24"/>
        <v>976880.00000000012</v>
      </c>
      <c r="Y59" s="10">
        <f t="shared" si="24"/>
        <v>974110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85300</v>
      </c>
      <c r="G62" s="144">
        <f t="shared" ref="G62:Y62" si="25">+$C$13*G1</f>
        <v>170600</v>
      </c>
      <c r="H62" s="144">
        <f t="shared" si="25"/>
        <v>255900</v>
      </c>
      <c r="I62" s="144">
        <f t="shared" si="25"/>
        <v>341200</v>
      </c>
      <c r="J62" s="144">
        <f t="shared" si="25"/>
        <v>426500</v>
      </c>
      <c r="K62" s="144">
        <f t="shared" si="25"/>
        <v>511800</v>
      </c>
      <c r="L62" s="144">
        <f t="shared" si="25"/>
        <v>597100</v>
      </c>
      <c r="M62" s="144">
        <f t="shared" si="25"/>
        <v>682400</v>
      </c>
      <c r="N62" s="144">
        <f t="shared" si="25"/>
        <v>767700</v>
      </c>
      <c r="O62" s="144">
        <f t="shared" si="25"/>
        <v>853000</v>
      </c>
      <c r="P62" s="144">
        <f t="shared" si="25"/>
        <v>938300</v>
      </c>
      <c r="Q62" s="144">
        <f t="shared" si="25"/>
        <v>1023600</v>
      </c>
      <c r="R62" s="144">
        <f t="shared" si="25"/>
        <v>1108900</v>
      </c>
      <c r="S62" s="144">
        <f t="shared" si="25"/>
        <v>1194200</v>
      </c>
      <c r="T62" s="144">
        <f t="shared" si="25"/>
        <v>1279500</v>
      </c>
      <c r="U62" s="144">
        <f t="shared" si="25"/>
        <v>1364800</v>
      </c>
      <c r="V62" s="144">
        <f t="shared" si="25"/>
        <v>1450100</v>
      </c>
      <c r="W62" s="144">
        <f t="shared" si="25"/>
        <v>1535400</v>
      </c>
      <c r="X62" s="144">
        <f t="shared" si="25"/>
        <v>1620700</v>
      </c>
      <c r="Y62" s="144">
        <f t="shared" si="25"/>
        <v>1706000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9" type="noConversion"/>
  <conditionalFormatting sqref="Z14">
    <cfRule type="cellIs" dxfId="76" priority="8" stopIfTrue="1" operator="lessThan">
      <formula>$C$13</formula>
    </cfRule>
    <cfRule type="cellIs" dxfId="75" priority="9" stopIfTrue="1" operator="lessThan">
      <formula>$C$13</formula>
    </cfRule>
    <cfRule type="cellIs" dxfId="74" priority="10" stopIfTrue="1" operator="greaterThan">
      <formula>$C$13</formula>
    </cfRule>
    <cfRule type="cellIs" dxfId="73" priority="11" stopIfTrue="1" operator="greaterThan">
      <formula>$C$13</formula>
    </cfRule>
  </conditionalFormatting>
  <conditionalFormatting sqref="AA29:AA36">
    <cfRule type="cellIs" dxfId="72" priority="4" stopIfTrue="1" operator="lessThan">
      <formula>0</formula>
    </cfRule>
    <cfRule type="cellIs" dxfId="71" priority="5" stopIfTrue="1" operator="greaterThan">
      <formula>0</formula>
    </cfRule>
    <cfRule type="cellIs" dxfId="70" priority="6" stopIfTrue="1" operator="lessThan">
      <formula>0</formula>
    </cfRule>
    <cfRule type="cellIs" dxfId="69" priority="7" stopIfTrue="1" operator="greaterThan">
      <formula>0</formula>
    </cfRule>
  </conditionalFormatting>
  <conditionalFormatting sqref="Z6">
    <cfRule type="cellIs" dxfId="68" priority="2" stopIfTrue="1" operator="lessThan">
      <formula>$C$6</formula>
    </cfRule>
    <cfRule type="cellIs" dxfId="67" priority="3" stopIfTrue="1" operator="greaterThan">
      <formula>$C$6</formula>
    </cfRule>
  </conditionalFormatting>
  <conditionalFormatting sqref="Z6:Z12">
    <cfRule type="cellIs" dxfId="66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>
  <dimension ref="A1:AX80"/>
  <sheetViews>
    <sheetView showGridLines="0" zoomScale="85" zoomScaleNormal="85" zoomScalePageLayoutView="85" workbookViewId="0">
      <selection activeCell="F8" sqref="A1:F8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9.42578125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100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16000</v>
      </c>
      <c r="D6" s="10"/>
      <c r="E6" s="11">
        <v>3235</v>
      </c>
      <c r="F6" s="34">
        <v>3235</v>
      </c>
      <c r="G6" s="34">
        <v>11870</v>
      </c>
      <c r="H6" s="34">
        <v>3240</v>
      </c>
      <c r="I6" s="34">
        <v>2749</v>
      </c>
      <c r="J6" s="34">
        <v>16235</v>
      </c>
      <c r="K6" s="34">
        <v>5935</v>
      </c>
      <c r="L6" s="34">
        <v>11330</v>
      </c>
      <c r="M6" s="34">
        <v>5935</v>
      </c>
      <c r="N6" s="34">
        <v>0</v>
      </c>
      <c r="O6" s="34">
        <v>17650</v>
      </c>
      <c r="P6" s="34">
        <v>8330</v>
      </c>
      <c r="Q6" s="34">
        <v>3235</v>
      </c>
      <c r="R6" s="34">
        <v>5395</v>
      </c>
      <c r="S6" s="34">
        <v>3235</v>
      </c>
      <c r="T6" s="34">
        <v>3235</v>
      </c>
      <c r="U6" s="34">
        <v>3235</v>
      </c>
      <c r="V6" s="34">
        <v>19405</v>
      </c>
      <c r="W6" s="34">
        <v>14096</v>
      </c>
      <c r="X6" s="34">
        <v>11315</v>
      </c>
      <c r="Y6" s="34">
        <v>10084</v>
      </c>
      <c r="Z6" s="69">
        <f t="shared" ref="Z6:Z12" si="1">(SUM(F6:Y6)/(COUNT(F6:Y6)))</f>
        <v>7987.2</v>
      </c>
      <c r="AA6" s="103"/>
      <c r="AX6"/>
    </row>
    <row r="7" spans="1:50">
      <c r="B7" s="4" t="s">
        <v>64</v>
      </c>
      <c r="C7" s="20">
        <f t="shared" si="0"/>
        <v>8100</v>
      </c>
      <c r="D7" s="10"/>
      <c r="E7" s="11">
        <v>3200</v>
      </c>
      <c r="F7" s="34">
        <v>5895</v>
      </c>
      <c r="G7" s="34">
        <v>0</v>
      </c>
      <c r="H7" s="34">
        <v>0</v>
      </c>
      <c r="I7" s="34">
        <v>0</v>
      </c>
      <c r="J7" s="34">
        <v>1300</v>
      </c>
      <c r="K7" s="34">
        <v>0</v>
      </c>
      <c r="L7" s="34">
        <v>0</v>
      </c>
      <c r="M7" s="34">
        <v>0</v>
      </c>
      <c r="N7" s="34">
        <v>0</v>
      </c>
      <c r="O7" s="34">
        <v>3200</v>
      </c>
      <c r="P7" s="34">
        <v>9690</v>
      </c>
      <c r="Q7" s="34">
        <v>0</v>
      </c>
      <c r="R7" s="34">
        <v>0</v>
      </c>
      <c r="S7" s="34">
        <v>2695</v>
      </c>
      <c r="T7" s="34">
        <v>0</v>
      </c>
      <c r="U7" s="34">
        <v>2695</v>
      </c>
      <c r="V7" s="34">
        <v>0</v>
      </c>
      <c r="W7" s="34">
        <v>0</v>
      </c>
      <c r="X7" s="34">
        <v>0</v>
      </c>
      <c r="Y7" s="34">
        <v>0</v>
      </c>
      <c r="Z7" s="69">
        <f t="shared" si="1"/>
        <v>1273.75</v>
      </c>
      <c r="AA7" s="103"/>
      <c r="AX7"/>
    </row>
    <row r="8" spans="1:50">
      <c r="B8" s="4" t="s">
        <v>77</v>
      </c>
      <c r="C8" s="20">
        <f t="shared" si="0"/>
        <v>8100</v>
      </c>
      <c r="D8" s="10"/>
      <c r="E8" s="11">
        <v>9915</v>
      </c>
      <c r="F8" s="34">
        <v>8385</v>
      </c>
      <c r="G8" s="34">
        <v>8170</v>
      </c>
      <c r="H8" s="34">
        <v>0</v>
      </c>
      <c r="I8" s="34">
        <v>6195</v>
      </c>
      <c r="J8" s="34">
        <v>6000</v>
      </c>
      <c r="K8" s="34">
        <v>5120</v>
      </c>
      <c r="L8" s="34">
        <v>7085</v>
      </c>
      <c r="M8" s="34">
        <v>0</v>
      </c>
      <c r="N8" s="34">
        <v>11995</v>
      </c>
      <c r="O8" s="34">
        <v>7090</v>
      </c>
      <c r="P8" s="34">
        <v>0</v>
      </c>
      <c r="Q8" s="34">
        <v>2695</v>
      </c>
      <c r="R8" s="34">
        <v>0</v>
      </c>
      <c r="S8" s="34">
        <v>2695</v>
      </c>
      <c r="T8" s="34">
        <v>2695</v>
      </c>
      <c r="U8" s="34">
        <v>0</v>
      </c>
      <c r="V8" s="34">
        <v>5695</v>
      </c>
      <c r="W8" s="34">
        <v>0</v>
      </c>
      <c r="X8" s="34">
        <v>8190</v>
      </c>
      <c r="Y8" s="34">
        <v>4795</v>
      </c>
      <c r="Z8" s="69">
        <f t="shared" si="1"/>
        <v>4340.25</v>
      </c>
      <c r="AA8" s="103"/>
      <c r="AX8"/>
    </row>
    <row r="9" spans="1:50">
      <c r="B9" s="4" t="s">
        <v>1</v>
      </c>
      <c r="C9" s="20">
        <f t="shared" si="0"/>
        <v>13500</v>
      </c>
      <c r="D9" s="10"/>
      <c r="E9" s="11">
        <v>7235</v>
      </c>
      <c r="F9" s="34">
        <v>15775</v>
      </c>
      <c r="G9" s="34">
        <v>12990</v>
      </c>
      <c r="H9" s="34">
        <v>6250</v>
      </c>
      <c r="I9" s="34">
        <v>14090</v>
      </c>
      <c r="J9" s="34">
        <v>4250</v>
      </c>
      <c r="K9" s="34">
        <v>14595</v>
      </c>
      <c r="L9" s="34">
        <v>9540</v>
      </c>
      <c r="M9" s="34">
        <v>0</v>
      </c>
      <c r="N9" s="34">
        <v>9990</v>
      </c>
      <c r="O9" s="34">
        <v>4995</v>
      </c>
      <c r="P9" s="34">
        <v>2995</v>
      </c>
      <c r="Q9" s="34">
        <v>2995</v>
      </c>
      <c r="R9" s="34">
        <v>7495</v>
      </c>
      <c r="S9" s="34">
        <v>13160</v>
      </c>
      <c r="T9" s="34">
        <v>17890</v>
      </c>
      <c r="U9" s="34">
        <v>9995</v>
      </c>
      <c r="V9" s="34">
        <v>15730</v>
      </c>
      <c r="W9" s="34">
        <v>6495</v>
      </c>
      <c r="X9" s="34">
        <v>5990</v>
      </c>
      <c r="Y9" s="34">
        <v>7665</v>
      </c>
      <c r="Z9" s="69">
        <f t="shared" si="1"/>
        <v>9144.25</v>
      </c>
      <c r="AA9" s="103"/>
      <c r="AX9"/>
    </row>
    <row r="10" spans="1:50">
      <c r="B10" s="4" t="s">
        <v>2</v>
      </c>
      <c r="C10" s="20">
        <f t="shared" si="0"/>
        <v>8000</v>
      </c>
      <c r="D10" s="10"/>
      <c r="E10" s="11">
        <v>2995</v>
      </c>
      <c r="F10" s="34">
        <v>2995</v>
      </c>
      <c r="G10" s="34">
        <v>2995</v>
      </c>
      <c r="H10" s="34">
        <v>7990</v>
      </c>
      <c r="I10" s="34">
        <v>1500</v>
      </c>
      <c r="J10" s="34">
        <v>0</v>
      </c>
      <c r="K10" s="34">
        <v>0</v>
      </c>
      <c r="L10" s="34">
        <v>0</v>
      </c>
      <c r="M10" s="34">
        <v>2995</v>
      </c>
      <c r="N10" s="34">
        <v>1750</v>
      </c>
      <c r="O10" s="34">
        <v>9995</v>
      </c>
      <c r="P10" s="34">
        <v>8490</v>
      </c>
      <c r="Q10" s="34">
        <v>5495</v>
      </c>
      <c r="R10" s="34">
        <v>2245</v>
      </c>
      <c r="S10" s="34">
        <v>0</v>
      </c>
      <c r="T10" s="34">
        <v>3495</v>
      </c>
      <c r="U10" s="34">
        <v>0</v>
      </c>
      <c r="V10" s="34">
        <v>1995</v>
      </c>
      <c r="W10" s="34">
        <v>0</v>
      </c>
      <c r="X10" s="34">
        <v>6500</v>
      </c>
      <c r="Y10" s="34">
        <v>5495</v>
      </c>
      <c r="Z10" s="69">
        <f t="shared" si="1"/>
        <v>3196.75</v>
      </c>
      <c r="AA10" s="103"/>
      <c r="AX10"/>
    </row>
    <row r="11" spans="1:50">
      <c r="B11" s="4" t="s">
        <v>99</v>
      </c>
      <c r="C11" s="20">
        <f t="shared" si="0"/>
        <v>6000</v>
      </c>
      <c r="D11" s="10"/>
      <c r="E11" s="11">
        <v>2324</v>
      </c>
      <c r="F11" s="34">
        <v>2324</v>
      </c>
      <c r="G11" s="34">
        <v>0</v>
      </c>
      <c r="H11" s="34">
        <v>1000</v>
      </c>
      <c r="I11" s="34">
        <v>0</v>
      </c>
      <c r="J11" s="34">
        <v>0</v>
      </c>
      <c r="K11" s="34">
        <v>1800</v>
      </c>
      <c r="L11" s="34">
        <v>0</v>
      </c>
      <c r="M11" s="34">
        <v>0</v>
      </c>
      <c r="N11" s="34">
        <v>0</v>
      </c>
      <c r="O11" s="34">
        <v>3520</v>
      </c>
      <c r="P11" s="34">
        <v>0</v>
      </c>
      <c r="Q11" s="34">
        <v>0</v>
      </c>
      <c r="R11" s="34">
        <v>2481</v>
      </c>
      <c r="S11" s="34">
        <v>1250</v>
      </c>
      <c r="T11" s="34">
        <v>0</v>
      </c>
      <c r="U11" s="34">
        <v>1743</v>
      </c>
      <c r="V11" s="34">
        <v>0</v>
      </c>
      <c r="W11" s="34">
        <v>0</v>
      </c>
      <c r="X11" s="34">
        <v>0</v>
      </c>
      <c r="Y11" s="34">
        <v>0</v>
      </c>
      <c r="Z11" s="69">
        <f t="shared" si="1"/>
        <v>705.9</v>
      </c>
      <c r="AA11" s="103"/>
      <c r="AX11"/>
    </row>
    <row r="12" spans="1:50">
      <c r="B12" s="4" t="s">
        <v>3</v>
      </c>
      <c r="C12" s="21">
        <f t="shared" si="0"/>
        <v>15000</v>
      </c>
      <c r="D12" s="13"/>
      <c r="E12" s="40">
        <v>22026</v>
      </c>
      <c r="F12" s="35">
        <v>24477</v>
      </c>
      <c r="G12" s="35">
        <v>14207</v>
      </c>
      <c r="H12" s="35">
        <v>17320</v>
      </c>
      <c r="I12" s="35">
        <v>12772</v>
      </c>
      <c r="J12" s="35">
        <v>30292</v>
      </c>
      <c r="K12" s="35">
        <v>14804</v>
      </c>
      <c r="L12" s="35">
        <v>17418</v>
      </c>
      <c r="M12" s="35">
        <v>17198</v>
      </c>
      <c r="N12" s="35">
        <v>19413</v>
      </c>
      <c r="O12" s="35">
        <v>30015</v>
      </c>
      <c r="P12" s="35">
        <v>16842</v>
      </c>
      <c r="Q12" s="35">
        <v>16682</v>
      </c>
      <c r="R12" s="35">
        <v>18071</v>
      </c>
      <c r="S12" s="35">
        <v>12639</v>
      </c>
      <c r="T12" s="35">
        <v>15435</v>
      </c>
      <c r="U12" s="35">
        <v>14500</v>
      </c>
      <c r="V12" s="35">
        <v>16437</v>
      </c>
      <c r="W12" s="35">
        <v>19258</v>
      </c>
      <c r="X12" s="35">
        <v>17433</v>
      </c>
      <c r="Y12" s="35">
        <v>19942</v>
      </c>
      <c r="Z12" s="177">
        <f t="shared" si="1"/>
        <v>18257.75</v>
      </c>
      <c r="AA12" s="103"/>
      <c r="AX12"/>
    </row>
    <row r="13" spans="1:50" ht="15.75" thickBot="1">
      <c r="B13" s="14" t="s">
        <v>27</v>
      </c>
      <c r="C13" s="20">
        <f>SUM(C6:C12)</f>
        <v>74700</v>
      </c>
      <c r="D13" s="10"/>
      <c r="E13" s="11">
        <f t="shared" ref="E13:Y13" si="2">SUM(E6:E12)</f>
        <v>50930</v>
      </c>
      <c r="F13" s="127">
        <f t="shared" si="2"/>
        <v>63086</v>
      </c>
      <c r="G13" s="127">
        <f t="shared" si="2"/>
        <v>50232</v>
      </c>
      <c r="H13" s="127">
        <f t="shared" si="2"/>
        <v>35800</v>
      </c>
      <c r="I13" s="127">
        <f t="shared" si="2"/>
        <v>37306</v>
      </c>
      <c r="J13" s="127">
        <f t="shared" si="2"/>
        <v>58077</v>
      </c>
      <c r="K13" s="127">
        <f t="shared" si="2"/>
        <v>42254</v>
      </c>
      <c r="L13" s="127">
        <f t="shared" si="2"/>
        <v>45373</v>
      </c>
      <c r="M13" s="127">
        <f t="shared" si="2"/>
        <v>26128</v>
      </c>
      <c r="N13" s="127">
        <f t="shared" si="2"/>
        <v>43148</v>
      </c>
      <c r="O13" s="127">
        <f t="shared" si="2"/>
        <v>76465</v>
      </c>
      <c r="P13" s="127">
        <f t="shared" si="2"/>
        <v>46347</v>
      </c>
      <c r="Q13" s="127">
        <f t="shared" si="2"/>
        <v>31102</v>
      </c>
      <c r="R13" s="127">
        <f t="shared" si="2"/>
        <v>35687</v>
      </c>
      <c r="S13" s="127">
        <f t="shared" si="2"/>
        <v>35674</v>
      </c>
      <c r="T13" s="127">
        <f t="shared" si="2"/>
        <v>42750</v>
      </c>
      <c r="U13" s="127">
        <f t="shared" si="2"/>
        <v>32168</v>
      </c>
      <c r="V13" s="127">
        <f t="shared" si="2"/>
        <v>59262</v>
      </c>
      <c r="W13" s="127">
        <f t="shared" si="2"/>
        <v>39849</v>
      </c>
      <c r="X13" s="127">
        <f t="shared" si="2"/>
        <v>49428</v>
      </c>
      <c r="Y13" s="127">
        <f t="shared" si="2"/>
        <v>47981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58">
        <f>(SUM(F13:Y13)/(COUNT(F13:Y13)))</f>
        <v>44905.85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0.20218749999999996</v>
      </c>
      <c r="G18" s="25">
        <f t="shared" si="5"/>
        <v>0.74187500000000006</v>
      </c>
      <c r="H18" s="25">
        <f t="shared" si="5"/>
        <v>0.20250000000000001</v>
      </c>
      <c r="I18" s="25">
        <f t="shared" si="5"/>
        <v>0.17181250000000003</v>
      </c>
      <c r="J18" s="25">
        <f t="shared" si="5"/>
        <v>1.0146875</v>
      </c>
      <c r="K18" s="25">
        <f t="shared" si="5"/>
        <v>0.37093750000000003</v>
      </c>
      <c r="L18" s="25">
        <f t="shared" si="5"/>
        <v>0.708125</v>
      </c>
      <c r="M18" s="25">
        <f t="shared" si="5"/>
        <v>0.37093750000000003</v>
      </c>
      <c r="N18" s="25">
        <f t="shared" si="5"/>
        <v>0</v>
      </c>
      <c r="O18" s="25">
        <f t="shared" si="5"/>
        <v>1.1031249999999999</v>
      </c>
      <c r="P18" s="25">
        <f t="shared" si="5"/>
        <v>0.520625</v>
      </c>
      <c r="Q18" s="25">
        <f t="shared" si="5"/>
        <v>0.20218749999999996</v>
      </c>
      <c r="R18" s="25">
        <f t="shared" si="5"/>
        <v>0.33718749999999997</v>
      </c>
      <c r="S18" s="25">
        <f t="shared" si="5"/>
        <v>0.20218749999999996</v>
      </c>
      <c r="T18" s="25">
        <f t="shared" si="5"/>
        <v>0.20218749999999996</v>
      </c>
      <c r="U18" s="25">
        <f t="shared" si="5"/>
        <v>0.20218749999999996</v>
      </c>
      <c r="V18" s="25">
        <f t="shared" si="5"/>
        <v>1.2128125000000001</v>
      </c>
      <c r="W18" s="25">
        <f t="shared" si="5"/>
        <v>0.88100000000000001</v>
      </c>
      <c r="X18" s="25">
        <f t="shared" si="5"/>
        <v>0.70718750000000008</v>
      </c>
      <c r="Y18" s="25">
        <f t="shared" si="5"/>
        <v>0.63024999999999998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0.72777777777777786</v>
      </c>
      <c r="G19" s="25">
        <f t="shared" si="5"/>
        <v>0</v>
      </c>
      <c r="H19" s="25">
        <f t="shared" si="5"/>
        <v>0</v>
      </c>
      <c r="I19" s="25">
        <f t="shared" si="5"/>
        <v>0</v>
      </c>
      <c r="J19" s="25">
        <f t="shared" si="5"/>
        <v>0.16049382716049387</v>
      </c>
      <c r="K19" s="25">
        <f t="shared" si="5"/>
        <v>0</v>
      </c>
      <c r="L19" s="25">
        <f t="shared" si="5"/>
        <v>0</v>
      </c>
      <c r="M19" s="25">
        <f t="shared" si="5"/>
        <v>0</v>
      </c>
      <c r="N19" s="25">
        <f t="shared" si="5"/>
        <v>0</v>
      </c>
      <c r="O19" s="25">
        <f t="shared" si="5"/>
        <v>0.39506172839506171</v>
      </c>
      <c r="P19" s="25">
        <f t="shared" si="5"/>
        <v>1.1962962962962962</v>
      </c>
      <c r="Q19" s="25">
        <f t="shared" si="5"/>
        <v>0</v>
      </c>
      <c r="R19" s="25">
        <f t="shared" si="5"/>
        <v>0</v>
      </c>
      <c r="S19" s="25">
        <f t="shared" si="5"/>
        <v>0.33271604938271604</v>
      </c>
      <c r="T19" s="25">
        <f t="shared" si="5"/>
        <v>0</v>
      </c>
      <c r="U19" s="25">
        <f t="shared" si="5"/>
        <v>0.33271604938271604</v>
      </c>
      <c r="V19" s="25">
        <f t="shared" si="5"/>
        <v>0</v>
      </c>
      <c r="W19" s="25">
        <f t="shared" si="5"/>
        <v>0</v>
      </c>
      <c r="X19" s="25">
        <f t="shared" si="5"/>
        <v>0</v>
      </c>
      <c r="Y19" s="25">
        <f t="shared" si="5"/>
        <v>0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1.0351851851851852</v>
      </c>
      <c r="G20" s="25">
        <f t="shared" si="5"/>
        <v>1.008641975308642</v>
      </c>
      <c r="H20" s="25">
        <f t="shared" si="5"/>
        <v>0</v>
      </c>
      <c r="I20" s="25">
        <f t="shared" si="5"/>
        <v>0.76481481481481484</v>
      </c>
      <c r="J20" s="25">
        <f t="shared" si="5"/>
        <v>0.7407407407407407</v>
      </c>
      <c r="K20" s="25">
        <f t="shared" si="5"/>
        <v>0.63209876543209875</v>
      </c>
      <c r="L20" s="25">
        <f t="shared" si="5"/>
        <v>0.87469135802469133</v>
      </c>
      <c r="M20" s="25">
        <f t="shared" si="5"/>
        <v>0</v>
      </c>
      <c r="N20" s="25">
        <f t="shared" si="5"/>
        <v>1.4808641975308641</v>
      </c>
      <c r="O20" s="25">
        <f t="shared" si="5"/>
        <v>0.87530864197530867</v>
      </c>
      <c r="P20" s="25">
        <f t="shared" si="5"/>
        <v>0</v>
      </c>
      <c r="Q20" s="25">
        <f t="shared" si="5"/>
        <v>0.33271604938271604</v>
      </c>
      <c r="R20" s="25">
        <f t="shared" si="5"/>
        <v>0</v>
      </c>
      <c r="S20" s="25">
        <f t="shared" si="5"/>
        <v>0.33271604938271604</v>
      </c>
      <c r="T20" s="25">
        <f t="shared" si="5"/>
        <v>0.33271604938271604</v>
      </c>
      <c r="U20" s="25">
        <f t="shared" si="5"/>
        <v>0</v>
      </c>
      <c r="V20" s="25">
        <f t="shared" si="5"/>
        <v>0.70308641975308639</v>
      </c>
      <c r="W20" s="25">
        <f t="shared" si="5"/>
        <v>0</v>
      </c>
      <c r="X20" s="25">
        <f t="shared" si="5"/>
        <v>1.0111111111111111</v>
      </c>
      <c r="Y20" s="25">
        <f t="shared" si="5"/>
        <v>0.59197530864197523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1.1685185185185185</v>
      </c>
      <c r="G21" s="25">
        <f t="shared" si="5"/>
        <v>0.9622222222222222</v>
      </c>
      <c r="H21" s="25">
        <f t="shared" si="5"/>
        <v>0.46296296296296291</v>
      </c>
      <c r="I21" s="25">
        <f t="shared" si="5"/>
        <v>1.0437037037037038</v>
      </c>
      <c r="J21" s="25">
        <f t="shared" si="5"/>
        <v>0.31481481481481477</v>
      </c>
      <c r="K21" s="25">
        <f t="shared" si="5"/>
        <v>1.0811111111111111</v>
      </c>
      <c r="L21" s="25">
        <f t="shared" si="5"/>
        <v>0.70666666666666667</v>
      </c>
      <c r="M21" s="25">
        <f t="shared" si="5"/>
        <v>0</v>
      </c>
      <c r="N21" s="25">
        <f t="shared" si="5"/>
        <v>0.74</v>
      </c>
      <c r="O21" s="25">
        <f t="shared" si="5"/>
        <v>0.37</v>
      </c>
      <c r="P21" s="25">
        <f t="shared" si="5"/>
        <v>0.22185185185185186</v>
      </c>
      <c r="Q21" s="25">
        <f t="shared" si="5"/>
        <v>0.22185185185185186</v>
      </c>
      <c r="R21" s="25">
        <f t="shared" si="5"/>
        <v>0.55518518518518523</v>
      </c>
      <c r="S21" s="25">
        <f t="shared" si="5"/>
        <v>0.9748148148148148</v>
      </c>
      <c r="T21" s="25">
        <f t="shared" si="5"/>
        <v>1.3251851851851852</v>
      </c>
      <c r="U21" s="25">
        <f t="shared" si="5"/>
        <v>0.74037037037037035</v>
      </c>
      <c r="V21" s="25">
        <f t="shared" si="5"/>
        <v>1.1651851851851851</v>
      </c>
      <c r="W21" s="25">
        <f t="shared" si="5"/>
        <v>0.48111111111111116</v>
      </c>
      <c r="X21" s="25">
        <f t="shared" si="5"/>
        <v>0.44370370370370371</v>
      </c>
      <c r="Y21" s="25">
        <f t="shared" si="5"/>
        <v>0.56777777777777771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0.37437500000000001</v>
      </c>
      <c r="G22" s="25">
        <f t="shared" si="6"/>
        <v>0.37437500000000001</v>
      </c>
      <c r="H22" s="25">
        <f t="shared" si="6"/>
        <v>0.99875000000000003</v>
      </c>
      <c r="I22" s="25">
        <f t="shared" si="6"/>
        <v>0.1875</v>
      </c>
      <c r="J22" s="25">
        <f t="shared" si="6"/>
        <v>0</v>
      </c>
      <c r="K22" s="25">
        <f t="shared" si="6"/>
        <v>0</v>
      </c>
      <c r="L22" s="25">
        <f t="shared" si="6"/>
        <v>0</v>
      </c>
      <c r="M22" s="25">
        <f t="shared" si="6"/>
        <v>0.37437500000000001</v>
      </c>
      <c r="N22" s="25">
        <f t="shared" si="6"/>
        <v>0.21875</v>
      </c>
      <c r="O22" s="25">
        <f t="shared" si="6"/>
        <v>1.2493750000000001</v>
      </c>
      <c r="P22" s="25">
        <f t="shared" si="6"/>
        <v>1.06125</v>
      </c>
      <c r="Q22" s="25">
        <f t="shared" si="6"/>
        <v>0.68687500000000001</v>
      </c>
      <c r="R22" s="25">
        <f t="shared" si="6"/>
        <v>0.28062500000000001</v>
      </c>
      <c r="S22" s="25">
        <f t="shared" si="6"/>
        <v>0</v>
      </c>
      <c r="T22" s="25">
        <f t="shared" si="6"/>
        <v>0.43687500000000001</v>
      </c>
      <c r="U22" s="25">
        <f t="shared" si="6"/>
        <v>0</v>
      </c>
      <c r="V22" s="25">
        <f t="shared" si="6"/>
        <v>0.24937500000000001</v>
      </c>
      <c r="W22" s="25">
        <f t="shared" si="6"/>
        <v>0</v>
      </c>
      <c r="X22" s="25">
        <f t="shared" si="6"/>
        <v>0.8125</v>
      </c>
      <c r="Y22" s="25">
        <f t="shared" si="6"/>
        <v>0.68687500000000001</v>
      </c>
      <c r="Z22" s="104"/>
      <c r="AA22" s="104"/>
    </row>
    <row r="23" spans="2:50" s="1" customFormat="1" ht="12.75">
      <c r="B23" s="4" t="s">
        <v>99</v>
      </c>
      <c r="C23" s="25">
        <f t="shared" si="4"/>
        <v>1</v>
      </c>
      <c r="D23" s="25"/>
      <c r="E23" s="25"/>
      <c r="F23" s="25">
        <f t="shared" si="6"/>
        <v>0.38733333333333331</v>
      </c>
      <c r="G23" s="25">
        <f t="shared" si="6"/>
        <v>0</v>
      </c>
      <c r="H23" s="25">
        <f t="shared" si="6"/>
        <v>0.16666666666666663</v>
      </c>
      <c r="I23" s="25">
        <f t="shared" si="6"/>
        <v>0</v>
      </c>
      <c r="J23" s="25">
        <f t="shared" si="6"/>
        <v>0</v>
      </c>
      <c r="K23" s="25">
        <f t="shared" si="6"/>
        <v>0.30000000000000004</v>
      </c>
      <c r="L23" s="25">
        <f t="shared" si="6"/>
        <v>0</v>
      </c>
      <c r="M23" s="25">
        <f t="shared" si="6"/>
        <v>0</v>
      </c>
      <c r="N23" s="25">
        <f t="shared" si="6"/>
        <v>0</v>
      </c>
      <c r="O23" s="25">
        <f t="shared" si="6"/>
        <v>0.58666666666666667</v>
      </c>
      <c r="P23" s="25">
        <f t="shared" si="6"/>
        <v>0</v>
      </c>
      <c r="Q23" s="25">
        <f t="shared" si="6"/>
        <v>0</v>
      </c>
      <c r="R23" s="25">
        <f t="shared" si="6"/>
        <v>0.41349999999999998</v>
      </c>
      <c r="S23" s="25">
        <f t="shared" si="6"/>
        <v>0.20833333333333337</v>
      </c>
      <c r="T23" s="25">
        <f t="shared" si="6"/>
        <v>0</v>
      </c>
      <c r="U23" s="25">
        <f t="shared" si="6"/>
        <v>0.29049999999999998</v>
      </c>
      <c r="V23" s="25">
        <f t="shared" si="6"/>
        <v>0</v>
      </c>
      <c r="W23" s="25">
        <f t="shared" si="6"/>
        <v>0</v>
      </c>
      <c r="X23" s="25">
        <f t="shared" si="6"/>
        <v>0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1.6318000000000001</v>
      </c>
      <c r="G24" s="27">
        <f t="shared" si="6"/>
        <v>0.94713333333333338</v>
      </c>
      <c r="H24" s="27">
        <f t="shared" si="6"/>
        <v>1.1546666666666667</v>
      </c>
      <c r="I24" s="27">
        <f t="shared" si="6"/>
        <v>0.8514666666666667</v>
      </c>
      <c r="J24" s="27">
        <f t="shared" si="6"/>
        <v>2.0194666666666667</v>
      </c>
      <c r="K24" s="27">
        <f t="shared" si="6"/>
        <v>0.98693333333333333</v>
      </c>
      <c r="L24" s="27">
        <f t="shared" si="6"/>
        <v>1.1612</v>
      </c>
      <c r="M24" s="27">
        <f t="shared" si="6"/>
        <v>1.1465333333333334</v>
      </c>
      <c r="N24" s="27">
        <f t="shared" si="6"/>
        <v>1.2942</v>
      </c>
      <c r="O24" s="27">
        <f t="shared" si="6"/>
        <v>2.0009999999999999</v>
      </c>
      <c r="P24" s="27">
        <f t="shared" si="6"/>
        <v>1.1228</v>
      </c>
      <c r="Q24" s="27">
        <f t="shared" si="6"/>
        <v>1.1121333333333334</v>
      </c>
      <c r="R24" s="27">
        <f t="shared" si="6"/>
        <v>1.2047333333333334</v>
      </c>
      <c r="S24" s="27">
        <f t="shared" si="6"/>
        <v>0.84260000000000002</v>
      </c>
      <c r="T24" s="27">
        <f t="shared" si="6"/>
        <v>1.0289999999999999</v>
      </c>
      <c r="U24" s="27">
        <f t="shared" si="6"/>
        <v>0.96666666666666667</v>
      </c>
      <c r="V24" s="27">
        <f t="shared" si="6"/>
        <v>1.0958000000000001</v>
      </c>
      <c r="W24" s="27">
        <f t="shared" si="6"/>
        <v>1.2838666666666667</v>
      </c>
      <c r="X24" s="27">
        <f t="shared" si="6"/>
        <v>1.1621999999999999</v>
      </c>
      <c r="Y24" s="27">
        <f t="shared" si="6"/>
        <v>1.3294666666666668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0.84452476572958501</v>
      </c>
      <c r="G25" s="25">
        <f t="shared" si="6"/>
        <v>0.67244979919678716</v>
      </c>
      <c r="H25" s="25">
        <f t="shared" si="6"/>
        <v>0.47925033467202138</v>
      </c>
      <c r="I25" s="25">
        <f t="shared" si="6"/>
        <v>0.49941097724230255</v>
      </c>
      <c r="J25" s="25">
        <f>(J13-$C13)/$C13+1</f>
        <v>0.77746987951807234</v>
      </c>
      <c r="K25" s="25">
        <f>(K13-$C13)/$C13+1</f>
        <v>0.56564926372155289</v>
      </c>
      <c r="L25" s="25">
        <f>(L13-$C13)/$C13+1</f>
        <v>0.60740294511378856</v>
      </c>
      <c r="M25" s="25">
        <f t="shared" si="6"/>
        <v>0.3497724230254351</v>
      </c>
      <c r="N25" s="25">
        <f t="shared" si="6"/>
        <v>0.57761713520749658</v>
      </c>
      <c r="O25" s="25">
        <f t="shared" si="6"/>
        <v>1.023627844712182</v>
      </c>
      <c r="P25" s="25">
        <f t="shared" si="6"/>
        <v>0.62044176706827314</v>
      </c>
      <c r="Q25" s="25">
        <f t="shared" si="6"/>
        <v>0.41635876840696118</v>
      </c>
      <c r="R25" s="25">
        <f t="shared" si="6"/>
        <v>0.47773761713520746</v>
      </c>
      <c r="S25" s="25">
        <f>(S13-$C13)/$C13+1</f>
        <v>0.47756358768406959</v>
      </c>
      <c r="T25" s="25">
        <f>(T13-$C13)/$C13+1</f>
        <v>0.57228915662650603</v>
      </c>
      <c r="U25" s="25">
        <f>(U13-$C13)/$C13+1</f>
        <v>0.43062918340026779</v>
      </c>
      <c r="V25" s="25">
        <f>(V13-$C13)/$C13+1</f>
        <v>0.79333333333333333</v>
      </c>
      <c r="W25" s="25">
        <f>(W13-$C13)/$C13+1</f>
        <v>0.53345381526104418</v>
      </c>
      <c r="X25" s="25">
        <f t="shared" si="6"/>
        <v>0.66168674698795182</v>
      </c>
      <c r="Y25" s="25">
        <f t="shared" si="6"/>
        <v>0.64231593038821955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3235</v>
      </c>
      <c r="G29" s="34">
        <v>15105</v>
      </c>
      <c r="H29" s="34">
        <v>18345</v>
      </c>
      <c r="I29" s="34">
        <v>21094</v>
      </c>
      <c r="J29" s="34">
        <v>37329</v>
      </c>
      <c r="K29" s="34">
        <v>43264</v>
      </c>
      <c r="L29" s="34">
        <v>54594</v>
      </c>
      <c r="M29" s="34">
        <v>60529</v>
      </c>
      <c r="N29" s="34">
        <v>60529</v>
      </c>
      <c r="O29" s="34">
        <v>78179</v>
      </c>
      <c r="P29" s="34">
        <v>86509</v>
      </c>
      <c r="Q29" s="34">
        <v>89744</v>
      </c>
      <c r="R29" s="34">
        <v>95139</v>
      </c>
      <c r="S29" s="34">
        <v>98375</v>
      </c>
      <c r="T29" s="34">
        <v>83269</v>
      </c>
      <c r="U29" s="34">
        <v>89739</v>
      </c>
      <c r="V29" s="34">
        <v>100249</v>
      </c>
      <c r="W29" s="34">
        <v>117035</v>
      </c>
      <c r="X29" s="34">
        <v>128350</v>
      </c>
      <c r="Y29" s="34">
        <v>130489</v>
      </c>
      <c r="Z29" s="109">
        <f>+Y29/C52</f>
        <v>0.40777812499999999</v>
      </c>
      <c r="AA29" s="145">
        <f t="shared" ref="AA29:AA36" si="9">+Z29-Y$27</f>
        <v>-0.59222187500000001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3200</v>
      </c>
      <c r="G30" s="34">
        <v>3200</v>
      </c>
      <c r="H30" s="34">
        <v>3200</v>
      </c>
      <c r="I30" s="34">
        <v>3200</v>
      </c>
      <c r="J30" s="34">
        <v>3200</v>
      </c>
      <c r="K30" s="34">
        <v>1500</v>
      </c>
      <c r="L30" s="34">
        <v>4500</v>
      </c>
      <c r="M30" s="34">
        <v>4500</v>
      </c>
      <c r="N30" s="34">
        <v>4500</v>
      </c>
      <c r="O30" s="34">
        <v>7700</v>
      </c>
      <c r="P30" s="34">
        <v>17390</v>
      </c>
      <c r="Q30" s="34">
        <v>17390</v>
      </c>
      <c r="R30" s="34">
        <v>17390</v>
      </c>
      <c r="S30" s="34">
        <v>20085</v>
      </c>
      <c r="T30" s="34">
        <v>20085</v>
      </c>
      <c r="U30" s="34">
        <v>22780</v>
      </c>
      <c r="V30" s="34">
        <v>22780</v>
      </c>
      <c r="W30" s="34">
        <v>22780</v>
      </c>
      <c r="X30" s="34">
        <v>22780</v>
      </c>
      <c r="Y30" s="34">
        <v>21480</v>
      </c>
      <c r="Z30" s="109">
        <f>+Y30/C53</f>
        <v>0.1325925925925926</v>
      </c>
      <c r="AA30" s="146">
        <f t="shared" si="9"/>
        <v>-0.8674074074074074</v>
      </c>
      <c r="AX30"/>
    </row>
    <row r="31" spans="2:50">
      <c r="B31" s="4" t="str">
        <f>+B20</f>
        <v>Brazil</v>
      </c>
      <c r="C31" s="4"/>
      <c r="D31" s="4"/>
      <c r="E31" s="23"/>
      <c r="F31" s="122">
        <v>9915</v>
      </c>
      <c r="G31" s="34">
        <v>18085</v>
      </c>
      <c r="H31" s="34">
        <v>18085</v>
      </c>
      <c r="I31" s="34">
        <v>24280</v>
      </c>
      <c r="J31" s="34">
        <v>30280</v>
      </c>
      <c r="K31" s="34">
        <v>32975</v>
      </c>
      <c r="L31" s="34">
        <v>42485</v>
      </c>
      <c r="M31" s="34">
        <v>42485</v>
      </c>
      <c r="N31" s="34">
        <v>54480</v>
      </c>
      <c r="O31" s="34">
        <v>61570</v>
      </c>
      <c r="P31" s="34">
        <v>61570</v>
      </c>
      <c r="Q31" s="34">
        <v>61570</v>
      </c>
      <c r="R31" s="34">
        <v>64265</v>
      </c>
      <c r="S31" s="34">
        <v>66960</v>
      </c>
      <c r="T31" s="34">
        <v>69655</v>
      </c>
      <c r="U31" s="34">
        <v>69655</v>
      </c>
      <c r="V31" s="34">
        <v>75730</v>
      </c>
      <c r="W31" s="34">
        <v>72655</v>
      </c>
      <c r="X31" s="34">
        <v>68890</v>
      </c>
      <c r="Y31" s="34">
        <v>63020</v>
      </c>
      <c r="Z31" s="109">
        <f>+Y31/C54</f>
        <v>0.38901234567901233</v>
      </c>
      <c r="AA31" s="146">
        <f t="shared" si="9"/>
        <v>-0.61098765432098767</v>
      </c>
      <c r="AX31"/>
    </row>
    <row r="32" spans="2:50">
      <c r="B32" s="4" t="str">
        <f>+B21</f>
        <v>Boston</v>
      </c>
      <c r="C32" s="4"/>
      <c r="D32" s="4"/>
      <c r="E32" s="23"/>
      <c r="F32" s="122">
        <v>7235</v>
      </c>
      <c r="G32" s="34">
        <v>15230</v>
      </c>
      <c r="H32" s="34">
        <v>18235</v>
      </c>
      <c r="I32" s="34">
        <v>28325</v>
      </c>
      <c r="J32" s="34">
        <v>38070</v>
      </c>
      <c r="K32" s="34">
        <v>52665</v>
      </c>
      <c r="L32" s="34">
        <v>60750</v>
      </c>
      <c r="M32" s="34">
        <v>60750</v>
      </c>
      <c r="N32" s="34">
        <v>64750</v>
      </c>
      <c r="O32" s="34">
        <v>69745</v>
      </c>
      <c r="P32" s="34">
        <v>75735</v>
      </c>
      <c r="Q32" s="34">
        <v>75735</v>
      </c>
      <c r="R32" s="34">
        <v>81230</v>
      </c>
      <c r="S32" s="34">
        <v>88895</v>
      </c>
      <c r="T32" s="34">
        <v>104240</v>
      </c>
      <c r="U32" s="34">
        <v>104240</v>
      </c>
      <c r="V32" s="34">
        <v>113485</v>
      </c>
      <c r="W32" s="34">
        <v>111985</v>
      </c>
      <c r="X32" s="34">
        <v>111985</v>
      </c>
      <c r="Y32" s="34">
        <v>113475</v>
      </c>
      <c r="Z32" s="109">
        <f>+Y32/C55</f>
        <v>0.42027777777777775</v>
      </c>
      <c r="AA32" s="146">
        <f t="shared" si="9"/>
        <v>-0.57972222222222225</v>
      </c>
      <c r="AX32"/>
    </row>
    <row r="33" spans="2:50" s="4" customFormat="1" ht="12.75">
      <c r="B33" s="4" t="str">
        <f>+B22</f>
        <v>Canada</v>
      </c>
      <c r="E33" s="23"/>
      <c r="F33" s="122">
        <v>2995</v>
      </c>
      <c r="G33" s="34">
        <v>5990</v>
      </c>
      <c r="H33" s="34">
        <v>5990</v>
      </c>
      <c r="I33" s="34">
        <v>13980</v>
      </c>
      <c r="J33" s="34">
        <v>13980</v>
      </c>
      <c r="K33" s="34">
        <v>13980</v>
      </c>
      <c r="L33" s="34">
        <v>13980</v>
      </c>
      <c r="M33" s="34">
        <v>15480</v>
      </c>
      <c r="N33" s="34">
        <v>17230</v>
      </c>
      <c r="O33" s="34">
        <v>30220</v>
      </c>
      <c r="P33" s="34">
        <v>38710</v>
      </c>
      <c r="Q33" s="34">
        <v>44205</v>
      </c>
      <c r="R33" s="34">
        <v>44205</v>
      </c>
      <c r="S33" s="34">
        <v>44205</v>
      </c>
      <c r="T33" s="34">
        <v>47700</v>
      </c>
      <c r="U33" s="34">
        <v>45304</v>
      </c>
      <c r="V33" s="34">
        <v>45304</v>
      </c>
      <c r="W33" s="34">
        <v>47299</v>
      </c>
      <c r="X33" s="34">
        <v>47299</v>
      </c>
      <c r="Y33" s="34">
        <v>60794</v>
      </c>
      <c r="Z33" s="109">
        <f>Y33/C56</f>
        <v>0.37996249999999998</v>
      </c>
      <c r="AA33" s="146">
        <f t="shared" si="9"/>
        <v>-0.62003750000000002</v>
      </c>
    </row>
    <row r="34" spans="2:50" s="4" customFormat="1" ht="12.75">
      <c r="B34" s="4" t="s">
        <v>99</v>
      </c>
      <c r="E34" s="23"/>
      <c r="F34" s="122">
        <v>2324</v>
      </c>
      <c r="G34" s="34">
        <v>2324</v>
      </c>
      <c r="H34" s="34">
        <v>3324</v>
      </c>
      <c r="I34" s="34">
        <v>3324</v>
      </c>
      <c r="J34" s="34">
        <v>3324</v>
      </c>
      <c r="K34" s="34">
        <v>5124</v>
      </c>
      <c r="L34" s="34">
        <v>5124</v>
      </c>
      <c r="M34" s="34">
        <v>5124</v>
      </c>
      <c r="N34" s="34">
        <v>5124</v>
      </c>
      <c r="O34" s="34">
        <v>8644</v>
      </c>
      <c r="P34" s="34">
        <v>8644</v>
      </c>
      <c r="Q34" s="34">
        <v>8644</v>
      </c>
      <c r="R34" s="34">
        <v>11125</v>
      </c>
      <c r="S34" s="34">
        <v>12375</v>
      </c>
      <c r="T34" s="34">
        <v>12375</v>
      </c>
      <c r="U34" s="34">
        <v>14118</v>
      </c>
      <c r="V34" s="34">
        <v>14118</v>
      </c>
      <c r="W34" s="34">
        <v>14118</v>
      </c>
      <c r="X34" s="34">
        <v>14118</v>
      </c>
      <c r="Y34" s="34">
        <v>14118</v>
      </c>
      <c r="Z34" s="109">
        <f>Y34/C57</f>
        <v>0.11765</v>
      </c>
      <c r="AA34" s="146">
        <f t="shared" si="9"/>
        <v>-0.88234999999999997</v>
      </c>
    </row>
    <row r="35" spans="2:50">
      <c r="B35" s="5" t="str">
        <f>+B24</f>
        <v>Norwich</v>
      </c>
      <c r="C35" s="19"/>
      <c r="D35" s="19"/>
      <c r="E35" s="35"/>
      <c r="F35" s="124">
        <v>22026</v>
      </c>
      <c r="G35" s="35">
        <v>36234</v>
      </c>
      <c r="H35" s="35">
        <v>50930</v>
      </c>
      <c r="I35" s="35">
        <v>63702</v>
      </c>
      <c r="J35" s="35">
        <v>89776</v>
      </c>
      <c r="K35" s="35">
        <v>104581</v>
      </c>
      <c r="L35" s="35">
        <v>121999</v>
      </c>
      <c r="M35" s="35">
        <v>136574</v>
      </c>
      <c r="N35" s="35">
        <v>152070</v>
      </c>
      <c r="O35" s="35">
        <v>178309</v>
      </c>
      <c r="P35" s="35">
        <v>195152</v>
      </c>
      <c r="Q35" s="35">
        <v>202120</v>
      </c>
      <c r="R35" s="35">
        <v>225967</v>
      </c>
      <c r="S35" s="35">
        <v>232857</v>
      </c>
      <c r="T35" s="35">
        <v>252138</v>
      </c>
      <c r="U35" s="35">
        <v>259049</v>
      </c>
      <c r="V35" s="35">
        <v>275487</v>
      </c>
      <c r="W35" s="35">
        <v>293518</v>
      </c>
      <c r="X35" s="35">
        <v>302432</v>
      </c>
      <c r="Y35" s="35">
        <v>301305</v>
      </c>
      <c r="Z35" s="110">
        <f>+Y35/C58</f>
        <v>1.0043500000000001</v>
      </c>
      <c r="AA35" s="147">
        <f t="shared" si="9"/>
        <v>4.350000000000076E-3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50930</v>
      </c>
      <c r="G36" s="10">
        <f t="shared" si="10"/>
        <v>96168</v>
      </c>
      <c r="H36" s="10">
        <f t="shared" si="10"/>
        <v>118109</v>
      </c>
      <c r="I36" s="10">
        <f t="shared" si="10"/>
        <v>157905</v>
      </c>
      <c r="J36" s="10">
        <f t="shared" si="10"/>
        <v>215959</v>
      </c>
      <c r="K36" s="10">
        <f t="shared" si="10"/>
        <v>254089</v>
      </c>
      <c r="L36" s="10">
        <f t="shared" si="10"/>
        <v>303432</v>
      </c>
      <c r="M36" s="10">
        <f t="shared" si="10"/>
        <v>325442</v>
      </c>
      <c r="N36" s="10">
        <f t="shared" si="10"/>
        <v>358683</v>
      </c>
      <c r="O36" s="10">
        <f t="shared" si="10"/>
        <v>434367</v>
      </c>
      <c r="P36" s="10">
        <f t="shared" si="10"/>
        <v>483710</v>
      </c>
      <c r="Q36" s="10">
        <f t="shared" si="10"/>
        <v>499408</v>
      </c>
      <c r="R36" s="10">
        <f t="shared" si="10"/>
        <v>539321</v>
      </c>
      <c r="S36" s="10">
        <f t="shared" si="10"/>
        <v>563752</v>
      </c>
      <c r="T36" s="10">
        <f t="shared" si="10"/>
        <v>589462</v>
      </c>
      <c r="U36" s="10">
        <f t="shared" si="10"/>
        <v>604885</v>
      </c>
      <c r="V36" s="10">
        <f t="shared" si="10"/>
        <v>647153</v>
      </c>
      <c r="W36" s="10">
        <f t="shared" si="10"/>
        <v>679390</v>
      </c>
      <c r="X36" s="10">
        <f t="shared" si="10"/>
        <v>695854</v>
      </c>
      <c r="Y36" s="10">
        <f t="shared" si="10"/>
        <v>704681</v>
      </c>
      <c r="Z36" s="111">
        <f>+Y36/C59</f>
        <v>0.4716740294511379</v>
      </c>
      <c r="AA36" s="148">
        <f t="shared" si="9"/>
        <v>-0.5283259705488621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3.4089692101740295E-2</v>
      </c>
      <c r="G37" s="30">
        <f t="shared" si="11"/>
        <v>6.4369477911646586E-2</v>
      </c>
      <c r="H37" s="30">
        <f t="shared" si="11"/>
        <v>7.9055555555555559E-2</v>
      </c>
      <c r="I37" s="30">
        <f t="shared" si="11"/>
        <v>0.10569277108433735</v>
      </c>
      <c r="J37" s="30">
        <f t="shared" si="11"/>
        <v>0.14455087014725568</v>
      </c>
      <c r="K37" s="30">
        <f t="shared" si="11"/>
        <v>0.17007295850066934</v>
      </c>
      <c r="L37" s="30">
        <f t="shared" si="11"/>
        <v>0.2031004016064257</v>
      </c>
      <c r="M37" s="30">
        <f t="shared" si="11"/>
        <v>0.21783266398929049</v>
      </c>
      <c r="N37" s="30">
        <f t="shared" si="11"/>
        <v>0.24008232931726908</v>
      </c>
      <c r="O37" s="30">
        <f>+O36/$C$59</f>
        <v>0.2907409638554217</v>
      </c>
      <c r="P37" s="30">
        <f t="shared" ref="P37:Y37" si="12">+P36/$C$59</f>
        <v>0.32376840696117803</v>
      </c>
      <c r="Q37" s="30">
        <f t="shared" si="12"/>
        <v>0.33427576974564926</v>
      </c>
      <c r="R37" s="30">
        <f t="shared" si="12"/>
        <v>0.36099129852744311</v>
      </c>
      <c r="S37" s="30">
        <f t="shared" si="12"/>
        <v>0.37734404283801876</v>
      </c>
      <c r="T37" s="30">
        <f t="shared" si="12"/>
        <v>0.39455287817938423</v>
      </c>
      <c r="U37" s="30">
        <f t="shared" si="12"/>
        <v>0.40487617135207499</v>
      </c>
      <c r="V37" s="30">
        <f t="shared" si="12"/>
        <v>0.43316800535475236</v>
      </c>
      <c r="W37" s="30">
        <f t="shared" si="12"/>
        <v>0.45474564926372157</v>
      </c>
      <c r="X37" s="30">
        <f t="shared" si="12"/>
        <v>0.46576572958500667</v>
      </c>
      <c r="Y37" s="30">
        <f t="shared" si="12"/>
        <v>0.4716740294511379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0.20218749999999999</v>
      </c>
      <c r="G41" s="17">
        <f t="shared" ref="G41:Y41" si="14">(G52/$C$52)</f>
        <v>0.47203125000000001</v>
      </c>
      <c r="H41" s="17">
        <f t="shared" si="14"/>
        <v>0.38218750000000001</v>
      </c>
      <c r="I41" s="17">
        <f t="shared" si="14"/>
        <v>0.32959375000000002</v>
      </c>
      <c r="J41" s="17">
        <f t="shared" si="14"/>
        <v>0.46661249999999999</v>
      </c>
      <c r="K41" s="17">
        <f t="shared" si="14"/>
        <v>0.45066666666666672</v>
      </c>
      <c r="L41" s="17">
        <f t="shared" si="14"/>
        <v>0.48744642857142856</v>
      </c>
      <c r="M41" s="17">
        <f t="shared" si="14"/>
        <v>0.47288281250000003</v>
      </c>
      <c r="N41" s="17">
        <f t="shared" si="14"/>
        <v>0.42034027777777772</v>
      </c>
      <c r="O41" s="17">
        <f t="shared" si="14"/>
        <v>0.48861874999999999</v>
      </c>
      <c r="P41" s="17">
        <f t="shared" si="14"/>
        <v>0.49152840909090911</v>
      </c>
      <c r="Q41" s="17">
        <f t="shared" si="14"/>
        <v>0.4674166666666667</v>
      </c>
      <c r="R41" s="17">
        <f t="shared" si="14"/>
        <v>0.45739903846153845</v>
      </c>
      <c r="S41" s="17">
        <f t="shared" si="14"/>
        <v>0.43917410714285715</v>
      </c>
      <c r="T41" s="17">
        <f t="shared" si="14"/>
        <v>0.34695416666666667</v>
      </c>
      <c r="U41" s="17">
        <f t="shared" si="14"/>
        <v>0.35054296875000002</v>
      </c>
      <c r="V41" s="17">
        <f t="shared" si="14"/>
        <v>0.36856250000000002</v>
      </c>
      <c r="W41" s="17">
        <f t="shared" si="14"/>
        <v>0.4063715277777778</v>
      </c>
      <c r="X41" s="17">
        <f t="shared" si="14"/>
        <v>0.42220394736842098</v>
      </c>
      <c r="Y41" s="17">
        <f t="shared" si="14"/>
        <v>0.40777812499999999</v>
      </c>
      <c r="Z41" s="158" t="s">
        <v>71</v>
      </c>
      <c r="AA41" s="138">
        <v>210000</v>
      </c>
      <c r="AX41"/>
    </row>
    <row r="42" spans="2:50">
      <c r="B42" s="4" t="s">
        <v>64</v>
      </c>
      <c r="C42" s="17"/>
      <c r="D42" s="17"/>
      <c r="E42" s="17"/>
      <c r="F42" s="17">
        <f>(F53/$C$53)</f>
        <v>0.39506172839506171</v>
      </c>
      <c r="G42" s="17">
        <f t="shared" ref="G42:Y42" si="15">(G53/$C$53)</f>
        <v>0.19753086419753085</v>
      </c>
      <c r="H42" s="17">
        <f t="shared" si="15"/>
        <v>0.13168724279835392</v>
      </c>
      <c r="I42" s="17">
        <f t="shared" si="15"/>
        <v>9.8765432098765427E-2</v>
      </c>
      <c r="J42" s="17">
        <f t="shared" si="15"/>
        <v>7.9012345679012344E-2</v>
      </c>
      <c r="K42" s="17">
        <f t="shared" si="15"/>
        <v>3.0864197530864196E-2</v>
      </c>
      <c r="L42" s="17">
        <f t="shared" si="15"/>
        <v>7.9365079365079375E-2</v>
      </c>
      <c r="M42" s="17">
        <f t="shared" si="15"/>
        <v>6.9444444444444448E-2</v>
      </c>
      <c r="N42" s="17">
        <f t="shared" si="15"/>
        <v>6.1728395061728392E-2</v>
      </c>
      <c r="O42" s="17">
        <f t="shared" si="15"/>
        <v>9.5061728395061731E-2</v>
      </c>
      <c r="P42" s="17">
        <f t="shared" si="15"/>
        <v>0.19517396184062852</v>
      </c>
      <c r="Q42" s="17">
        <f t="shared" si="15"/>
        <v>0.17890946502057614</v>
      </c>
      <c r="R42" s="17">
        <f t="shared" si="15"/>
        <v>0.1651471984805318</v>
      </c>
      <c r="S42" s="17">
        <f t="shared" si="15"/>
        <v>0.17711640211640212</v>
      </c>
      <c r="T42" s="17">
        <f t="shared" si="15"/>
        <v>0.16530864197530865</v>
      </c>
      <c r="U42" s="17">
        <f t="shared" si="15"/>
        <v>0.1757716049382716</v>
      </c>
      <c r="V42" s="17">
        <f t="shared" si="15"/>
        <v>0.16543209876543211</v>
      </c>
      <c r="W42" s="17">
        <f t="shared" si="15"/>
        <v>0.15624142661179699</v>
      </c>
      <c r="X42" s="17">
        <f t="shared" si="15"/>
        <v>0.14801819363222873</v>
      </c>
      <c r="Y42" s="17">
        <f t="shared" si="15"/>
        <v>0.1325925925925926</v>
      </c>
      <c r="Z42" s="158" t="s">
        <v>72</v>
      </c>
      <c r="AA42" s="138">
        <v>40000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1.2240740740740741</v>
      </c>
      <c r="G43" s="17">
        <f t="shared" si="16"/>
        <v>1.116358024691358</v>
      </c>
      <c r="H43" s="17">
        <f t="shared" si="16"/>
        <v>0.74423868312757191</v>
      </c>
      <c r="I43" s="17">
        <f t="shared" si="16"/>
        <v>0.74938271604938267</v>
      </c>
      <c r="J43" s="17">
        <f t="shared" si="16"/>
        <v>0.74765432098765428</v>
      </c>
      <c r="K43" s="17">
        <f t="shared" si="16"/>
        <v>0.67849794238683125</v>
      </c>
      <c r="L43" s="17">
        <f t="shared" si="16"/>
        <v>0.74929453262786594</v>
      </c>
      <c r="M43" s="17">
        <f t="shared" si="16"/>
        <v>0.65563271604938267</v>
      </c>
      <c r="N43" s="17">
        <f t="shared" si="16"/>
        <v>0.74732510288065834</v>
      </c>
      <c r="O43" s="17">
        <f t="shared" si="16"/>
        <v>0.7601234567901235</v>
      </c>
      <c r="P43" s="17">
        <f t="shared" si="16"/>
        <v>0.69102132435465768</v>
      </c>
      <c r="Q43" s="17">
        <f t="shared" si="16"/>
        <v>0.63343621399176953</v>
      </c>
      <c r="R43" s="17">
        <f t="shared" si="16"/>
        <v>0.61030389363722692</v>
      </c>
      <c r="S43" s="17">
        <f t="shared" si="16"/>
        <v>0.5904761904761906</v>
      </c>
      <c r="T43" s="17">
        <f t="shared" si="16"/>
        <v>0.57329218106995894</v>
      </c>
      <c r="U43" s="17">
        <f t="shared" si="16"/>
        <v>0.53746141975308637</v>
      </c>
      <c r="V43" s="17">
        <f t="shared" si="16"/>
        <v>0.54996368917937544</v>
      </c>
      <c r="W43" s="17">
        <f t="shared" si="16"/>
        <v>0.49831961591220852</v>
      </c>
      <c r="X43" s="17">
        <f t="shared" si="16"/>
        <v>0.44762833008447045</v>
      </c>
      <c r="Y43" s="17">
        <f t="shared" si="16"/>
        <v>0.38901234567901233</v>
      </c>
      <c r="Z43" s="158" t="s">
        <v>94</v>
      </c>
      <c r="AA43" s="158">
        <v>100000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0.53592592592592592</v>
      </c>
      <c r="G44" s="17">
        <f t="shared" ref="G44:Y44" si="17">(G55/$C$55)</f>
        <v>0.56407407407407406</v>
      </c>
      <c r="H44" s="17">
        <f t="shared" si="17"/>
        <v>0.45024691358024688</v>
      </c>
      <c r="I44" s="17">
        <f t="shared" si="17"/>
        <v>0.52453703703703702</v>
      </c>
      <c r="J44" s="17">
        <f t="shared" si="17"/>
        <v>0.56399999999999995</v>
      </c>
      <c r="K44" s="17">
        <f t="shared" si="17"/>
        <v>0.6501851851851852</v>
      </c>
      <c r="L44" s="17">
        <f t="shared" si="17"/>
        <v>0.6428571428571429</v>
      </c>
      <c r="M44" s="17">
        <f t="shared" si="17"/>
        <v>0.5625</v>
      </c>
      <c r="N44" s="17">
        <f t="shared" si="17"/>
        <v>0.53292181069958844</v>
      </c>
      <c r="O44" s="17">
        <f t="shared" si="17"/>
        <v>0.51662962962962966</v>
      </c>
      <c r="P44" s="17">
        <f t="shared" si="17"/>
        <v>0.51</v>
      </c>
      <c r="Q44" s="17">
        <f t="shared" si="17"/>
        <v>0.46750000000000003</v>
      </c>
      <c r="R44" s="17">
        <f t="shared" si="17"/>
        <v>0.46284900284900282</v>
      </c>
      <c r="S44" s="17">
        <f t="shared" si="17"/>
        <v>0.47034391534391529</v>
      </c>
      <c r="T44" s="17">
        <f t="shared" si="17"/>
        <v>0.51476543209876535</v>
      </c>
      <c r="U44" s="17">
        <f t="shared" si="17"/>
        <v>0.48259259259259257</v>
      </c>
      <c r="V44" s="17">
        <f t="shared" si="17"/>
        <v>0.4944880174291939</v>
      </c>
      <c r="W44" s="17">
        <f t="shared" si="17"/>
        <v>0.46084362139917695</v>
      </c>
      <c r="X44" s="17">
        <f t="shared" si="17"/>
        <v>0.43658869395711503</v>
      </c>
      <c r="Y44" s="17">
        <f t="shared" si="17"/>
        <v>0.42027777777777775</v>
      </c>
      <c r="Z44" s="160" t="s">
        <v>73</v>
      </c>
      <c r="AA44" s="138">
        <v>200000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0.37437500000000001</v>
      </c>
      <c r="G45" s="17">
        <f t="shared" si="18"/>
        <v>0.37437500000000001</v>
      </c>
      <c r="H45" s="17">
        <f t="shared" si="18"/>
        <v>0.24958333333333335</v>
      </c>
      <c r="I45" s="17">
        <f t="shared" si="18"/>
        <v>0.43687500000000001</v>
      </c>
      <c r="J45" s="17">
        <f t="shared" si="18"/>
        <v>0.34949999999999998</v>
      </c>
      <c r="K45" s="17">
        <f t="shared" si="18"/>
        <v>0.29125000000000001</v>
      </c>
      <c r="L45" s="17">
        <f t="shared" si="18"/>
        <v>0.24964285714285717</v>
      </c>
      <c r="M45" s="17">
        <f t="shared" si="18"/>
        <v>0.24187500000000001</v>
      </c>
      <c r="N45" s="17">
        <f t="shared" si="18"/>
        <v>0.23930555555555558</v>
      </c>
      <c r="O45" s="17">
        <f t="shared" si="18"/>
        <v>0.37774999999999997</v>
      </c>
      <c r="P45" s="17">
        <f t="shared" si="18"/>
        <v>0.43988636363636363</v>
      </c>
      <c r="Q45" s="17">
        <f t="shared" si="18"/>
        <v>0.46046874999999998</v>
      </c>
      <c r="R45" s="17">
        <f t="shared" si="18"/>
        <v>0.42504807692307695</v>
      </c>
      <c r="S45" s="17">
        <f t="shared" si="18"/>
        <v>0.39468750000000002</v>
      </c>
      <c r="T45" s="17">
        <f t="shared" si="18"/>
        <v>0.39750000000000002</v>
      </c>
      <c r="U45" s="17">
        <f t="shared" si="18"/>
        <v>0.35393750000000002</v>
      </c>
      <c r="V45" s="17">
        <f t="shared" si="18"/>
        <v>0.33311764705882352</v>
      </c>
      <c r="W45" s="17">
        <f t="shared" si="18"/>
        <v>0.32846527777777779</v>
      </c>
      <c r="X45" s="17">
        <f t="shared" si="18"/>
        <v>0.31117763157894734</v>
      </c>
      <c r="Y45" s="17">
        <f t="shared" si="18"/>
        <v>0.37996249999999998</v>
      </c>
      <c r="Z45" s="160" t="s">
        <v>74</v>
      </c>
      <c r="AA45" s="138">
        <v>100000</v>
      </c>
      <c r="AX45"/>
    </row>
    <row r="46" spans="2:50">
      <c r="B46" s="4" t="s">
        <v>99</v>
      </c>
      <c r="C46" s="17"/>
      <c r="D46" s="17"/>
      <c r="E46" s="17"/>
      <c r="F46" s="17">
        <f t="shared" si="18"/>
        <v>0.29049999999999998</v>
      </c>
      <c r="G46" s="17">
        <f t="shared" si="18"/>
        <v>0.14524999999999999</v>
      </c>
      <c r="H46" s="17">
        <f t="shared" si="18"/>
        <v>0.13850000000000001</v>
      </c>
      <c r="I46" s="17">
        <f t="shared" si="18"/>
        <v>0.103875</v>
      </c>
      <c r="J46" s="17">
        <f t="shared" si="18"/>
        <v>8.3099999999999993E-2</v>
      </c>
      <c r="K46" s="17">
        <f t="shared" si="18"/>
        <v>0.10675</v>
      </c>
      <c r="L46" s="17">
        <f t="shared" si="18"/>
        <v>9.1499999999999998E-2</v>
      </c>
      <c r="M46" s="17">
        <f t="shared" si="18"/>
        <v>8.0062499999999995E-2</v>
      </c>
      <c r="N46" s="17">
        <f t="shared" si="18"/>
        <v>7.116666666666667E-2</v>
      </c>
      <c r="O46" s="17">
        <f t="shared" si="18"/>
        <v>0.10804999999999999</v>
      </c>
      <c r="P46" s="17">
        <f t="shared" si="18"/>
        <v>9.8227272727272733E-2</v>
      </c>
      <c r="Q46" s="17">
        <f t="shared" si="18"/>
        <v>9.0041666666666673E-2</v>
      </c>
      <c r="R46" s="17">
        <f t="shared" si="18"/>
        <v>0.10697115384615384</v>
      </c>
      <c r="S46" s="17">
        <f t="shared" si="18"/>
        <v>0.11049107142857142</v>
      </c>
      <c r="T46" s="17">
        <f t="shared" si="18"/>
        <v>0.10312499999999999</v>
      </c>
      <c r="U46" s="17">
        <f t="shared" si="18"/>
        <v>0.110296875</v>
      </c>
      <c r="V46" s="17">
        <f t="shared" si="18"/>
        <v>0.10380882352941176</v>
      </c>
      <c r="W46" s="17">
        <f t="shared" si="18"/>
        <v>9.804166666666668E-2</v>
      </c>
      <c r="X46" s="17">
        <f t="shared" si="18"/>
        <v>9.2881578947368426E-2</v>
      </c>
      <c r="Y46" s="17">
        <f t="shared" si="18"/>
        <v>8.8237499999999996E-2</v>
      </c>
      <c r="Z46" s="160" t="s">
        <v>99</v>
      </c>
      <c r="AA46" s="138">
        <v>25000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1.4683999999999999</v>
      </c>
      <c r="G47" s="18">
        <f t="shared" si="19"/>
        <v>1.2078</v>
      </c>
      <c r="H47" s="18">
        <f t="shared" si="19"/>
        <v>1.131777777777778</v>
      </c>
      <c r="I47" s="18">
        <f t="shared" si="19"/>
        <v>1.0617000000000001</v>
      </c>
      <c r="J47" s="18">
        <f t="shared" si="19"/>
        <v>1.1970133333333333</v>
      </c>
      <c r="K47" s="18">
        <f t="shared" si="19"/>
        <v>1.1620111111111113</v>
      </c>
      <c r="L47" s="18">
        <f t="shared" si="19"/>
        <v>1.1618952380952383</v>
      </c>
      <c r="M47" s="18">
        <f t="shared" si="19"/>
        <v>1.1381166666666667</v>
      </c>
      <c r="N47" s="18">
        <f t="shared" si="19"/>
        <v>1.1264444444444446</v>
      </c>
      <c r="O47" s="18">
        <f t="shared" si="19"/>
        <v>1.1887266666666667</v>
      </c>
      <c r="P47" s="18">
        <f t="shared" si="19"/>
        <v>1.182739393939394</v>
      </c>
      <c r="Q47" s="18">
        <f t="shared" si="19"/>
        <v>1.1228888888888888</v>
      </c>
      <c r="R47" s="18">
        <f t="shared" si="19"/>
        <v>1.1588051282051282</v>
      </c>
      <c r="S47" s="18">
        <f t="shared" si="19"/>
        <v>1.1088428571428572</v>
      </c>
      <c r="T47" s="18">
        <f t="shared" si="19"/>
        <v>1.1206133333333332</v>
      </c>
      <c r="U47" s="18">
        <f t="shared" si="19"/>
        <v>1.0793708333333334</v>
      </c>
      <c r="V47" s="18">
        <f t="shared" si="19"/>
        <v>1.0803411764705881</v>
      </c>
      <c r="W47" s="18">
        <f t="shared" si="19"/>
        <v>1.0871037037037037</v>
      </c>
      <c r="X47" s="18">
        <f t="shared" si="19"/>
        <v>1.0611649122807019</v>
      </c>
      <c r="Y47" s="18">
        <f t="shared" si="19"/>
        <v>1.0043500000000001</v>
      </c>
      <c r="Z47" s="159" t="s">
        <v>76</v>
      </c>
      <c r="AA47" s="138">
        <v>300000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0.68179384203480586</v>
      </c>
      <c r="G48" s="17">
        <f t="shared" si="20"/>
        <v>0.64369477911646589</v>
      </c>
      <c r="H48" s="17">
        <f t="shared" si="20"/>
        <v>0.52703703703703697</v>
      </c>
      <c r="I48" s="17">
        <f t="shared" si="20"/>
        <v>0.52846385542168672</v>
      </c>
      <c r="J48" s="17">
        <f t="shared" si="20"/>
        <v>0.57820348058902271</v>
      </c>
      <c r="K48" s="17">
        <f t="shared" si="20"/>
        <v>0.56690986166889779</v>
      </c>
      <c r="L48" s="17">
        <f t="shared" si="20"/>
        <v>0.58028686173264499</v>
      </c>
      <c r="M48" s="17">
        <f t="shared" si="20"/>
        <v>0.54458165997322627</v>
      </c>
      <c r="N48" s="17">
        <f t="shared" si="20"/>
        <v>0.53351628737170897</v>
      </c>
      <c r="O48" s="17">
        <f t="shared" si="20"/>
        <v>0.58148192771084339</v>
      </c>
      <c r="P48" s="17">
        <f t="shared" si="20"/>
        <v>0.58866983083850555</v>
      </c>
      <c r="Q48" s="17">
        <f t="shared" si="20"/>
        <v>0.55712628290941546</v>
      </c>
      <c r="R48" s="17">
        <f t="shared" si="20"/>
        <v>0.55537122850375864</v>
      </c>
      <c r="S48" s="17">
        <f t="shared" si="20"/>
        <v>0.53906291834002673</v>
      </c>
      <c r="T48" s="17">
        <f t="shared" si="20"/>
        <v>0.52607050423917889</v>
      </c>
      <c r="U48" s="17">
        <f t="shared" si="20"/>
        <v>0.50609521419009373</v>
      </c>
      <c r="V48" s="17">
        <f t="shared" si="20"/>
        <v>0.50960941806441451</v>
      </c>
      <c r="W48" s="17">
        <f t="shared" si="20"/>
        <v>0.50527294362635722</v>
      </c>
      <c r="X48" s="17">
        <f t="shared" si="20"/>
        <v>0.49027971535263865</v>
      </c>
      <c r="Y48" s="17">
        <f t="shared" si="20"/>
        <v>0.4716740294511379</v>
      </c>
      <c r="AA48" s="139">
        <f>SUM(AA41:AA47)</f>
        <v>975000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320000</v>
      </c>
      <c r="D52" s="4"/>
      <c r="E52" s="4"/>
      <c r="F52" s="55">
        <f t="shared" ref="F52:Y58" si="22">(F29)/F$1*$Y$1</f>
        <v>64700</v>
      </c>
      <c r="G52" s="55">
        <f t="shared" si="22"/>
        <v>151050</v>
      </c>
      <c r="H52" s="55">
        <f t="shared" si="22"/>
        <v>122300</v>
      </c>
      <c r="I52" s="55">
        <f t="shared" si="22"/>
        <v>105470</v>
      </c>
      <c r="J52" s="55">
        <f t="shared" si="22"/>
        <v>149316</v>
      </c>
      <c r="K52" s="55">
        <f t="shared" si="22"/>
        <v>144213.33333333334</v>
      </c>
      <c r="L52" s="55">
        <f t="shared" si="22"/>
        <v>155982.85714285713</v>
      </c>
      <c r="M52" s="55">
        <f t="shared" si="22"/>
        <v>151322.5</v>
      </c>
      <c r="N52" s="55">
        <f t="shared" si="22"/>
        <v>134508.88888888888</v>
      </c>
      <c r="O52" s="55">
        <f t="shared" si="22"/>
        <v>156358</v>
      </c>
      <c r="P52" s="55">
        <f t="shared" si="22"/>
        <v>157289.09090909091</v>
      </c>
      <c r="Q52" s="55">
        <f t="shared" si="22"/>
        <v>149573.33333333334</v>
      </c>
      <c r="R52" s="55">
        <f t="shared" si="22"/>
        <v>146367.69230769231</v>
      </c>
      <c r="S52" s="55">
        <f t="shared" si="22"/>
        <v>140535.71428571429</v>
      </c>
      <c r="T52" s="55">
        <f t="shared" si="22"/>
        <v>111025.33333333333</v>
      </c>
      <c r="U52" s="55">
        <f t="shared" si="22"/>
        <v>112173.75</v>
      </c>
      <c r="V52" s="55">
        <f t="shared" si="22"/>
        <v>117940</v>
      </c>
      <c r="W52" s="55">
        <f t="shared" si="22"/>
        <v>130038.88888888889</v>
      </c>
      <c r="X52" s="55">
        <f t="shared" si="22"/>
        <v>135105.26315789472</v>
      </c>
      <c r="Y52" s="55">
        <f t="shared" si="22"/>
        <v>130489</v>
      </c>
      <c r="AX52"/>
    </row>
    <row r="53" spans="2:50">
      <c r="B53" s="4" t="s">
        <v>64</v>
      </c>
      <c r="C53" s="149">
        <v>162000</v>
      </c>
      <c r="D53" s="4"/>
      <c r="E53" s="4"/>
      <c r="F53" s="55">
        <f t="shared" si="22"/>
        <v>64000</v>
      </c>
      <c r="G53" s="55">
        <f t="shared" si="22"/>
        <v>32000</v>
      </c>
      <c r="H53" s="55">
        <f t="shared" si="22"/>
        <v>21333.333333333336</v>
      </c>
      <c r="I53" s="55">
        <f t="shared" si="22"/>
        <v>16000</v>
      </c>
      <c r="J53" s="55">
        <f t="shared" si="22"/>
        <v>12800</v>
      </c>
      <c r="K53" s="55">
        <f t="shared" si="22"/>
        <v>5000</v>
      </c>
      <c r="L53" s="55">
        <f t="shared" si="22"/>
        <v>12857.142857142859</v>
      </c>
      <c r="M53" s="55">
        <f t="shared" si="22"/>
        <v>11250</v>
      </c>
      <c r="N53" s="55">
        <f t="shared" si="22"/>
        <v>10000</v>
      </c>
      <c r="O53" s="55">
        <f t="shared" si="22"/>
        <v>15400</v>
      </c>
      <c r="P53" s="55">
        <f t="shared" si="22"/>
        <v>31618.18181818182</v>
      </c>
      <c r="Q53" s="55">
        <f t="shared" si="22"/>
        <v>28983.333333333336</v>
      </c>
      <c r="R53" s="55">
        <f t="shared" si="22"/>
        <v>26753.846153846152</v>
      </c>
      <c r="S53" s="55">
        <f t="shared" si="22"/>
        <v>28692.857142857141</v>
      </c>
      <c r="T53" s="55">
        <f t="shared" si="22"/>
        <v>26780</v>
      </c>
      <c r="U53" s="55">
        <f t="shared" si="22"/>
        <v>28475</v>
      </c>
      <c r="V53" s="55">
        <f t="shared" si="22"/>
        <v>26800</v>
      </c>
      <c r="W53" s="55">
        <f t="shared" si="22"/>
        <v>25311.111111111113</v>
      </c>
      <c r="X53" s="55">
        <f t="shared" si="22"/>
        <v>23978.947368421053</v>
      </c>
      <c r="Y53" s="55">
        <f t="shared" si="22"/>
        <v>21480</v>
      </c>
      <c r="AX53"/>
    </row>
    <row r="54" spans="2:50">
      <c r="B54" s="4" t="str">
        <f>+B43</f>
        <v>Brazil</v>
      </c>
      <c r="C54" s="149">
        <v>162000</v>
      </c>
      <c r="D54" s="4"/>
      <c r="E54" s="4"/>
      <c r="F54" s="55">
        <f t="shared" si="22"/>
        <v>198300</v>
      </c>
      <c r="G54" s="55">
        <f t="shared" si="22"/>
        <v>180850</v>
      </c>
      <c r="H54" s="55">
        <f t="shared" si="22"/>
        <v>120566.66666666666</v>
      </c>
      <c r="I54" s="55">
        <f t="shared" si="22"/>
        <v>121400</v>
      </c>
      <c r="J54" s="55">
        <f t="shared" si="22"/>
        <v>121120</v>
      </c>
      <c r="K54" s="55">
        <f t="shared" si="22"/>
        <v>109916.66666666666</v>
      </c>
      <c r="L54" s="55">
        <f t="shared" si="22"/>
        <v>121385.71428571429</v>
      </c>
      <c r="M54" s="55">
        <f t="shared" si="22"/>
        <v>106212.5</v>
      </c>
      <c r="N54" s="55">
        <f t="shared" si="22"/>
        <v>121066.66666666666</v>
      </c>
      <c r="O54" s="55">
        <f t="shared" si="22"/>
        <v>123140</v>
      </c>
      <c r="P54" s="55">
        <f t="shared" si="22"/>
        <v>111945.45454545454</v>
      </c>
      <c r="Q54" s="55">
        <f t="shared" si="22"/>
        <v>102616.66666666666</v>
      </c>
      <c r="R54" s="55">
        <f t="shared" si="22"/>
        <v>98869.230769230766</v>
      </c>
      <c r="S54" s="55">
        <f t="shared" si="22"/>
        <v>95657.14285714287</v>
      </c>
      <c r="T54" s="55">
        <f t="shared" si="22"/>
        <v>92873.333333333343</v>
      </c>
      <c r="U54" s="55">
        <f t="shared" si="22"/>
        <v>87068.75</v>
      </c>
      <c r="V54" s="55">
        <f t="shared" si="22"/>
        <v>89094.117647058825</v>
      </c>
      <c r="W54" s="55">
        <f t="shared" si="22"/>
        <v>80727.777777777781</v>
      </c>
      <c r="X54" s="55">
        <f t="shared" si="22"/>
        <v>72515.789473684214</v>
      </c>
      <c r="Y54" s="55">
        <f t="shared" si="22"/>
        <v>63020</v>
      </c>
      <c r="AX54"/>
    </row>
    <row r="55" spans="2:50">
      <c r="B55" s="4" t="str">
        <f>+B44</f>
        <v>Boston</v>
      </c>
      <c r="C55" s="149">
        <v>270000</v>
      </c>
      <c r="D55" s="4"/>
      <c r="E55" s="4"/>
      <c r="F55" s="55">
        <f>(F32)/F$1*$Y$1</f>
        <v>144700</v>
      </c>
      <c r="G55" s="55">
        <f>(G32)/G$1*$Y$1</f>
        <v>152300</v>
      </c>
      <c r="H55" s="55">
        <f t="shared" si="22"/>
        <v>121566.66666666666</v>
      </c>
      <c r="I55" s="55">
        <f t="shared" si="22"/>
        <v>141625</v>
      </c>
      <c r="J55" s="55">
        <f t="shared" si="22"/>
        <v>152280</v>
      </c>
      <c r="K55" s="55">
        <f t="shared" si="22"/>
        <v>175550</v>
      </c>
      <c r="L55" s="55">
        <f t="shared" si="22"/>
        <v>173571.42857142858</v>
      </c>
      <c r="M55" s="55">
        <f t="shared" si="22"/>
        <v>151875</v>
      </c>
      <c r="N55" s="55">
        <f t="shared" si="22"/>
        <v>143888.88888888888</v>
      </c>
      <c r="O55" s="55">
        <f t="shared" si="22"/>
        <v>139490</v>
      </c>
      <c r="P55" s="55">
        <f t="shared" si="22"/>
        <v>137700</v>
      </c>
      <c r="Q55" s="55">
        <f t="shared" si="22"/>
        <v>126225</v>
      </c>
      <c r="R55" s="55">
        <f t="shared" si="22"/>
        <v>124969.23076923077</v>
      </c>
      <c r="S55" s="55">
        <f t="shared" si="22"/>
        <v>126992.85714285713</v>
      </c>
      <c r="T55" s="55">
        <f t="shared" si="22"/>
        <v>138986.66666666666</v>
      </c>
      <c r="U55" s="55">
        <f t="shared" si="22"/>
        <v>130300</v>
      </c>
      <c r="V55" s="55">
        <f t="shared" si="22"/>
        <v>133511.76470588235</v>
      </c>
      <c r="W55" s="55">
        <f t="shared" si="22"/>
        <v>124427.77777777778</v>
      </c>
      <c r="X55" s="55">
        <f t="shared" si="22"/>
        <v>117878.94736842105</v>
      </c>
      <c r="Y55" s="55">
        <f t="shared" si="22"/>
        <v>113475</v>
      </c>
      <c r="AX55"/>
    </row>
    <row r="56" spans="2:50">
      <c r="B56" s="4" t="s">
        <v>2</v>
      </c>
      <c r="C56" s="149">
        <v>160000</v>
      </c>
      <c r="D56" s="4"/>
      <c r="E56" s="4"/>
      <c r="F56" s="55">
        <f t="shared" ref="F56:U58" si="23">(F33)/F$1*$Y$1</f>
        <v>59900</v>
      </c>
      <c r="G56" s="55">
        <f t="shared" si="23"/>
        <v>59900</v>
      </c>
      <c r="H56" s="55">
        <f t="shared" si="23"/>
        <v>39933.333333333336</v>
      </c>
      <c r="I56" s="55">
        <f t="shared" si="23"/>
        <v>69900</v>
      </c>
      <c r="J56" s="55">
        <f t="shared" si="23"/>
        <v>55920</v>
      </c>
      <c r="K56" s="55">
        <f t="shared" si="23"/>
        <v>46600</v>
      </c>
      <c r="L56" s="55">
        <f t="shared" si="23"/>
        <v>39942.857142857145</v>
      </c>
      <c r="M56" s="55">
        <f t="shared" si="23"/>
        <v>38700</v>
      </c>
      <c r="N56" s="55">
        <f t="shared" si="23"/>
        <v>38288.888888888891</v>
      </c>
      <c r="O56" s="55">
        <f t="shared" si="23"/>
        <v>60440</v>
      </c>
      <c r="P56" s="55">
        <f t="shared" si="23"/>
        <v>70381.818181818177</v>
      </c>
      <c r="Q56" s="55">
        <f t="shared" si="23"/>
        <v>73675</v>
      </c>
      <c r="R56" s="55">
        <f t="shared" si="23"/>
        <v>68007.692307692312</v>
      </c>
      <c r="S56" s="55">
        <f t="shared" si="23"/>
        <v>63150</v>
      </c>
      <c r="T56" s="55">
        <f t="shared" si="23"/>
        <v>63600</v>
      </c>
      <c r="U56" s="55">
        <f t="shared" si="23"/>
        <v>56630</v>
      </c>
      <c r="V56" s="55">
        <f t="shared" si="22"/>
        <v>53298.823529411762</v>
      </c>
      <c r="W56" s="55">
        <f t="shared" si="22"/>
        <v>52554.444444444445</v>
      </c>
      <c r="X56" s="55">
        <f t="shared" si="22"/>
        <v>49788.421052631573</v>
      </c>
      <c r="Y56" s="55">
        <f t="shared" si="22"/>
        <v>60794</v>
      </c>
      <c r="AA56" s="48"/>
    </row>
    <row r="57" spans="2:50">
      <c r="B57" s="4" t="s">
        <v>99</v>
      </c>
      <c r="C57" s="149">
        <v>120000</v>
      </c>
      <c r="D57" s="4"/>
      <c r="E57" s="4"/>
      <c r="F57" s="55">
        <f t="shared" si="23"/>
        <v>46480</v>
      </c>
      <c r="G57" s="55">
        <f t="shared" si="23"/>
        <v>23240</v>
      </c>
      <c r="H57" s="55">
        <f t="shared" si="23"/>
        <v>22160</v>
      </c>
      <c r="I57" s="55">
        <f t="shared" si="23"/>
        <v>16620</v>
      </c>
      <c r="J57" s="55">
        <f t="shared" si="23"/>
        <v>13296</v>
      </c>
      <c r="K57" s="55">
        <f t="shared" si="23"/>
        <v>17080</v>
      </c>
      <c r="L57" s="55">
        <f t="shared" si="23"/>
        <v>14640</v>
      </c>
      <c r="M57" s="55">
        <f t="shared" si="23"/>
        <v>12810</v>
      </c>
      <c r="N57" s="55">
        <f t="shared" si="23"/>
        <v>11386.666666666668</v>
      </c>
      <c r="O57" s="55">
        <f t="shared" si="23"/>
        <v>17288</v>
      </c>
      <c r="P57" s="55">
        <f t="shared" si="23"/>
        <v>15716.363636363638</v>
      </c>
      <c r="Q57" s="55">
        <f t="shared" si="23"/>
        <v>14406.666666666668</v>
      </c>
      <c r="R57" s="55">
        <f t="shared" si="23"/>
        <v>17115.384615384613</v>
      </c>
      <c r="S57" s="55">
        <f t="shared" si="23"/>
        <v>17678.571428571428</v>
      </c>
      <c r="T57" s="55">
        <f t="shared" si="23"/>
        <v>16500</v>
      </c>
      <c r="U57" s="55">
        <f t="shared" si="23"/>
        <v>17647.5</v>
      </c>
      <c r="V57" s="55">
        <f t="shared" si="22"/>
        <v>16609.411764705881</v>
      </c>
      <c r="W57" s="55">
        <f t="shared" si="22"/>
        <v>15686.666666666668</v>
      </c>
      <c r="X57" s="55">
        <f t="shared" si="22"/>
        <v>14861.052631578948</v>
      </c>
      <c r="Y57" s="55">
        <f t="shared" si="22"/>
        <v>14118</v>
      </c>
      <c r="AA57" s="48"/>
    </row>
    <row r="58" spans="2:50">
      <c r="B58" s="4" t="s">
        <v>3</v>
      </c>
      <c r="C58" s="150">
        <v>300000</v>
      </c>
      <c r="D58" s="19"/>
      <c r="E58" s="19"/>
      <c r="F58" s="98">
        <f t="shared" si="23"/>
        <v>440520</v>
      </c>
      <c r="G58" s="98">
        <f t="shared" si="23"/>
        <v>362340</v>
      </c>
      <c r="H58" s="98">
        <f t="shared" si="23"/>
        <v>339533.33333333337</v>
      </c>
      <c r="I58" s="98">
        <f t="shared" si="23"/>
        <v>318510</v>
      </c>
      <c r="J58" s="98">
        <f t="shared" si="23"/>
        <v>359104</v>
      </c>
      <c r="K58" s="98">
        <f t="shared" si="23"/>
        <v>348603.33333333337</v>
      </c>
      <c r="L58" s="98">
        <f t="shared" si="23"/>
        <v>348568.57142857148</v>
      </c>
      <c r="M58" s="98">
        <f t="shared" si="23"/>
        <v>341435</v>
      </c>
      <c r="N58" s="98">
        <f t="shared" si="23"/>
        <v>337933.33333333337</v>
      </c>
      <c r="O58" s="98">
        <f t="shared" si="23"/>
        <v>356618</v>
      </c>
      <c r="P58" s="98">
        <f t="shared" si="23"/>
        <v>354821.81818181818</v>
      </c>
      <c r="Q58" s="98">
        <f t="shared" si="23"/>
        <v>336866.66666666663</v>
      </c>
      <c r="R58" s="98">
        <f t="shared" si="23"/>
        <v>347641.53846153844</v>
      </c>
      <c r="S58" s="98">
        <f t="shared" si="23"/>
        <v>332652.85714285716</v>
      </c>
      <c r="T58" s="98">
        <f t="shared" si="23"/>
        <v>336184</v>
      </c>
      <c r="U58" s="98">
        <f t="shared" si="23"/>
        <v>323811.25</v>
      </c>
      <c r="V58" s="98">
        <f t="shared" si="22"/>
        <v>324102.35294117645</v>
      </c>
      <c r="W58" s="98">
        <f t="shared" si="22"/>
        <v>326131.11111111112</v>
      </c>
      <c r="X58" s="98">
        <f t="shared" si="22"/>
        <v>318349.47368421056</v>
      </c>
      <c r="Y58" s="98">
        <f t="shared" si="22"/>
        <v>301305</v>
      </c>
    </row>
    <row r="59" spans="2:50">
      <c r="B59" s="153" t="s">
        <v>27</v>
      </c>
      <c r="C59" s="151">
        <f>SUM(C52:C58)</f>
        <v>1494000</v>
      </c>
      <c r="D59" s="10">
        <f>SUM(D52:D58)</f>
        <v>0</v>
      </c>
      <c r="E59" s="10"/>
      <c r="F59" s="10">
        <f t="shared" ref="F59:Y59" si="24">SUM(F52:F58)</f>
        <v>1018600</v>
      </c>
      <c r="G59" s="10">
        <f t="shared" si="24"/>
        <v>961680</v>
      </c>
      <c r="H59" s="10">
        <f t="shared" si="24"/>
        <v>787393.33333333326</v>
      </c>
      <c r="I59" s="10">
        <f t="shared" si="24"/>
        <v>789525</v>
      </c>
      <c r="J59" s="10">
        <f t="shared" si="24"/>
        <v>863836</v>
      </c>
      <c r="K59" s="10">
        <f t="shared" si="24"/>
        <v>846963.33333333337</v>
      </c>
      <c r="L59" s="10">
        <f t="shared" si="24"/>
        <v>866948.57142857159</v>
      </c>
      <c r="M59" s="10">
        <f t="shared" si="24"/>
        <v>813605</v>
      </c>
      <c r="N59" s="10">
        <f t="shared" si="24"/>
        <v>797073.33333333326</v>
      </c>
      <c r="O59" s="10">
        <f t="shared" si="24"/>
        <v>868734</v>
      </c>
      <c r="P59" s="10">
        <f t="shared" si="24"/>
        <v>879472.72727272729</v>
      </c>
      <c r="Q59" s="10">
        <f t="shared" si="24"/>
        <v>832346.66666666674</v>
      </c>
      <c r="R59" s="10">
        <f t="shared" si="24"/>
        <v>829724.61538461538</v>
      </c>
      <c r="S59" s="10">
        <f t="shared" si="24"/>
        <v>805360</v>
      </c>
      <c r="T59" s="10">
        <f t="shared" si="24"/>
        <v>785949.33333333326</v>
      </c>
      <c r="U59" s="10">
        <f t="shared" si="24"/>
        <v>756106.25</v>
      </c>
      <c r="V59" s="10">
        <f t="shared" si="24"/>
        <v>761356.4705882353</v>
      </c>
      <c r="W59" s="10">
        <f t="shared" si="24"/>
        <v>754877.77777777775</v>
      </c>
      <c r="X59" s="10">
        <f t="shared" si="24"/>
        <v>732477.89473684214</v>
      </c>
      <c r="Y59" s="10">
        <f t="shared" si="24"/>
        <v>704681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74700</v>
      </c>
      <c r="G62" s="144">
        <f t="shared" ref="G62:Y62" si="25">+$C$13*G1</f>
        <v>149400</v>
      </c>
      <c r="H62" s="144">
        <f t="shared" si="25"/>
        <v>224100</v>
      </c>
      <c r="I62" s="144">
        <f t="shared" si="25"/>
        <v>298800</v>
      </c>
      <c r="J62" s="144">
        <f t="shared" si="25"/>
        <v>373500</v>
      </c>
      <c r="K62" s="144">
        <f t="shared" si="25"/>
        <v>448200</v>
      </c>
      <c r="L62" s="144">
        <f t="shared" si="25"/>
        <v>522900</v>
      </c>
      <c r="M62" s="144">
        <f t="shared" si="25"/>
        <v>597600</v>
      </c>
      <c r="N62" s="144">
        <f t="shared" si="25"/>
        <v>672300</v>
      </c>
      <c r="O62" s="144">
        <f t="shared" si="25"/>
        <v>747000</v>
      </c>
      <c r="P62" s="144">
        <f t="shared" si="25"/>
        <v>821700</v>
      </c>
      <c r="Q62" s="144">
        <f t="shared" si="25"/>
        <v>896400</v>
      </c>
      <c r="R62" s="144">
        <f t="shared" si="25"/>
        <v>971100</v>
      </c>
      <c r="S62" s="144">
        <f t="shared" si="25"/>
        <v>1045800</v>
      </c>
      <c r="T62" s="144">
        <f t="shared" si="25"/>
        <v>1120500</v>
      </c>
      <c r="U62" s="144">
        <f t="shared" si="25"/>
        <v>1195200</v>
      </c>
      <c r="V62" s="144">
        <f t="shared" si="25"/>
        <v>1269900</v>
      </c>
      <c r="W62" s="144">
        <f t="shared" si="25"/>
        <v>1344600</v>
      </c>
      <c r="X62" s="144">
        <f t="shared" si="25"/>
        <v>1419300</v>
      </c>
      <c r="Y62" s="144">
        <f t="shared" si="25"/>
        <v>1494000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10" type="noConversion"/>
  <conditionalFormatting sqref="Z14">
    <cfRule type="cellIs" dxfId="65" priority="8" stopIfTrue="1" operator="lessThan">
      <formula>$C$13</formula>
    </cfRule>
    <cfRule type="cellIs" dxfId="64" priority="9" stopIfTrue="1" operator="lessThan">
      <formula>$C$13</formula>
    </cfRule>
    <cfRule type="cellIs" dxfId="63" priority="10" stopIfTrue="1" operator="greaterThan">
      <formula>$C$13</formula>
    </cfRule>
    <cfRule type="cellIs" dxfId="62" priority="11" stopIfTrue="1" operator="greaterThan">
      <formula>$C$13</formula>
    </cfRule>
  </conditionalFormatting>
  <conditionalFormatting sqref="AA29:AA36">
    <cfRule type="cellIs" dxfId="61" priority="4" stopIfTrue="1" operator="lessThan">
      <formula>0</formula>
    </cfRule>
    <cfRule type="cellIs" dxfId="60" priority="5" stopIfTrue="1" operator="greaterThan">
      <formula>0</formula>
    </cfRule>
    <cfRule type="cellIs" dxfId="59" priority="6" stopIfTrue="1" operator="lessThan">
      <formula>0</formula>
    </cfRule>
    <cfRule type="cellIs" dxfId="58" priority="7" stopIfTrue="1" operator="greaterThan">
      <formula>0</formula>
    </cfRule>
  </conditionalFormatting>
  <conditionalFormatting sqref="Z6">
    <cfRule type="cellIs" dxfId="57" priority="2" stopIfTrue="1" operator="lessThan">
      <formula>$C$6</formula>
    </cfRule>
    <cfRule type="cellIs" dxfId="56" priority="3" stopIfTrue="1" operator="greaterThan">
      <formula>$C$6</formula>
    </cfRule>
  </conditionalFormatting>
  <conditionalFormatting sqref="Z6:Z12">
    <cfRule type="cellIs" dxfId="55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>
  <dimension ref="A1:AX80"/>
  <sheetViews>
    <sheetView showGridLines="0" topLeftCell="A7" workbookViewId="0">
      <selection activeCell="C1" sqref="A1:C1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8.28515625" customWidth="1"/>
    <col min="16" max="16" width="8.85546875" customWidth="1"/>
    <col min="17" max="17" width="8.85546875" bestFit="1" customWidth="1"/>
    <col min="18" max="18" width="10.2851562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10.42578125" customWidth="1"/>
    <col min="50" max="50" width="9.140625" style="6" customWidth="1"/>
  </cols>
  <sheetData>
    <row r="1" spans="1:50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1:50" ht="18.75">
      <c r="B2" s="2" t="s">
        <v>101</v>
      </c>
      <c r="M2" s="93" t="s">
        <v>45</v>
      </c>
      <c r="O2" s="28"/>
      <c r="P2" s="28"/>
      <c r="Q2" s="28"/>
      <c r="R2" s="28"/>
    </row>
    <row r="3" spans="1:50">
      <c r="F3" s="28"/>
    </row>
    <row r="4" spans="1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1:50">
      <c r="B5" s="4"/>
      <c r="C5" s="16" t="s">
        <v>32</v>
      </c>
      <c r="D5" s="4"/>
      <c r="E5" s="7" t="s">
        <v>70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1:50">
      <c r="B6" s="4" t="s">
        <v>0</v>
      </c>
      <c r="C6" s="20">
        <f t="shared" ref="C6:C12" si="0">+C52/20</f>
        <v>16000</v>
      </c>
      <c r="D6" s="10"/>
      <c r="E6" s="11">
        <v>0</v>
      </c>
      <c r="F6" s="34">
        <v>15555</v>
      </c>
      <c r="G6" s="34">
        <v>10905</v>
      </c>
      <c r="H6" s="34">
        <v>12413</v>
      </c>
      <c r="I6" s="34">
        <v>10442</v>
      </c>
      <c r="J6" s="34">
        <v>12470</v>
      </c>
      <c r="K6" s="34">
        <v>17140</v>
      </c>
      <c r="L6" s="34">
        <v>10182</v>
      </c>
      <c r="M6" s="34">
        <v>12437</v>
      </c>
      <c r="N6" s="34">
        <v>21222</v>
      </c>
      <c r="O6" s="34">
        <v>16965</v>
      </c>
      <c r="P6" s="34">
        <v>3175</v>
      </c>
      <c r="Q6" s="34">
        <v>18790</v>
      </c>
      <c r="R6" s="34">
        <v>2756</v>
      </c>
      <c r="S6" s="34">
        <v>14215</v>
      </c>
      <c r="T6" s="34">
        <v>24923</v>
      </c>
      <c r="U6" s="34">
        <v>10760</v>
      </c>
      <c r="V6" s="34">
        <v>12175</v>
      </c>
      <c r="W6" s="34">
        <v>20640</v>
      </c>
      <c r="X6" s="34">
        <v>10065</v>
      </c>
      <c r="Y6" s="34">
        <v>18853</v>
      </c>
      <c r="Z6" s="69">
        <f t="shared" ref="Z6:Z12" si="1">(SUM(F6:Y6)/(COUNT(F6:Y6)))</f>
        <v>13804.15</v>
      </c>
      <c r="AA6" s="103"/>
      <c r="AX6"/>
    </row>
    <row r="7" spans="1:50">
      <c r="B7" s="4" t="s">
        <v>64</v>
      </c>
      <c r="C7" s="20">
        <f t="shared" si="0"/>
        <v>8100</v>
      </c>
      <c r="D7" s="10"/>
      <c r="E7" s="11">
        <v>0</v>
      </c>
      <c r="F7" s="34">
        <v>0</v>
      </c>
      <c r="G7" s="34">
        <v>0</v>
      </c>
      <c r="H7" s="34">
        <v>3200</v>
      </c>
      <c r="I7" s="34">
        <v>2695</v>
      </c>
      <c r="J7" s="34">
        <v>9245</v>
      </c>
      <c r="K7" s="34">
        <v>0</v>
      </c>
      <c r="L7" s="34">
        <v>6695</v>
      </c>
      <c r="M7" s="34">
        <v>3000</v>
      </c>
      <c r="N7" s="34">
        <v>0</v>
      </c>
      <c r="O7" s="34">
        <v>0</v>
      </c>
      <c r="P7" s="34">
        <v>1750</v>
      </c>
      <c r="Q7" s="34">
        <v>0</v>
      </c>
      <c r="R7" s="34">
        <v>9690</v>
      </c>
      <c r="S7" s="34">
        <v>0</v>
      </c>
      <c r="T7" s="34">
        <v>0</v>
      </c>
      <c r="U7" s="34">
        <v>2695</v>
      </c>
      <c r="V7" s="34">
        <v>0</v>
      </c>
      <c r="W7" s="34">
        <v>2695</v>
      </c>
      <c r="X7" s="34">
        <v>0</v>
      </c>
      <c r="Y7" s="34">
        <v>0</v>
      </c>
      <c r="Z7" s="69">
        <f t="shared" si="1"/>
        <v>2083.25</v>
      </c>
      <c r="AA7" s="103"/>
      <c r="AX7"/>
    </row>
    <row r="8" spans="1:50">
      <c r="B8" s="4" t="s">
        <v>77</v>
      </c>
      <c r="C8" s="20">
        <f t="shared" si="0"/>
        <v>8100</v>
      </c>
      <c r="D8" s="10"/>
      <c r="E8" s="11">
        <v>12985</v>
      </c>
      <c r="F8" s="34">
        <v>2290</v>
      </c>
      <c r="G8" s="34">
        <v>0</v>
      </c>
      <c r="H8" s="34">
        <v>2695</v>
      </c>
      <c r="I8" s="34">
        <v>9135</v>
      </c>
      <c r="J8" s="34">
        <v>4795</v>
      </c>
      <c r="K8" s="34">
        <v>0</v>
      </c>
      <c r="L8" s="34">
        <v>11235</v>
      </c>
      <c r="M8" s="34">
        <v>2695</v>
      </c>
      <c r="N8" s="34">
        <v>11790</v>
      </c>
      <c r="O8" s="34">
        <v>0</v>
      </c>
      <c r="P8" s="34">
        <v>2560</v>
      </c>
      <c r="Q8" s="34">
        <v>6985</v>
      </c>
      <c r="R8" s="34">
        <v>4695</v>
      </c>
      <c r="S8" s="34">
        <v>5995</v>
      </c>
      <c r="T8" s="34">
        <v>18635</v>
      </c>
      <c r="U8" s="34">
        <v>9465</v>
      </c>
      <c r="V8" s="34">
        <v>13785</v>
      </c>
      <c r="W8" s="34">
        <v>5390</v>
      </c>
      <c r="X8" s="34">
        <v>9285</v>
      </c>
      <c r="Y8" s="34">
        <v>7490</v>
      </c>
      <c r="Z8" s="69">
        <f t="shared" si="1"/>
        <v>6446</v>
      </c>
      <c r="AA8" s="103"/>
      <c r="AX8"/>
    </row>
    <row r="9" spans="1:50">
      <c r="B9" s="4" t="s">
        <v>1</v>
      </c>
      <c r="C9" s="20">
        <f t="shared" si="0"/>
        <v>13750</v>
      </c>
      <c r="D9" s="10"/>
      <c r="E9" s="11">
        <v>16485</v>
      </c>
      <c r="F9" s="34">
        <v>8490</v>
      </c>
      <c r="G9" s="34">
        <v>16480</v>
      </c>
      <c r="H9" s="34">
        <v>15980</v>
      </c>
      <c r="I9" s="34">
        <v>10240</v>
      </c>
      <c r="J9" s="34">
        <v>10665</v>
      </c>
      <c r="K9" s="34">
        <v>11995</v>
      </c>
      <c r="L9" s="34">
        <v>15155</v>
      </c>
      <c r="M9" s="34">
        <v>7995</v>
      </c>
      <c r="N9" s="34">
        <v>9495</v>
      </c>
      <c r="O9" s="34">
        <v>21655</v>
      </c>
      <c r="P9" s="34">
        <v>10045</v>
      </c>
      <c r="Q9" s="34">
        <v>11885</v>
      </c>
      <c r="R9" s="34">
        <v>8995</v>
      </c>
      <c r="S9" s="34">
        <v>19485</v>
      </c>
      <c r="T9" s="34">
        <v>15730</v>
      </c>
      <c r="U9" s="34">
        <v>17490</v>
      </c>
      <c r="V9" s="34">
        <v>7500</v>
      </c>
      <c r="W9" s="34">
        <v>13535</v>
      </c>
      <c r="X9" s="34">
        <v>5995</v>
      </c>
      <c r="Y9" s="34">
        <v>18530</v>
      </c>
      <c r="Z9" s="69">
        <f t="shared" si="1"/>
        <v>12867</v>
      </c>
      <c r="AA9" s="103"/>
      <c r="AX9"/>
    </row>
    <row r="10" spans="1:50">
      <c r="B10" s="4" t="s">
        <v>2</v>
      </c>
      <c r="C10" s="20">
        <f t="shared" si="0"/>
        <v>8000</v>
      </c>
      <c r="D10" s="10"/>
      <c r="E10" s="11">
        <v>0</v>
      </c>
      <c r="F10" s="34">
        <v>1500</v>
      </c>
      <c r="G10" s="34">
        <v>5990</v>
      </c>
      <c r="H10" s="34">
        <v>2995</v>
      </c>
      <c r="I10" s="34">
        <v>9990</v>
      </c>
      <c r="J10" s="34">
        <v>6245</v>
      </c>
      <c r="K10" s="34">
        <v>4995</v>
      </c>
      <c r="L10" s="34">
        <v>7995</v>
      </c>
      <c r="M10" s="34">
        <v>2995</v>
      </c>
      <c r="N10" s="34">
        <v>8490</v>
      </c>
      <c r="O10" s="34">
        <v>12495</v>
      </c>
      <c r="P10" s="34">
        <v>0</v>
      </c>
      <c r="Q10" s="34">
        <v>7995</v>
      </c>
      <c r="R10" s="34">
        <v>8995</v>
      </c>
      <c r="S10" s="34">
        <v>7995</v>
      </c>
      <c r="T10" s="34">
        <v>9545</v>
      </c>
      <c r="U10" s="34">
        <v>2995</v>
      </c>
      <c r="V10" s="34">
        <v>4670</v>
      </c>
      <c r="W10" s="34">
        <v>0</v>
      </c>
      <c r="X10" s="34">
        <v>2995</v>
      </c>
      <c r="Y10" s="34">
        <v>7995</v>
      </c>
      <c r="Z10" s="69">
        <f t="shared" si="1"/>
        <v>5843.75</v>
      </c>
      <c r="AA10" s="103"/>
      <c r="AX10"/>
    </row>
    <row r="11" spans="1:50">
      <c r="B11" s="4" t="s">
        <v>99</v>
      </c>
      <c r="C11" s="20">
        <f t="shared" si="0"/>
        <v>6000</v>
      </c>
      <c r="D11" s="10"/>
      <c r="E11" s="11">
        <v>0</v>
      </c>
      <c r="F11" s="34">
        <v>0</v>
      </c>
      <c r="G11" s="34">
        <v>0</v>
      </c>
      <c r="H11" s="34">
        <v>0</v>
      </c>
      <c r="I11" s="34">
        <v>0</v>
      </c>
      <c r="J11" s="34">
        <v>1348</v>
      </c>
      <c r="K11" s="34">
        <v>0</v>
      </c>
      <c r="L11" s="34">
        <v>4190</v>
      </c>
      <c r="M11" s="34">
        <v>2695</v>
      </c>
      <c r="N11" s="34">
        <v>0</v>
      </c>
      <c r="O11" s="34">
        <v>0</v>
      </c>
      <c r="P11" s="34">
        <v>0</v>
      </c>
      <c r="Q11" s="34">
        <v>1500</v>
      </c>
      <c r="R11" s="34">
        <v>1000</v>
      </c>
      <c r="S11" s="34">
        <v>0</v>
      </c>
      <c r="T11" s="34">
        <v>1000</v>
      </c>
      <c r="U11" s="34">
        <v>6415</v>
      </c>
      <c r="V11" s="34">
        <v>2905</v>
      </c>
      <c r="W11" s="34">
        <v>2905</v>
      </c>
      <c r="X11" s="34">
        <v>3928</v>
      </c>
      <c r="Y11" s="34">
        <v>0</v>
      </c>
      <c r="Z11" s="69">
        <f t="shared" si="1"/>
        <v>1394.3</v>
      </c>
      <c r="AA11" s="103"/>
      <c r="AX11"/>
    </row>
    <row r="12" spans="1:50">
      <c r="B12" s="4" t="s">
        <v>3</v>
      </c>
      <c r="C12" s="21">
        <f t="shared" si="0"/>
        <v>15000</v>
      </c>
      <c r="D12" s="13"/>
      <c r="E12" s="40">
        <v>13792</v>
      </c>
      <c r="F12" s="35">
        <v>12992</v>
      </c>
      <c r="G12" s="35">
        <v>20336</v>
      </c>
      <c r="H12" s="35">
        <v>17403</v>
      </c>
      <c r="I12" s="35">
        <v>20509</v>
      </c>
      <c r="J12" s="35">
        <v>53577</v>
      </c>
      <c r="K12" s="35">
        <v>18960</v>
      </c>
      <c r="L12" s="35">
        <v>17434</v>
      </c>
      <c r="M12" s="35">
        <v>16537</v>
      </c>
      <c r="N12" s="35">
        <v>17956</v>
      </c>
      <c r="O12" s="35">
        <v>26687</v>
      </c>
      <c r="P12" s="35">
        <v>19497</v>
      </c>
      <c r="Q12" s="35">
        <v>11197</v>
      </c>
      <c r="R12" s="35">
        <v>13951</v>
      </c>
      <c r="S12" s="35">
        <v>15420</v>
      </c>
      <c r="T12" s="35">
        <v>13940</v>
      </c>
      <c r="U12" s="35">
        <v>11252</v>
      </c>
      <c r="V12" s="35">
        <v>16777</v>
      </c>
      <c r="W12" s="35">
        <v>14625</v>
      </c>
      <c r="X12" s="35">
        <v>14855</v>
      </c>
      <c r="Y12" s="35">
        <v>15924</v>
      </c>
      <c r="Z12" s="69">
        <f t="shared" si="1"/>
        <v>18491.45</v>
      </c>
      <c r="AA12" s="103"/>
      <c r="AX12"/>
    </row>
    <row r="13" spans="1:50" ht="15.75" thickBot="1">
      <c r="B13" s="14" t="s">
        <v>27</v>
      </c>
      <c r="C13" s="20">
        <f>SUM(C6:C12)</f>
        <v>74950</v>
      </c>
      <c r="D13" s="20">
        <f t="shared" ref="D13:Y13" si="2">SUM(D6:D12)</f>
        <v>0</v>
      </c>
      <c r="E13" s="11">
        <f t="shared" si="2"/>
        <v>43262</v>
      </c>
      <c r="F13" s="127">
        <f t="shared" si="2"/>
        <v>40827</v>
      </c>
      <c r="G13" s="127">
        <f t="shared" si="2"/>
        <v>53711</v>
      </c>
      <c r="H13" s="127">
        <f t="shared" si="2"/>
        <v>54686</v>
      </c>
      <c r="I13" s="127">
        <f t="shared" si="2"/>
        <v>63011</v>
      </c>
      <c r="J13" s="127">
        <f t="shared" si="2"/>
        <v>98345</v>
      </c>
      <c r="K13" s="127">
        <f t="shared" si="2"/>
        <v>53090</v>
      </c>
      <c r="L13" s="127">
        <f t="shared" si="2"/>
        <v>72886</v>
      </c>
      <c r="M13" s="127">
        <f t="shared" si="2"/>
        <v>48354</v>
      </c>
      <c r="N13" s="127">
        <f t="shared" si="2"/>
        <v>68953</v>
      </c>
      <c r="O13" s="127">
        <f t="shared" si="2"/>
        <v>77802</v>
      </c>
      <c r="P13" s="127">
        <f t="shared" si="2"/>
        <v>37027</v>
      </c>
      <c r="Q13" s="127">
        <f t="shared" si="2"/>
        <v>58352</v>
      </c>
      <c r="R13" s="127">
        <f t="shared" si="2"/>
        <v>50082</v>
      </c>
      <c r="S13" s="127">
        <f t="shared" si="2"/>
        <v>63110</v>
      </c>
      <c r="T13" s="127">
        <f t="shared" si="2"/>
        <v>83773</v>
      </c>
      <c r="U13" s="127">
        <f t="shared" si="2"/>
        <v>61072</v>
      </c>
      <c r="V13" s="127">
        <f t="shared" si="2"/>
        <v>57812</v>
      </c>
      <c r="W13" s="127">
        <f t="shared" si="2"/>
        <v>59790</v>
      </c>
      <c r="X13" s="127">
        <f t="shared" si="2"/>
        <v>47123</v>
      </c>
      <c r="Y13" s="127">
        <f t="shared" si="2"/>
        <v>68792</v>
      </c>
      <c r="Z13" s="67"/>
      <c r="AA13" s="103"/>
      <c r="AX13"/>
    </row>
    <row r="14" spans="1:50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43" t="s">
        <v>36</v>
      </c>
      <c r="Z14" s="58">
        <f>(SUM(F13:Y13)/(COUNT(F13:Y13)))</f>
        <v>60929.9</v>
      </c>
      <c r="AA14" s="104"/>
    </row>
    <row r="15" spans="1:50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4"/>
      <c r="AA15" s="104"/>
    </row>
    <row r="16" spans="1:50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104"/>
      <c r="AA16" s="104"/>
    </row>
    <row r="17" spans="2:50" s="1" customFormat="1" ht="12.75">
      <c r="B17" s="23"/>
      <c r="C17" s="23"/>
      <c r="D17" s="23"/>
      <c r="E17" s="23"/>
      <c r="F17" s="23" t="str">
        <f>+F5</f>
        <v>Day 1</v>
      </c>
      <c r="G17" s="23" t="str">
        <f t="shared" ref="G17:Y17" si="3">+G5</f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104"/>
      <c r="AA17" s="104"/>
    </row>
    <row r="18" spans="2:50" s="1" customFormat="1" ht="12.75">
      <c r="B18" s="23" t="s">
        <v>0</v>
      </c>
      <c r="C18" s="25">
        <f t="shared" ref="C18:C25" si="4">(C6-$C6)/$C6+1</f>
        <v>1</v>
      </c>
      <c r="D18" s="25"/>
      <c r="E18" s="25"/>
      <c r="F18" s="25">
        <f t="shared" ref="F18:Y21" si="5">(F6-$C6)/$C6+1</f>
        <v>0.97218749999999998</v>
      </c>
      <c r="G18" s="25">
        <f t="shared" si="5"/>
        <v>0.68156250000000007</v>
      </c>
      <c r="H18" s="25">
        <f t="shared" si="5"/>
        <v>0.77581250000000002</v>
      </c>
      <c r="I18" s="25">
        <f t="shared" si="5"/>
        <v>0.65262500000000001</v>
      </c>
      <c r="J18" s="25">
        <f t="shared" si="5"/>
        <v>0.77937500000000004</v>
      </c>
      <c r="K18" s="25">
        <f t="shared" si="5"/>
        <v>1.07125</v>
      </c>
      <c r="L18" s="25">
        <f t="shared" si="5"/>
        <v>0.63637500000000002</v>
      </c>
      <c r="M18" s="25">
        <f t="shared" si="5"/>
        <v>0.77731249999999996</v>
      </c>
      <c r="N18" s="25">
        <f t="shared" si="5"/>
        <v>1.3263750000000001</v>
      </c>
      <c r="O18" s="25">
        <f t="shared" si="5"/>
        <v>1.0603125</v>
      </c>
      <c r="P18" s="25">
        <f t="shared" si="5"/>
        <v>0.19843750000000004</v>
      </c>
      <c r="Q18" s="25">
        <f t="shared" si="5"/>
        <v>1.1743749999999999</v>
      </c>
      <c r="R18" s="25">
        <f t="shared" si="5"/>
        <v>0.17225000000000001</v>
      </c>
      <c r="S18" s="25">
        <f t="shared" si="5"/>
        <v>0.88843749999999999</v>
      </c>
      <c r="T18" s="25">
        <f t="shared" si="5"/>
        <v>1.5576875000000001</v>
      </c>
      <c r="U18" s="25">
        <f t="shared" si="5"/>
        <v>0.67249999999999999</v>
      </c>
      <c r="V18" s="25">
        <f t="shared" si="5"/>
        <v>0.76093750000000004</v>
      </c>
      <c r="W18" s="25">
        <f t="shared" si="5"/>
        <v>1.29</v>
      </c>
      <c r="X18" s="25">
        <f t="shared" si="5"/>
        <v>0.62906250000000008</v>
      </c>
      <c r="Y18" s="25">
        <f t="shared" si="5"/>
        <v>1.1783125000000001</v>
      </c>
      <c r="Z18" s="104"/>
      <c r="AA18" s="104"/>
    </row>
    <row r="19" spans="2:50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si="5"/>
        <v>0</v>
      </c>
      <c r="G19" s="25">
        <f t="shared" si="5"/>
        <v>0</v>
      </c>
      <c r="H19" s="25">
        <f t="shared" si="5"/>
        <v>0.39506172839506171</v>
      </c>
      <c r="I19" s="25">
        <f t="shared" si="5"/>
        <v>0.33271604938271604</v>
      </c>
      <c r="J19" s="25">
        <f t="shared" si="5"/>
        <v>1.1413580246913579</v>
      </c>
      <c r="K19" s="25">
        <f t="shared" si="5"/>
        <v>0</v>
      </c>
      <c r="L19" s="25">
        <f t="shared" si="5"/>
        <v>0.82654320987654317</v>
      </c>
      <c r="M19" s="25">
        <f t="shared" si="5"/>
        <v>0.37037037037037035</v>
      </c>
      <c r="N19" s="25">
        <f t="shared" si="5"/>
        <v>0</v>
      </c>
      <c r="O19" s="25">
        <f t="shared" si="5"/>
        <v>0</v>
      </c>
      <c r="P19" s="25">
        <f t="shared" si="5"/>
        <v>0.21604938271604934</v>
      </c>
      <c r="Q19" s="25">
        <f t="shared" si="5"/>
        <v>0</v>
      </c>
      <c r="R19" s="25">
        <f t="shared" si="5"/>
        <v>1.1962962962962962</v>
      </c>
      <c r="S19" s="25">
        <f t="shared" si="5"/>
        <v>0</v>
      </c>
      <c r="T19" s="25">
        <f t="shared" si="5"/>
        <v>0</v>
      </c>
      <c r="U19" s="25">
        <f t="shared" si="5"/>
        <v>0.33271604938271604</v>
      </c>
      <c r="V19" s="25">
        <f t="shared" si="5"/>
        <v>0</v>
      </c>
      <c r="W19" s="25">
        <f t="shared" si="5"/>
        <v>0.33271604938271604</v>
      </c>
      <c r="X19" s="25">
        <f t="shared" si="5"/>
        <v>0</v>
      </c>
      <c r="Y19" s="25">
        <f t="shared" si="5"/>
        <v>0</v>
      </c>
      <c r="Z19" s="104"/>
      <c r="AA19" s="104"/>
    </row>
    <row r="20" spans="2:50" s="1" customFormat="1" ht="12.75">
      <c r="B20" s="4" t="s">
        <v>77</v>
      </c>
      <c r="C20" s="25">
        <f t="shared" si="4"/>
        <v>1</v>
      </c>
      <c r="D20" s="25"/>
      <c r="E20" s="25"/>
      <c r="F20" s="25">
        <f t="shared" si="5"/>
        <v>0.28271604938271599</v>
      </c>
      <c r="G20" s="25">
        <f t="shared" si="5"/>
        <v>0</v>
      </c>
      <c r="H20" s="25">
        <f t="shared" si="5"/>
        <v>0.33271604938271604</v>
      </c>
      <c r="I20" s="25">
        <f t="shared" si="5"/>
        <v>1.1277777777777778</v>
      </c>
      <c r="J20" s="25">
        <f t="shared" si="5"/>
        <v>0.59197530864197523</v>
      </c>
      <c r="K20" s="25">
        <f t="shared" si="5"/>
        <v>0</v>
      </c>
      <c r="L20" s="25">
        <f t="shared" si="5"/>
        <v>1.3870370370370371</v>
      </c>
      <c r="M20" s="25">
        <f t="shared" si="5"/>
        <v>0.33271604938271604</v>
      </c>
      <c r="N20" s="25">
        <f t="shared" si="5"/>
        <v>1.4555555555555555</v>
      </c>
      <c r="O20" s="25">
        <f t="shared" si="5"/>
        <v>0</v>
      </c>
      <c r="P20" s="25">
        <f t="shared" si="5"/>
        <v>0.31604938271604943</v>
      </c>
      <c r="Q20" s="25">
        <f t="shared" si="5"/>
        <v>0.86234567901234571</v>
      </c>
      <c r="R20" s="25">
        <f t="shared" si="5"/>
        <v>0.57962962962962961</v>
      </c>
      <c r="S20" s="25">
        <f t="shared" si="5"/>
        <v>0.74012345679012348</v>
      </c>
      <c r="T20" s="25">
        <f t="shared" si="5"/>
        <v>2.3006172839506176</v>
      </c>
      <c r="U20" s="25">
        <f t="shared" si="5"/>
        <v>1.1685185185185185</v>
      </c>
      <c r="V20" s="25">
        <f t="shared" si="5"/>
        <v>1.7018518518518517</v>
      </c>
      <c r="W20" s="25">
        <f t="shared" si="5"/>
        <v>0.66543209876543208</v>
      </c>
      <c r="X20" s="25">
        <f t="shared" si="5"/>
        <v>1.1462962962962964</v>
      </c>
      <c r="Y20" s="25">
        <f t="shared" si="5"/>
        <v>0.92469135802469138</v>
      </c>
      <c r="Z20" s="104"/>
      <c r="AA20" s="104"/>
    </row>
    <row r="21" spans="2:50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>(F9-$C9)/$C9+1</f>
        <v>0.61745454545454548</v>
      </c>
      <c r="G21" s="25">
        <f t="shared" si="5"/>
        <v>1.1985454545454546</v>
      </c>
      <c r="H21" s="25">
        <f t="shared" si="5"/>
        <v>1.1621818181818182</v>
      </c>
      <c r="I21" s="25">
        <f t="shared" si="5"/>
        <v>0.74472727272727268</v>
      </c>
      <c r="J21" s="25">
        <f t="shared" si="5"/>
        <v>0.77563636363636368</v>
      </c>
      <c r="K21" s="25">
        <f t="shared" si="5"/>
        <v>0.87236363636363634</v>
      </c>
      <c r="L21" s="25">
        <f t="shared" si="5"/>
        <v>1.1021818181818182</v>
      </c>
      <c r="M21" s="25">
        <f t="shared" si="5"/>
        <v>0.58145454545454545</v>
      </c>
      <c r="N21" s="25">
        <f t="shared" si="5"/>
        <v>0.69054545454545457</v>
      </c>
      <c r="O21" s="25">
        <f t="shared" si="5"/>
        <v>1.5749090909090908</v>
      </c>
      <c r="P21" s="25">
        <f t="shared" si="5"/>
        <v>0.73054545454545461</v>
      </c>
      <c r="Q21" s="25">
        <f t="shared" si="5"/>
        <v>0.86436363636363633</v>
      </c>
      <c r="R21" s="25">
        <f t="shared" si="5"/>
        <v>0.6541818181818182</v>
      </c>
      <c r="S21" s="25">
        <f t="shared" si="5"/>
        <v>1.4170909090909092</v>
      </c>
      <c r="T21" s="25">
        <f t="shared" si="5"/>
        <v>1.1439999999999999</v>
      </c>
      <c r="U21" s="25">
        <f t="shared" si="5"/>
        <v>1.272</v>
      </c>
      <c r="V21" s="25">
        <f t="shared" si="5"/>
        <v>0.54545454545454541</v>
      </c>
      <c r="W21" s="25">
        <f t="shared" si="5"/>
        <v>0.98436363636363633</v>
      </c>
      <c r="X21" s="25">
        <f t="shared" si="5"/>
        <v>0.43600000000000005</v>
      </c>
      <c r="Y21" s="25">
        <f t="shared" si="5"/>
        <v>1.3476363636363637</v>
      </c>
      <c r="Z21" s="104"/>
      <c r="AA21" s="104"/>
    </row>
    <row r="22" spans="2:50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5" si="6">(F10-$C10)/$C10+1</f>
        <v>0.1875</v>
      </c>
      <c r="G22" s="25">
        <f t="shared" si="6"/>
        <v>0.74875000000000003</v>
      </c>
      <c r="H22" s="25">
        <f t="shared" si="6"/>
        <v>0.37437500000000001</v>
      </c>
      <c r="I22" s="25">
        <f t="shared" si="6"/>
        <v>1.24875</v>
      </c>
      <c r="J22" s="25">
        <f t="shared" si="6"/>
        <v>0.78062500000000001</v>
      </c>
      <c r="K22" s="25">
        <f t="shared" si="6"/>
        <v>0.62437500000000001</v>
      </c>
      <c r="L22" s="25">
        <f t="shared" si="6"/>
        <v>0.99937500000000001</v>
      </c>
      <c r="M22" s="25">
        <f t="shared" si="6"/>
        <v>0.37437500000000001</v>
      </c>
      <c r="N22" s="25">
        <f t="shared" si="6"/>
        <v>1.06125</v>
      </c>
      <c r="O22" s="25">
        <f t="shared" si="6"/>
        <v>1.5618750000000001</v>
      </c>
      <c r="P22" s="25">
        <f t="shared" si="6"/>
        <v>0</v>
      </c>
      <c r="Q22" s="25">
        <f t="shared" si="6"/>
        <v>0.99937500000000001</v>
      </c>
      <c r="R22" s="25">
        <f t="shared" si="6"/>
        <v>1.1243749999999999</v>
      </c>
      <c r="S22" s="25">
        <f t="shared" si="6"/>
        <v>0.99937500000000001</v>
      </c>
      <c r="T22" s="25">
        <f t="shared" si="6"/>
        <v>1.193125</v>
      </c>
      <c r="U22" s="25">
        <f t="shared" si="6"/>
        <v>0.37437500000000001</v>
      </c>
      <c r="V22" s="25">
        <f t="shared" si="6"/>
        <v>0.58374999999999999</v>
      </c>
      <c r="W22" s="25">
        <f t="shared" si="6"/>
        <v>0</v>
      </c>
      <c r="X22" s="25">
        <f t="shared" si="6"/>
        <v>0.37437500000000001</v>
      </c>
      <c r="Y22" s="25">
        <f t="shared" si="6"/>
        <v>0.99937500000000001</v>
      </c>
      <c r="Z22" s="104"/>
      <c r="AA22" s="104"/>
    </row>
    <row r="23" spans="2:50" s="1" customFormat="1" ht="12.75">
      <c r="B23" s="4" t="s">
        <v>99</v>
      </c>
      <c r="C23" s="25">
        <f t="shared" si="4"/>
        <v>1</v>
      </c>
      <c r="D23" s="25"/>
      <c r="E23" s="25"/>
      <c r="F23" s="25">
        <f t="shared" si="6"/>
        <v>0</v>
      </c>
      <c r="G23" s="25">
        <f t="shared" si="6"/>
        <v>0</v>
      </c>
      <c r="H23" s="25">
        <f t="shared" si="6"/>
        <v>0</v>
      </c>
      <c r="I23" s="25">
        <f t="shared" si="6"/>
        <v>0</v>
      </c>
      <c r="J23" s="25">
        <f t="shared" si="6"/>
        <v>0.22466666666666668</v>
      </c>
      <c r="K23" s="25">
        <f t="shared" si="6"/>
        <v>0</v>
      </c>
      <c r="L23" s="25">
        <f t="shared" si="6"/>
        <v>0.69833333333333325</v>
      </c>
      <c r="M23" s="25">
        <f t="shared" si="6"/>
        <v>0.44916666666666671</v>
      </c>
      <c r="N23" s="25">
        <f t="shared" si="6"/>
        <v>0</v>
      </c>
      <c r="O23" s="25">
        <f t="shared" si="6"/>
        <v>0</v>
      </c>
      <c r="P23" s="25">
        <f t="shared" si="6"/>
        <v>0</v>
      </c>
      <c r="Q23" s="25">
        <f t="shared" si="6"/>
        <v>0.25</v>
      </c>
      <c r="R23" s="25">
        <f t="shared" si="6"/>
        <v>0.16666666666666663</v>
      </c>
      <c r="S23" s="25">
        <f t="shared" si="6"/>
        <v>0</v>
      </c>
      <c r="T23" s="25">
        <f t="shared" si="6"/>
        <v>0.16666666666666663</v>
      </c>
      <c r="U23" s="25">
        <f t="shared" si="6"/>
        <v>1.0691666666666666</v>
      </c>
      <c r="V23" s="25">
        <f t="shared" si="6"/>
        <v>0.48416666666666663</v>
      </c>
      <c r="W23" s="25">
        <f t="shared" si="6"/>
        <v>0.48416666666666663</v>
      </c>
      <c r="X23" s="25">
        <f t="shared" si="6"/>
        <v>0.65466666666666673</v>
      </c>
      <c r="Y23" s="25">
        <f t="shared" si="6"/>
        <v>0</v>
      </c>
      <c r="Z23" s="104"/>
      <c r="AA23" s="104"/>
    </row>
    <row r="24" spans="2:50" s="1" customFormat="1" ht="12.75">
      <c r="B24" s="23" t="s">
        <v>3</v>
      </c>
      <c r="C24" s="27">
        <f t="shared" si="4"/>
        <v>1</v>
      </c>
      <c r="D24" s="27"/>
      <c r="E24" s="27"/>
      <c r="F24" s="27">
        <f t="shared" si="6"/>
        <v>0.86613333333333331</v>
      </c>
      <c r="G24" s="27">
        <f t="shared" si="6"/>
        <v>1.3557333333333332</v>
      </c>
      <c r="H24" s="27">
        <f t="shared" si="6"/>
        <v>1.1602000000000001</v>
      </c>
      <c r="I24" s="27">
        <f t="shared" si="6"/>
        <v>1.3672666666666666</v>
      </c>
      <c r="J24" s="27">
        <f t="shared" si="6"/>
        <v>3.5718000000000001</v>
      </c>
      <c r="K24" s="27">
        <f t="shared" si="6"/>
        <v>1.264</v>
      </c>
      <c r="L24" s="27">
        <f t="shared" si="6"/>
        <v>1.1622666666666666</v>
      </c>
      <c r="M24" s="27">
        <f t="shared" si="6"/>
        <v>1.1024666666666667</v>
      </c>
      <c r="N24" s="27">
        <f t="shared" si="6"/>
        <v>1.1970666666666667</v>
      </c>
      <c r="O24" s="27">
        <f t="shared" si="6"/>
        <v>1.7791333333333332</v>
      </c>
      <c r="P24" s="27">
        <f t="shared" si="6"/>
        <v>1.2998000000000001</v>
      </c>
      <c r="Q24" s="27">
        <f t="shared" si="6"/>
        <v>0.74646666666666661</v>
      </c>
      <c r="R24" s="27">
        <f t="shared" si="6"/>
        <v>0.93006666666666671</v>
      </c>
      <c r="S24" s="27">
        <f t="shared" si="6"/>
        <v>1.028</v>
      </c>
      <c r="T24" s="27">
        <f t="shared" si="6"/>
        <v>0.92933333333333334</v>
      </c>
      <c r="U24" s="27">
        <f t="shared" si="6"/>
        <v>0.75013333333333332</v>
      </c>
      <c r="V24" s="27">
        <f t="shared" si="6"/>
        <v>1.1184666666666667</v>
      </c>
      <c r="W24" s="27">
        <f t="shared" si="6"/>
        <v>0.97499999999999998</v>
      </c>
      <c r="X24" s="27">
        <f t="shared" si="6"/>
        <v>0.99033333333333329</v>
      </c>
      <c r="Y24" s="27">
        <f t="shared" si="6"/>
        <v>1.0616000000000001</v>
      </c>
      <c r="Z24" s="104"/>
      <c r="AA24" s="104"/>
    </row>
    <row r="25" spans="2:50" s="1" customFormat="1" ht="12.75">
      <c r="B25" s="29" t="s">
        <v>27</v>
      </c>
      <c r="C25" s="25">
        <f t="shared" si="4"/>
        <v>1</v>
      </c>
      <c r="D25" s="25"/>
      <c r="E25" s="25"/>
      <c r="F25" s="25">
        <f>(F13-$C13)/$C13+1</f>
        <v>0.54472314876584393</v>
      </c>
      <c r="G25" s="25">
        <f t="shared" si="6"/>
        <v>0.71662441627751838</v>
      </c>
      <c r="H25" s="25">
        <f t="shared" si="6"/>
        <v>0.72963308872581722</v>
      </c>
      <c r="I25" s="25">
        <f t="shared" si="6"/>
        <v>0.84070713809206143</v>
      </c>
      <c r="J25" s="25">
        <f>(J13-$C13)/$C13+1</f>
        <v>1.3121414276184122</v>
      </c>
      <c r="K25" s="25">
        <f>(K13-$C13)/$C13+1</f>
        <v>0.70833889259506333</v>
      </c>
      <c r="L25" s="25">
        <f>(L13-$C13)/$C13+1</f>
        <v>0.97246164109406275</v>
      </c>
      <c r="M25" s="25">
        <f t="shared" si="6"/>
        <v>0.64515010006671114</v>
      </c>
      <c r="N25" s="25">
        <f t="shared" si="6"/>
        <v>0.91998665777184785</v>
      </c>
      <c r="O25" s="25">
        <f t="shared" si="6"/>
        <v>1.0380520346897932</v>
      </c>
      <c r="P25" s="25">
        <f t="shared" si="6"/>
        <v>0.49402268178785858</v>
      </c>
      <c r="Q25" s="25">
        <f t="shared" si="6"/>
        <v>0.77854569713142097</v>
      </c>
      <c r="R25" s="25">
        <f t="shared" si="6"/>
        <v>0.66820547031354238</v>
      </c>
      <c r="S25" s="25">
        <f>(S13-$C13)/$C13+1</f>
        <v>0.84202801867911936</v>
      </c>
      <c r="T25" s="25">
        <f>(T13-$C13)/$C13+1</f>
        <v>1.1177184789859906</v>
      </c>
      <c r="U25" s="25">
        <f>(U13-$C13)/$C13+1</f>
        <v>0.81483655770513674</v>
      </c>
      <c r="V25" s="25">
        <f>(V13-$C13)/$C13+1</f>
        <v>0.77134089392928618</v>
      </c>
      <c r="W25" s="25">
        <f>(W13-$C13)/$C13+1</f>
        <v>0.79773182121414277</v>
      </c>
      <c r="X25" s="25">
        <f t="shared" si="6"/>
        <v>0.62872581721147425</v>
      </c>
      <c r="Y25" s="25">
        <f t="shared" si="6"/>
        <v>0.91783855903935962</v>
      </c>
      <c r="Z25" s="104"/>
      <c r="AA25" s="104"/>
    </row>
    <row r="26" spans="2:5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03"/>
      <c r="AA26" s="103"/>
      <c r="AX26"/>
    </row>
    <row r="27" spans="2:50">
      <c r="B27" s="9" t="s">
        <v>33</v>
      </c>
      <c r="C27" s="4"/>
      <c r="D27" s="4"/>
      <c r="E27" s="4"/>
      <c r="F27" s="49">
        <f>+F1/$Y$1</f>
        <v>0.05</v>
      </c>
      <c r="G27" s="49">
        <f t="shared" ref="G27:Y27" si="7">+G1/$Y$1</f>
        <v>0.1</v>
      </c>
      <c r="H27" s="49">
        <f t="shared" si="7"/>
        <v>0.15</v>
      </c>
      <c r="I27" s="49">
        <f t="shared" si="7"/>
        <v>0.2</v>
      </c>
      <c r="J27" s="49">
        <f t="shared" si="7"/>
        <v>0.25</v>
      </c>
      <c r="K27" s="49">
        <f t="shared" si="7"/>
        <v>0.3</v>
      </c>
      <c r="L27" s="49">
        <f t="shared" si="7"/>
        <v>0.35</v>
      </c>
      <c r="M27" s="49">
        <f t="shared" si="7"/>
        <v>0.4</v>
      </c>
      <c r="N27" s="49">
        <f t="shared" si="7"/>
        <v>0.45</v>
      </c>
      <c r="O27" s="49">
        <f t="shared" si="7"/>
        <v>0.5</v>
      </c>
      <c r="P27" s="49">
        <f t="shared" si="7"/>
        <v>0.55000000000000004</v>
      </c>
      <c r="Q27" s="49">
        <f t="shared" si="7"/>
        <v>0.6</v>
      </c>
      <c r="R27" s="49">
        <f t="shared" si="7"/>
        <v>0.65</v>
      </c>
      <c r="S27" s="49">
        <f t="shared" si="7"/>
        <v>0.7</v>
      </c>
      <c r="T27" s="49">
        <f t="shared" si="7"/>
        <v>0.75</v>
      </c>
      <c r="U27" s="49">
        <f t="shared" si="7"/>
        <v>0.8</v>
      </c>
      <c r="V27" s="49">
        <f t="shared" si="7"/>
        <v>0.85</v>
      </c>
      <c r="W27" s="49">
        <f t="shared" si="7"/>
        <v>0.9</v>
      </c>
      <c r="X27" s="49">
        <f t="shared" si="7"/>
        <v>0.95</v>
      </c>
      <c r="Y27" s="49">
        <f t="shared" si="7"/>
        <v>1</v>
      </c>
      <c r="Z27" s="105" t="s">
        <v>39</v>
      </c>
      <c r="AA27" s="106" t="s">
        <v>37</v>
      </c>
      <c r="AX27"/>
    </row>
    <row r="28" spans="2:50">
      <c r="B28" s="4"/>
      <c r="C28" s="4"/>
      <c r="D28" s="4"/>
      <c r="E28" s="4"/>
      <c r="F28" s="4" t="str">
        <f t="shared" ref="F28:Y28" si="8">+F17</f>
        <v>Day 1</v>
      </c>
      <c r="G28" s="4" t="str">
        <f t="shared" si="8"/>
        <v>Day 2</v>
      </c>
      <c r="H28" s="4" t="str">
        <f t="shared" si="8"/>
        <v>Day 3</v>
      </c>
      <c r="I28" s="4" t="str">
        <f t="shared" si="8"/>
        <v>Day 4</v>
      </c>
      <c r="J28" s="4" t="str">
        <f t="shared" si="8"/>
        <v>Day 5</v>
      </c>
      <c r="K28" s="4" t="str">
        <f t="shared" si="8"/>
        <v>Day 6</v>
      </c>
      <c r="L28" s="4" t="str">
        <f t="shared" si="8"/>
        <v>Day 7</v>
      </c>
      <c r="M28" s="4" t="str">
        <f t="shared" si="8"/>
        <v>Day 8</v>
      </c>
      <c r="N28" s="4" t="str">
        <f t="shared" si="8"/>
        <v>Day 9</v>
      </c>
      <c r="O28" s="4" t="str">
        <f t="shared" si="8"/>
        <v>Day 10</v>
      </c>
      <c r="P28" s="4" t="str">
        <f t="shared" si="8"/>
        <v>Day 11</v>
      </c>
      <c r="Q28" s="4" t="str">
        <f t="shared" si="8"/>
        <v>Day 12</v>
      </c>
      <c r="R28" s="4" t="str">
        <f t="shared" si="8"/>
        <v>Day 13</v>
      </c>
      <c r="S28" s="4" t="str">
        <f t="shared" si="8"/>
        <v>Day 14</v>
      </c>
      <c r="T28" s="4" t="str">
        <f t="shared" si="8"/>
        <v>Day 15</v>
      </c>
      <c r="U28" s="4" t="str">
        <f t="shared" si="8"/>
        <v>Day 16</v>
      </c>
      <c r="V28" s="4" t="str">
        <f t="shared" si="8"/>
        <v>Day 17</v>
      </c>
      <c r="W28" s="4" t="str">
        <f t="shared" si="8"/>
        <v>Day 18</v>
      </c>
      <c r="X28" s="4" t="str">
        <f t="shared" si="8"/>
        <v>Day 19</v>
      </c>
      <c r="Y28" s="4" t="str">
        <f t="shared" si="8"/>
        <v>Day 20</v>
      </c>
      <c r="Z28" s="107" t="s">
        <v>40</v>
      </c>
      <c r="AA28" s="108" t="s">
        <v>38</v>
      </c>
      <c r="AX28"/>
    </row>
    <row r="29" spans="2:50">
      <c r="B29" s="4" t="str">
        <f>+B18</f>
        <v>San Diego</v>
      </c>
      <c r="C29" s="4"/>
      <c r="D29" s="4"/>
      <c r="E29" s="23"/>
      <c r="F29" s="122">
        <v>12440</v>
      </c>
      <c r="G29" s="34">
        <v>23345</v>
      </c>
      <c r="H29" s="34">
        <v>38873</v>
      </c>
      <c r="I29" s="34">
        <v>52430</v>
      </c>
      <c r="J29" s="34">
        <v>61785</v>
      </c>
      <c r="K29" s="34">
        <v>78925</v>
      </c>
      <c r="L29" s="34">
        <v>89107</v>
      </c>
      <c r="M29" s="34">
        <v>99412</v>
      </c>
      <c r="N29" s="34">
        <v>122763</v>
      </c>
      <c r="O29" s="34">
        <v>139727</v>
      </c>
      <c r="P29" s="34">
        <v>142902</v>
      </c>
      <c r="Q29" s="34">
        <v>161692</v>
      </c>
      <c r="R29" s="34">
        <v>164130</v>
      </c>
      <c r="S29" s="34">
        <v>178425</v>
      </c>
      <c r="T29" s="34">
        <v>200273</v>
      </c>
      <c r="U29" s="34">
        <v>211051</v>
      </c>
      <c r="V29" s="34">
        <v>223226</v>
      </c>
      <c r="W29" s="34">
        <v>240691</v>
      </c>
      <c r="X29" s="34">
        <v>250756</v>
      </c>
      <c r="Y29" s="34">
        <v>285003</v>
      </c>
      <c r="Z29" s="109">
        <f>+Y29/C52</f>
        <v>0.89063437499999998</v>
      </c>
      <c r="AA29" s="145">
        <f t="shared" ref="AA29:AA36" si="9">+Z29-Y$27</f>
        <v>-0.10936562500000002</v>
      </c>
      <c r="AX29"/>
    </row>
    <row r="30" spans="2:50">
      <c r="B30" s="4" t="str">
        <f>+B19</f>
        <v>Latin America</v>
      </c>
      <c r="C30" s="4"/>
      <c r="D30" s="4"/>
      <c r="E30" s="23"/>
      <c r="F30" s="122">
        <v>0</v>
      </c>
      <c r="G30" s="34">
        <v>0</v>
      </c>
      <c r="H30" s="34">
        <v>3200</v>
      </c>
      <c r="I30" s="34">
        <v>3200</v>
      </c>
      <c r="J30" s="34">
        <v>14140</v>
      </c>
      <c r="K30" s="34">
        <v>14140</v>
      </c>
      <c r="L30" s="34">
        <v>20835</v>
      </c>
      <c r="M30" s="34">
        <v>23835</v>
      </c>
      <c r="N30" s="34">
        <v>23835</v>
      </c>
      <c r="O30" s="34">
        <v>23835</v>
      </c>
      <c r="P30" s="34">
        <v>25585</v>
      </c>
      <c r="Q30" s="34">
        <v>25585</v>
      </c>
      <c r="R30" s="34">
        <v>35275</v>
      </c>
      <c r="S30" s="34">
        <v>35275</v>
      </c>
      <c r="T30" s="34">
        <v>35275</v>
      </c>
      <c r="U30" s="34">
        <v>37970</v>
      </c>
      <c r="V30" s="34">
        <v>37970</v>
      </c>
      <c r="W30" s="34">
        <v>40665</v>
      </c>
      <c r="X30" s="34">
        <v>40665</v>
      </c>
      <c r="Y30" s="34">
        <v>40665</v>
      </c>
      <c r="Z30" s="109">
        <f>+Y30/C53</f>
        <v>0.25101851851851853</v>
      </c>
      <c r="AA30" s="146">
        <f t="shared" si="9"/>
        <v>-0.74898148148148147</v>
      </c>
      <c r="AX30"/>
    </row>
    <row r="31" spans="2:50">
      <c r="B31" s="4" t="str">
        <f>+B20</f>
        <v>Brazil</v>
      </c>
      <c r="C31" s="4"/>
      <c r="D31" s="4"/>
      <c r="E31" s="23"/>
      <c r="F31" s="122">
        <v>15275</v>
      </c>
      <c r="G31" s="34">
        <v>15275</v>
      </c>
      <c r="H31" s="34">
        <v>17970</v>
      </c>
      <c r="I31" s="34">
        <v>27105</v>
      </c>
      <c r="J31" s="34">
        <v>34595</v>
      </c>
      <c r="K31" s="34">
        <v>34595</v>
      </c>
      <c r="L31" s="34">
        <v>32595</v>
      </c>
      <c r="M31" s="34">
        <v>46525</v>
      </c>
      <c r="N31" s="34">
        <v>58315</v>
      </c>
      <c r="O31" s="34">
        <v>58315</v>
      </c>
      <c r="P31" s="34">
        <v>57265</v>
      </c>
      <c r="Q31" s="34">
        <v>66810</v>
      </c>
      <c r="R31" s="34">
        <v>71505</v>
      </c>
      <c r="S31" s="34">
        <v>77500</v>
      </c>
      <c r="T31" s="34">
        <v>96135</v>
      </c>
      <c r="U31" s="34">
        <v>105600</v>
      </c>
      <c r="V31" s="34">
        <v>119385</v>
      </c>
      <c r="W31" s="34">
        <v>119385</v>
      </c>
      <c r="X31" s="34">
        <v>131365</v>
      </c>
      <c r="Y31" s="34">
        <v>164110</v>
      </c>
      <c r="Z31" s="109">
        <f>+Y31/C54</f>
        <v>1.0130246913580248</v>
      </c>
      <c r="AA31" s="146">
        <f t="shared" si="9"/>
        <v>1.3024691358024754E-2</v>
      </c>
      <c r="AX31"/>
    </row>
    <row r="32" spans="2:50">
      <c r="B32" s="4" t="str">
        <f>+B21</f>
        <v>Boston</v>
      </c>
      <c r="C32" s="4"/>
      <c r="D32" s="4"/>
      <c r="E32" s="23"/>
      <c r="F32" s="122">
        <v>21980</v>
      </c>
      <c r="G32" s="34">
        <v>26975</v>
      </c>
      <c r="H32" s="34">
        <v>37460</v>
      </c>
      <c r="I32" s="34">
        <v>49200</v>
      </c>
      <c r="J32" s="34">
        <v>59865</v>
      </c>
      <c r="K32" s="34">
        <v>69860</v>
      </c>
      <c r="L32" s="34">
        <v>80345</v>
      </c>
      <c r="M32" s="34">
        <v>86340</v>
      </c>
      <c r="N32" s="34">
        <v>95835</v>
      </c>
      <c r="O32" s="34">
        <v>110000</v>
      </c>
      <c r="P32" s="34">
        <v>118045</v>
      </c>
      <c r="Q32" s="34">
        <v>131930</v>
      </c>
      <c r="R32" s="34">
        <v>139425</v>
      </c>
      <c r="S32" s="34">
        <v>158910</v>
      </c>
      <c r="T32" s="34">
        <v>164405</v>
      </c>
      <c r="U32" s="34">
        <v>180395</v>
      </c>
      <c r="V32" s="34">
        <v>180395</v>
      </c>
      <c r="W32" s="34">
        <v>203925</v>
      </c>
      <c r="X32" s="34">
        <v>199380</v>
      </c>
      <c r="Y32" s="34">
        <v>222805</v>
      </c>
      <c r="Z32" s="109">
        <f>+Y32/C55</f>
        <v>0.81020000000000003</v>
      </c>
      <c r="AA32" s="146">
        <f t="shared" si="9"/>
        <v>-0.18979999999999997</v>
      </c>
      <c r="AX32"/>
    </row>
    <row r="33" spans="2:50" s="4" customFormat="1" ht="12.75">
      <c r="B33" s="4" t="str">
        <f>+B22</f>
        <v>Canada</v>
      </c>
      <c r="E33" s="23"/>
      <c r="F33" s="122">
        <v>0</v>
      </c>
      <c r="G33" s="34">
        <v>5990</v>
      </c>
      <c r="H33" s="34">
        <v>5990</v>
      </c>
      <c r="I33" s="34">
        <v>16980</v>
      </c>
      <c r="J33" s="34">
        <v>23470</v>
      </c>
      <c r="K33" s="34">
        <v>27220</v>
      </c>
      <c r="L33" s="34">
        <v>38210</v>
      </c>
      <c r="M33" s="34">
        <v>41205</v>
      </c>
      <c r="N33" s="34">
        <v>49695</v>
      </c>
      <c r="O33" s="34">
        <v>62190</v>
      </c>
      <c r="P33" s="34">
        <v>62190</v>
      </c>
      <c r="Q33" s="34">
        <v>70211</v>
      </c>
      <c r="R33" s="34">
        <v>79206</v>
      </c>
      <c r="S33" s="34">
        <v>87201</v>
      </c>
      <c r="T33" s="34">
        <v>96746</v>
      </c>
      <c r="U33" s="34">
        <v>96746</v>
      </c>
      <c r="V33" s="34">
        <v>103961</v>
      </c>
      <c r="W33" s="34">
        <v>103961</v>
      </c>
      <c r="X33" s="34">
        <v>103461</v>
      </c>
      <c r="Y33" s="34">
        <v>125441</v>
      </c>
      <c r="Z33" s="109">
        <f>Y33/C56</f>
        <v>0.78400625000000002</v>
      </c>
      <c r="AA33" s="146">
        <f t="shared" si="9"/>
        <v>-0.21599374999999998</v>
      </c>
    </row>
    <row r="34" spans="2:50" s="4" customFormat="1" ht="12.75">
      <c r="B34" s="4" t="s">
        <v>99</v>
      </c>
      <c r="E34" s="23"/>
      <c r="F34" s="122">
        <v>0</v>
      </c>
      <c r="G34" s="34">
        <v>0</v>
      </c>
      <c r="H34" s="34">
        <v>0</v>
      </c>
      <c r="I34" s="34">
        <v>0</v>
      </c>
      <c r="J34" s="34">
        <v>1348</v>
      </c>
      <c r="K34" s="34">
        <v>1348</v>
      </c>
      <c r="L34" s="34">
        <v>5538</v>
      </c>
      <c r="M34" s="34">
        <v>8233</v>
      </c>
      <c r="N34" s="34">
        <v>8233</v>
      </c>
      <c r="O34" s="34">
        <v>8233</v>
      </c>
      <c r="P34" s="34">
        <v>8233</v>
      </c>
      <c r="Q34" s="34">
        <v>9733</v>
      </c>
      <c r="R34" s="34">
        <v>10733</v>
      </c>
      <c r="S34" s="34">
        <v>10733</v>
      </c>
      <c r="T34" s="34">
        <v>11733</v>
      </c>
      <c r="U34" s="34">
        <v>18148</v>
      </c>
      <c r="V34" s="34">
        <v>21053</v>
      </c>
      <c r="W34" s="34">
        <v>21053</v>
      </c>
      <c r="X34" s="34">
        <v>24981</v>
      </c>
      <c r="Y34" s="34">
        <v>24981</v>
      </c>
      <c r="Z34" s="109">
        <f>Y34/C57</f>
        <v>0.208175</v>
      </c>
      <c r="AA34" s="146">
        <f t="shared" si="9"/>
        <v>-0.791825</v>
      </c>
    </row>
    <row r="35" spans="2:50">
      <c r="B35" s="5" t="str">
        <f>+B24</f>
        <v>Norwich</v>
      </c>
      <c r="C35" s="19"/>
      <c r="D35" s="19"/>
      <c r="E35" s="35"/>
      <c r="F35" s="124">
        <v>23242</v>
      </c>
      <c r="G35" s="35">
        <v>43578</v>
      </c>
      <c r="H35" s="35">
        <v>60982</v>
      </c>
      <c r="I35" s="35">
        <v>71485</v>
      </c>
      <c r="J35" s="35">
        <v>123619</v>
      </c>
      <c r="K35" s="35">
        <v>137158</v>
      </c>
      <c r="L35" s="35">
        <v>151938</v>
      </c>
      <c r="M35" s="35">
        <v>168475</v>
      </c>
      <c r="N35" s="35">
        <v>182495</v>
      </c>
      <c r="O35" s="35">
        <v>209183</v>
      </c>
      <c r="P35" s="35">
        <v>228681</v>
      </c>
      <c r="Q35" s="35">
        <v>235769</v>
      </c>
      <c r="R35" s="35">
        <v>246734</v>
      </c>
      <c r="S35" s="35">
        <v>262155</v>
      </c>
      <c r="T35" s="35">
        <v>273207</v>
      </c>
      <c r="U35" s="35">
        <v>276095</v>
      </c>
      <c r="V35" s="35">
        <v>288763</v>
      </c>
      <c r="W35" s="35">
        <v>300674</v>
      </c>
      <c r="X35" s="35">
        <v>300674</v>
      </c>
      <c r="Y35" s="35">
        <v>305464</v>
      </c>
      <c r="Z35" s="110">
        <f>+Y35/C58</f>
        <v>1.0182133333333334</v>
      </c>
      <c r="AA35" s="147">
        <f t="shared" si="9"/>
        <v>1.8213333333333415E-2</v>
      </c>
      <c r="AX35"/>
    </row>
    <row r="36" spans="2:50">
      <c r="B36" s="4" t="str">
        <f>+B25</f>
        <v>Group</v>
      </c>
      <c r="C36" s="4"/>
      <c r="D36" s="4"/>
      <c r="E36" s="4"/>
      <c r="F36" s="10">
        <f t="shared" ref="F36:Y36" si="10">SUM(F29:F35)</f>
        <v>72937</v>
      </c>
      <c r="G36" s="10">
        <f t="shared" si="10"/>
        <v>115163</v>
      </c>
      <c r="H36" s="10">
        <f t="shared" si="10"/>
        <v>164475</v>
      </c>
      <c r="I36" s="10">
        <f t="shared" si="10"/>
        <v>220400</v>
      </c>
      <c r="J36" s="10">
        <f t="shared" si="10"/>
        <v>318822</v>
      </c>
      <c r="K36" s="10">
        <f t="shared" si="10"/>
        <v>363246</v>
      </c>
      <c r="L36" s="10">
        <f t="shared" si="10"/>
        <v>418568</v>
      </c>
      <c r="M36" s="10">
        <f t="shared" si="10"/>
        <v>474025</v>
      </c>
      <c r="N36" s="10">
        <f t="shared" si="10"/>
        <v>541171</v>
      </c>
      <c r="O36" s="10">
        <f t="shared" si="10"/>
        <v>611483</v>
      </c>
      <c r="P36" s="10">
        <f t="shared" si="10"/>
        <v>642901</v>
      </c>
      <c r="Q36" s="10">
        <f t="shared" si="10"/>
        <v>701730</v>
      </c>
      <c r="R36" s="10">
        <f t="shared" si="10"/>
        <v>747008</v>
      </c>
      <c r="S36" s="10">
        <f t="shared" si="10"/>
        <v>810199</v>
      </c>
      <c r="T36" s="10">
        <f t="shared" si="10"/>
        <v>877774</v>
      </c>
      <c r="U36" s="10">
        <f t="shared" si="10"/>
        <v>926005</v>
      </c>
      <c r="V36" s="10">
        <f t="shared" si="10"/>
        <v>974753</v>
      </c>
      <c r="W36" s="10">
        <f t="shared" si="10"/>
        <v>1030354</v>
      </c>
      <c r="X36" s="10">
        <f t="shared" si="10"/>
        <v>1051282</v>
      </c>
      <c r="Y36" s="10">
        <f t="shared" si="10"/>
        <v>1168469</v>
      </c>
      <c r="Z36" s="111">
        <f>+Y36/C59</f>
        <v>0.77949899933288858</v>
      </c>
      <c r="AA36" s="148">
        <f t="shared" si="9"/>
        <v>-0.22050100066711142</v>
      </c>
      <c r="AX36"/>
    </row>
    <row r="37" spans="2:50" s="1" customFormat="1" ht="11.25">
      <c r="B37" s="1" t="s">
        <v>34</v>
      </c>
      <c r="E37" s="30"/>
      <c r="F37" s="30">
        <f t="shared" ref="F37:N37" si="11">+F36/$C$59</f>
        <v>4.8657104736490993E-2</v>
      </c>
      <c r="G37" s="30">
        <f t="shared" si="11"/>
        <v>7.682655103402268E-2</v>
      </c>
      <c r="H37" s="30">
        <f t="shared" si="11"/>
        <v>0.10972314876584389</v>
      </c>
      <c r="I37" s="30">
        <f t="shared" si="11"/>
        <v>0.14703135423615743</v>
      </c>
      <c r="J37" s="30">
        <f t="shared" si="11"/>
        <v>0.21268979319546363</v>
      </c>
      <c r="K37" s="30">
        <f t="shared" si="11"/>
        <v>0.24232555036691128</v>
      </c>
      <c r="L37" s="30">
        <f t="shared" si="11"/>
        <v>0.27923148765843897</v>
      </c>
      <c r="M37" s="30">
        <f t="shared" si="11"/>
        <v>0.31622748498999331</v>
      </c>
      <c r="N37" s="30">
        <f t="shared" si="11"/>
        <v>0.36102134756504334</v>
      </c>
      <c r="O37" s="30">
        <f>+O36/$C$59</f>
        <v>0.40792728485657104</v>
      </c>
      <c r="P37" s="30">
        <f t="shared" ref="P37:Y37" si="12">+P36/$C$59</f>
        <v>0.42888659106070715</v>
      </c>
      <c r="Q37" s="30">
        <f t="shared" si="12"/>
        <v>0.46813208805870582</v>
      </c>
      <c r="R37" s="30">
        <f t="shared" si="12"/>
        <v>0.49833755837224819</v>
      </c>
      <c r="S37" s="30">
        <f t="shared" si="12"/>
        <v>0.54049299533022011</v>
      </c>
      <c r="T37" s="30">
        <f t="shared" si="12"/>
        <v>0.58557304869913274</v>
      </c>
      <c r="U37" s="30">
        <f t="shared" si="12"/>
        <v>0.61774849899933293</v>
      </c>
      <c r="V37" s="30">
        <f t="shared" si="12"/>
        <v>0.65026884589726486</v>
      </c>
      <c r="W37" s="30">
        <f t="shared" si="12"/>
        <v>0.68736090727151433</v>
      </c>
      <c r="X37" s="30">
        <f t="shared" si="12"/>
        <v>0.70132221480987322</v>
      </c>
      <c r="Y37" s="30">
        <f t="shared" si="12"/>
        <v>0.77949899933288858</v>
      </c>
    </row>
    <row r="38" spans="2:50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50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X39"/>
    </row>
    <row r="40" spans="2:50">
      <c r="B40" s="4"/>
      <c r="C40" s="4"/>
      <c r="D40" s="4"/>
      <c r="E40" s="4"/>
      <c r="F40" s="4" t="str">
        <f>+F17</f>
        <v>Day 1</v>
      </c>
      <c r="G40" s="4" t="str">
        <f t="shared" ref="G40:Y40" si="13">+G17</f>
        <v>Day 2</v>
      </c>
      <c r="H40" s="4" t="str">
        <f t="shared" si="13"/>
        <v>Day 3</v>
      </c>
      <c r="I40" s="4" t="str">
        <f t="shared" si="13"/>
        <v>Day 4</v>
      </c>
      <c r="J40" s="4" t="str">
        <f t="shared" si="13"/>
        <v>Day 5</v>
      </c>
      <c r="K40" s="4" t="str">
        <f t="shared" si="13"/>
        <v>Day 6</v>
      </c>
      <c r="L40" s="4" t="str">
        <f t="shared" si="13"/>
        <v>Day 7</v>
      </c>
      <c r="M40" s="4" t="str">
        <f t="shared" si="13"/>
        <v>Day 8</v>
      </c>
      <c r="N40" s="4" t="str">
        <f t="shared" si="13"/>
        <v>Day 9</v>
      </c>
      <c r="O40" s="4" t="str">
        <f t="shared" si="13"/>
        <v>Day 10</v>
      </c>
      <c r="P40" s="4" t="str">
        <f t="shared" si="13"/>
        <v>Day 11</v>
      </c>
      <c r="Q40" s="4" t="str">
        <f t="shared" si="13"/>
        <v>Day 12</v>
      </c>
      <c r="R40" s="4" t="str">
        <f t="shared" si="13"/>
        <v>Day 13</v>
      </c>
      <c r="S40" s="4" t="str">
        <f t="shared" si="13"/>
        <v>Day 14</v>
      </c>
      <c r="T40" s="4" t="str">
        <f t="shared" si="13"/>
        <v>Day 15</v>
      </c>
      <c r="U40" s="4" t="str">
        <f t="shared" si="13"/>
        <v>Day 16</v>
      </c>
      <c r="V40" s="4" t="str">
        <f t="shared" si="13"/>
        <v>Day 17</v>
      </c>
      <c r="W40" s="4" t="str">
        <f t="shared" si="13"/>
        <v>Day 18</v>
      </c>
      <c r="X40" s="4" t="str">
        <f t="shared" si="13"/>
        <v>Day 19</v>
      </c>
      <c r="Y40" s="4" t="str">
        <f t="shared" si="13"/>
        <v>Day 20</v>
      </c>
      <c r="Z40" s="181" t="s">
        <v>68</v>
      </c>
      <c r="AA40" s="182"/>
      <c r="AX40"/>
    </row>
    <row r="41" spans="2:50">
      <c r="B41" s="4" t="s">
        <v>0</v>
      </c>
      <c r="C41" s="17"/>
      <c r="D41" s="17"/>
      <c r="E41" s="17"/>
      <c r="F41" s="17">
        <f>(F52/$C$52)</f>
        <v>0.77749999999999997</v>
      </c>
      <c r="G41" s="17">
        <f t="shared" ref="G41:Y41" si="14">(G52/$C$52)</f>
        <v>0.72953124999999996</v>
      </c>
      <c r="H41" s="17">
        <f t="shared" si="14"/>
        <v>0.80985416666666665</v>
      </c>
      <c r="I41" s="17">
        <f t="shared" si="14"/>
        <v>0.81921875</v>
      </c>
      <c r="J41" s="17">
        <f t="shared" si="14"/>
        <v>0.77231249999999996</v>
      </c>
      <c r="K41" s="17">
        <f t="shared" si="14"/>
        <v>0.82213541666666656</v>
      </c>
      <c r="L41" s="17">
        <f t="shared" si="14"/>
        <v>0.79559821428571431</v>
      </c>
      <c r="M41" s="17">
        <f t="shared" si="14"/>
        <v>0.77665625000000005</v>
      </c>
      <c r="N41" s="17">
        <f t="shared" si="14"/>
        <v>0.85252083333333339</v>
      </c>
      <c r="O41" s="17">
        <f t="shared" si="14"/>
        <v>0.87329374999999998</v>
      </c>
      <c r="P41" s="17">
        <f t="shared" si="14"/>
        <v>0.81194318181818192</v>
      </c>
      <c r="Q41" s="17">
        <f t="shared" si="14"/>
        <v>0.84214583333333337</v>
      </c>
      <c r="R41" s="17">
        <f t="shared" si="14"/>
        <v>0.78908653846153842</v>
      </c>
      <c r="S41" s="17">
        <f t="shared" si="14"/>
        <v>0.79654017857142856</v>
      </c>
      <c r="T41" s="17">
        <f t="shared" si="14"/>
        <v>0.83447083333333316</v>
      </c>
      <c r="U41" s="17">
        <f t="shared" si="14"/>
        <v>0.82441796874999995</v>
      </c>
      <c r="V41" s="17">
        <f t="shared" si="14"/>
        <v>0.82068382352941172</v>
      </c>
      <c r="W41" s="17">
        <f t="shared" si="14"/>
        <v>0.83573263888888882</v>
      </c>
      <c r="X41" s="17">
        <f t="shared" si="14"/>
        <v>0.8248552631578947</v>
      </c>
      <c r="Y41" s="17">
        <f t="shared" si="14"/>
        <v>0.89063437499999998</v>
      </c>
      <c r="Z41" s="158" t="s">
        <v>71</v>
      </c>
      <c r="AA41" s="138">
        <v>290000</v>
      </c>
      <c r="AX41"/>
    </row>
    <row r="42" spans="2:50">
      <c r="B42" s="4" t="s">
        <v>64</v>
      </c>
      <c r="C42" s="17"/>
      <c r="D42" s="17"/>
      <c r="E42" s="17"/>
      <c r="F42" s="17">
        <f>(F53/$C$53)</f>
        <v>0</v>
      </c>
      <c r="G42" s="17">
        <f t="shared" ref="G42:Y42" si="15">(G53/$C$53)</f>
        <v>0</v>
      </c>
      <c r="H42" s="17">
        <f t="shared" si="15"/>
        <v>0.13168724279835392</v>
      </c>
      <c r="I42" s="17">
        <f t="shared" si="15"/>
        <v>9.8765432098765427E-2</v>
      </c>
      <c r="J42" s="17">
        <f t="shared" si="15"/>
        <v>0.34913580246913578</v>
      </c>
      <c r="K42" s="17">
        <f t="shared" si="15"/>
        <v>0.29094650205761313</v>
      </c>
      <c r="L42" s="17">
        <f t="shared" si="15"/>
        <v>0.36746031746031749</v>
      </c>
      <c r="M42" s="17">
        <f t="shared" si="15"/>
        <v>0.36782407407407408</v>
      </c>
      <c r="N42" s="17">
        <f t="shared" si="15"/>
        <v>0.32695473251028812</v>
      </c>
      <c r="O42" s="17">
        <f t="shared" si="15"/>
        <v>0.29425925925925928</v>
      </c>
      <c r="P42" s="17">
        <f t="shared" si="15"/>
        <v>0.28714927048260386</v>
      </c>
      <c r="Q42" s="17">
        <f t="shared" si="15"/>
        <v>0.26322016460905351</v>
      </c>
      <c r="R42" s="17">
        <f t="shared" si="15"/>
        <v>0.33499525166191835</v>
      </c>
      <c r="S42" s="17">
        <f t="shared" si="15"/>
        <v>0.31106701940035275</v>
      </c>
      <c r="T42" s="17">
        <f t="shared" si="15"/>
        <v>0.29032921810699586</v>
      </c>
      <c r="U42" s="17">
        <f t="shared" si="15"/>
        <v>0.2929783950617284</v>
      </c>
      <c r="V42" s="17">
        <f t="shared" si="15"/>
        <v>0.2757443718228032</v>
      </c>
      <c r="W42" s="17">
        <f t="shared" si="15"/>
        <v>0.27890946502057612</v>
      </c>
      <c r="X42" s="17">
        <f t="shared" si="15"/>
        <v>0.26423001949317737</v>
      </c>
      <c r="Y42" s="17">
        <f t="shared" si="15"/>
        <v>0.25101851851851853</v>
      </c>
      <c r="Z42" s="158" t="s">
        <v>72</v>
      </c>
      <c r="AA42" s="138">
        <v>75000</v>
      </c>
      <c r="AX42"/>
    </row>
    <row r="43" spans="2:50">
      <c r="B43" s="4" t="str">
        <f>+B31</f>
        <v>Brazil</v>
      </c>
      <c r="C43" s="17"/>
      <c r="D43" s="17"/>
      <c r="E43" s="17"/>
      <c r="F43" s="17">
        <f t="shared" ref="F43:Y43" si="16">(F54/$C$54)</f>
        <v>1.8858024691358024</v>
      </c>
      <c r="G43" s="17">
        <f t="shared" si="16"/>
        <v>0.9429012345679012</v>
      </c>
      <c r="H43" s="17">
        <f t="shared" si="16"/>
        <v>0.73950617283950615</v>
      </c>
      <c r="I43" s="17">
        <f t="shared" si="16"/>
        <v>0.83657407407407403</v>
      </c>
      <c r="J43" s="17">
        <f t="shared" si="16"/>
        <v>0.85419753086419759</v>
      </c>
      <c r="K43" s="17">
        <f t="shared" si="16"/>
        <v>0.71183127572016458</v>
      </c>
      <c r="L43" s="17">
        <f t="shared" si="16"/>
        <v>0.57486772486772486</v>
      </c>
      <c r="M43" s="17">
        <f t="shared" si="16"/>
        <v>0.71797839506172845</v>
      </c>
      <c r="N43" s="17">
        <f t="shared" si="16"/>
        <v>0.79993141289437586</v>
      </c>
      <c r="O43" s="17">
        <f t="shared" si="16"/>
        <v>0.71993827160493828</v>
      </c>
      <c r="P43" s="17">
        <f t="shared" si="16"/>
        <v>0.64270482603815937</v>
      </c>
      <c r="Q43" s="17">
        <f t="shared" si="16"/>
        <v>0.68734567901234567</v>
      </c>
      <c r="R43" s="17">
        <f t="shared" si="16"/>
        <v>0.67905982905982909</v>
      </c>
      <c r="S43" s="17">
        <f t="shared" si="16"/>
        <v>0.68342151675485008</v>
      </c>
      <c r="T43" s="17">
        <f t="shared" si="16"/>
        <v>0.79123456790123459</v>
      </c>
      <c r="U43" s="17">
        <f t="shared" si="16"/>
        <v>0.81481481481481477</v>
      </c>
      <c r="V43" s="17">
        <f t="shared" si="16"/>
        <v>0.86699346405228772</v>
      </c>
      <c r="W43" s="17">
        <f t="shared" si="16"/>
        <v>0.8188271604938272</v>
      </c>
      <c r="X43" s="17">
        <f t="shared" si="16"/>
        <v>0.85357374918778417</v>
      </c>
      <c r="Y43" s="17">
        <f t="shared" si="16"/>
        <v>1.0130246913580248</v>
      </c>
      <c r="Z43" s="158" t="s">
        <v>94</v>
      </c>
      <c r="AA43" s="158">
        <v>115000</v>
      </c>
      <c r="AX43"/>
    </row>
    <row r="44" spans="2:50">
      <c r="B44" s="4" t="str">
        <f>+B32</f>
        <v>Boston</v>
      </c>
      <c r="C44" s="17"/>
      <c r="D44" s="17"/>
      <c r="E44" s="17"/>
      <c r="F44" s="17">
        <f>(F55/$C$55)</f>
        <v>1.5985454545454545</v>
      </c>
      <c r="G44" s="17">
        <f t="shared" ref="G44:Y44" si="17">(G55/$C$55)</f>
        <v>0.98090909090909095</v>
      </c>
      <c r="H44" s="17">
        <f t="shared" si="17"/>
        <v>0.908121212121212</v>
      </c>
      <c r="I44" s="17">
        <f t="shared" si="17"/>
        <v>0.89454545454545453</v>
      </c>
      <c r="J44" s="17">
        <f t="shared" si="17"/>
        <v>0.87076363636363641</v>
      </c>
      <c r="K44" s="17">
        <f t="shared" si="17"/>
        <v>0.84678787878787887</v>
      </c>
      <c r="L44" s="17">
        <f t="shared" si="17"/>
        <v>0.8347532467532468</v>
      </c>
      <c r="M44" s="17">
        <f t="shared" si="17"/>
        <v>0.78490909090909089</v>
      </c>
      <c r="N44" s="17">
        <f t="shared" si="17"/>
        <v>0.77442424242424246</v>
      </c>
      <c r="O44" s="17">
        <f t="shared" si="17"/>
        <v>0.8</v>
      </c>
      <c r="P44" s="17">
        <f t="shared" si="17"/>
        <v>0.78046280991735528</v>
      </c>
      <c r="Q44" s="17">
        <f t="shared" si="17"/>
        <v>0.7995757575757575</v>
      </c>
      <c r="R44" s="17">
        <f t="shared" si="17"/>
        <v>0.78</v>
      </c>
      <c r="S44" s="17">
        <f t="shared" si="17"/>
        <v>0.82550649350649363</v>
      </c>
      <c r="T44" s="17">
        <f t="shared" si="17"/>
        <v>0.79711515151515155</v>
      </c>
      <c r="U44" s="17">
        <f t="shared" si="17"/>
        <v>0.81997727272727272</v>
      </c>
      <c r="V44" s="17">
        <f t="shared" si="17"/>
        <v>0.77174331550802133</v>
      </c>
      <c r="W44" s="17">
        <f t="shared" si="17"/>
        <v>0.82393939393939386</v>
      </c>
      <c r="X44" s="17">
        <f t="shared" si="17"/>
        <v>0.76317703349282284</v>
      </c>
      <c r="Y44" s="17">
        <f t="shared" si="17"/>
        <v>0.81020000000000003</v>
      </c>
      <c r="Z44" s="160" t="s">
        <v>73</v>
      </c>
      <c r="AA44" s="138">
        <v>240000</v>
      </c>
      <c r="AX44"/>
    </row>
    <row r="45" spans="2:50">
      <c r="B45" s="4" t="s">
        <v>2</v>
      </c>
      <c r="C45" s="17"/>
      <c r="D45" s="17"/>
      <c r="E45" s="17"/>
      <c r="F45" s="17">
        <f t="shared" ref="F45:Y46" si="18">(F56/$C$56)</f>
        <v>0</v>
      </c>
      <c r="G45" s="17">
        <f t="shared" si="18"/>
        <v>0.37437500000000001</v>
      </c>
      <c r="H45" s="17">
        <f t="shared" si="18"/>
        <v>0.24958333333333335</v>
      </c>
      <c r="I45" s="17">
        <f t="shared" si="18"/>
        <v>0.53062500000000001</v>
      </c>
      <c r="J45" s="17">
        <f t="shared" si="18"/>
        <v>0.58674999999999999</v>
      </c>
      <c r="K45" s="17">
        <f t="shared" si="18"/>
        <v>0.56708333333333338</v>
      </c>
      <c r="L45" s="17">
        <f t="shared" si="18"/>
        <v>0.68232142857142852</v>
      </c>
      <c r="M45" s="17">
        <f t="shared" si="18"/>
        <v>0.64382812499999997</v>
      </c>
      <c r="N45" s="17">
        <f t="shared" si="18"/>
        <v>0.69020833333333342</v>
      </c>
      <c r="O45" s="17">
        <f t="shared" si="18"/>
        <v>0.77737500000000004</v>
      </c>
      <c r="P45" s="17">
        <f t="shared" si="18"/>
        <v>0.70670454545454553</v>
      </c>
      <c r="Q45" s="17">
        <f t="shared" si="18"/>
        <v>0.73136458333333343</v>
      </c>
      <c r="R45" s="17">
        <f t="shared" si="18"/>
        <v>0.76159615384615376</v>
      </c>
      <c r="S45" s="17">
        <f t="shared" si="18"/>
        <v>0.77858035714285712</v>
      </c>
      <c r="T45" s="17">
        <f t="shared" si="18"/>
        <v>0.80621666666666669</v>
      </c>
      <c r="U45" s="17">
        <f t="shared" si="18"/>
        <v>0.75582812499999996</v>
      </c>
      <c r="V45" s="17">
        <f t="shared" si="18"/>
        <v>0.76441911764705872</v>
      </c>
      <c r="W45" s="17">
        <f t="shared" si="18"/>
        <v>0.72195138888888888</v>
      </c>
      <c r="X45" s="17">
        <f t="shared" si="18"/>
        <v>0.68066447368421046</v>
      </c>
      <c r="Y45" s="17">
        <f t="shared" si="18"/>
        <v>0.78400625000000002</v>
      </c>
      <c r="Z45" s="160" t="s">
        <v>74</v>
      </c>
      <c r="AA45" s="138">
        <v>115000</v>
      </c>
      <c r="AX45"/>
    </row>
    <row r="46" spans="2:50">
      <c r="B46" s="4" t="s">
        <v>99</v>
      </c>
      <c r="C46" s="17"/>
      <c r="D46" s="17"/>
      <c r="E46" s="17"/>
      <c r="F46" s="17">
        <f t="shared" si="18"/>
        <v>0</v>
      </c>
      <c r="G46" s="17">
        <f t="shared" si="18"/>
        <v>0</v>
      </c>
      <c r="H46" s="17">
        <f t="shared" si="18"/>
        <v>0</v>
      </c>
      <c r="I46" s="17">
        <f t="shared" si="18"/>
        <v>0</v>
      </c>
      <c r="J46" s="17">
        <f t="shared" si="18"/>
        <v>3.3700000000000001E-2</v>
      </c>
      <c r="K46" s="17">
        <f t="shared" si="18"/>
        <v>2.8083333333333332E-2</v>
      </c>
      <c r="L46" s="17">
        <f t="shared" si="18"/>
        <v>9.889285714285713E-2</v>
      </c>
      <c r="M46" s="17">
        <f t="shared" si="18"/>
        <v>0.12864062500000001</v>
      </c>
      <c r="N46" s="17">
        <f t="shared" si="18"/>
        <v>0.11434722222222221</v>
      </c>
      <c r="O46" s="17">
        <f t="shared" si="18"/>
        <v>0.1029125</v>
      </c>
      <c r="P46" s="17">
        <f t="shared" si="18"/>
        <v>9.3556818181818185E-2</v>
      </c>
      <c r="Q46" s="17">
        <f t="shared" si="18"/>
        <v>0.10138541666666667</v>
      </c>
      <c r="R46" s="17">
        <f t="shared" si="18"/>
        <v>0.10320192307692307</v>
      </c>
      <c r="S46" s="17">
        <f t="shared" si="18"/>
        <v>9.5830357142857134E-2</v>
      </c>
      <c r="T46" s="17">
        <f t="shared" si="18"/>
        <v>9.7775000000000001E-2</v>
      </c>
      <c r="U46" s="17">
        <f t="shared" si="18"/>
        <v>0.14178125</v>
      </c>
      <c r="V46" s="17">
        <f t="shared" si="18"/>
        <v>0.15480147058823532</v>
      </c>
      <c r="W46" s="17">
        <f t="shared" si="18"/>
        <v>0.14620138888888889</v>
      </c>
      <c r="X46" s="17">
        <f t="shared" si="18"/>
        <v>0.16434868421052634</v>
      </c>
      <c r="Y46" s="17">
        <f t="shared" si="18"/>
        <v>0.15613125</v>
      </c>
      <c r="Z46" s="160" t="s">
        <v>99</v>
      </c>
      <c r="AA46" s="138">
        <v>25000</v>
      </c>
      <c r="AX46"/>
    </row>
    <row r="47" spans="2:50">
      <c r="B47" s="4" t="s">
        <v>3</v>
      </c>
      <c r="C47" s="18"/>
      <c r="D47" s="18"/>
      <c r="E47" s="18"/>
      <c r="F47" s="18">
        <f t="shared" ref="F47:Y47" si="19">(F58/$C$58)</f>
        <v>1.5494666666666668</v>
      </c>
      <c r="G47" s="18">
        <f t="shared" si="19"/>
        <v>1.4525999999999999</v>
      </c>
      <c r="H47" s="18">
        <f t="shared" si="19"/>
        <v>1.3551555555555554</v>
      </c>
      <c r="I47" s="18">
        <f t="shared" si="19"/>
        <v>1.1914166666666666</v>
      </c>
      <c r="J47" s="18">
        <f t="shared" si="19"/>
        <v>1.6482533333333333</v>
      </c>
      <c r="K47" s="18">
        <f t="shared" si="19"/>
        <v>1.5239777777777779</v>
      </c>
      <c r="L47" s="18">
        <f t="shared" si="19"/>
        <v>1.4470285714285716</v>
      </c>
      <c r="M47" s="18">
        <f t="shared" si="19"/>
        <v>1.4039583333333334</v>
      </c>
      <c r="N47" s="18">
        <f t="shared" si="19"/>
        <v>1.3518148148148148</v>
      </c>
      <c r="O47" s="18">
        <f t="shared" si="19"/>
        <v>1.3945533333333333</v>
      </c>
      <c r="P47" s="18">
        <f t="shared" si="19"/>
        <v>1.3859454545454548</v>
      </c>
      <c r="Q47" s="18">
        <f t="shared" si="19"/>
        <v>1.3098277777777778</v>
      </c>
      <c r="R47" s="18">
        <f t="shared" si="19"/>
        <v>1.2653025641025641</v>
      </c>
      <c r="S47" s="18">
        <f t="shared" si="19"/>
        <v>1.2483571428571427</v>
      </c>
      <c r="T47" s="18">
        <f t="shared" si="19"/>
        <v>1.2142533333333334</v>
      </c>
      <c r="U47" s="18">
        <f t="shared" si="19"/>
        <v>1.1503958333333333</v>
      </c>
      <c r="V47" s="18">
        <f t="shared" si="19"/>
        <v>1.1324039215686275</v>
      </c>
      <c r="W47" s="18">
        <f t="shared" si="19"/>
        <v>1.1136074074074074</v>
      </c>
      <c r="X47" s="18">
        <f t="shared" si="19"/>
        <v>1.0549964912280703</v>
      </c>
      <c r="Y47" s="18">
        <f t="shared" si="19"/>
        <v>1.0182133333333334</v>
      </c>
      <c r="Z47" s="159" t="s">
        <v>76</v>
      </c>
      <c r="AA47" s="138">
        <v>300000</v>
      </c>
      <c r="AX47"/>
    </row>
    <row r="48" spans="2:50">
      <c r="B48" s="14" t="s">
        <v>27</v>
      </c>
      <c r="C48" s="17"/>
      <c r="D48" s="17"/>
      <c r="E48" s="17"/>
      <c r="F48" s="17">
        <f t="shared" ref="F48:Y48" si="20">(F59/$C$59)</f>
        <v>0.97314209472981983</v>
      </c>
      <c r="G48" s="17">
        <f t="shared" si="20"/>
        <v>0.76826551034022683</v>
      </c>
      <c r="H48" s="17">
        <f t="shared" si="20"/>
        <v>0.73148765843895935</v>
      </c>
      <c r="I48" s="17">
        <f t="shared" si="20"/>
        <v>0.73515677118078715</v>
      </c>
      <c r="J48" s="17">
        <f t="shared" si="20"/>
        <v>0.85075917278185453</v>
      </c>
      <c r="K48" s="17">
        <f t="shared" si="20"/>
        <v>0.8077518345563709</v>
      </c>
      <c r="L48" s="17">
        <f t="shared" si="20"/>
        <v>0.79780425045268266</v>
      </c>
      <c r="M48" s="17">
        <f t="shared" si="20"/>
        <v>0.79056871247498328</v>
      </c>
      <c r="N48" s="17">
        <f t="shared" si="20"/>
        <v>0.80226966125565191</v>
      </c>
      <c r="O48" s="17">
        <f t="shared" si="20"/>
        <v>0.81585456971314207</v>
      </c>
      <c r="P48" s="17">
        <f t="shared" si="20"/>
        <v>0.77979380192855852</v>
      </c>
      <c r="Q48" s="17">
        <f t="shared" si="20"/>
        <v>0.78022014676450968</v>
      </c>
      <c r="R48" s="17">
        <f t="shared" si="20"/>
        <v>0.76667316672653574</v>
      </c>
      <c r="S48" s="17">
        <f t="shared" si="20"/>
        <v>0.77213285047174296</v>
      </c>
      <c r="T48" s="17">
        <f t="shared" si="20"/>
        <v>0.78076406493217698</v>
      </c>
      <c r="U48" s="17">
        <f t="shared" si="20"/>
        <v>0.77218562374916611</v>
      </c>
      <c r="V48" s="17">
        <f t="shared" si="20"/>
        <v>0.76502217164384101</v>
      </c>
      <c r="W48" s="17">
        <f t="shared" si="20"/>
        <v>0.76373434141279373</v>
      </c>
      <c r="X48" s="17">
        <f t="shared" si="20"/>
        <v>0.73823391032618235</v>
      </c>
      <c r="Y48" s="17">
        <f t="shared" si="20"/>
        <v>0.77949899933288858</v>
      </c>
      <c r="AA48" s="139">
        <f>SUM(AA41:AA47)</f>
        <v>1160000</v>
      </c>
      <c r="AX48"/>
    </row>
    <row r="49" spans="2:5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X49"/>
    </row>
    <row r="50" spans="2:50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4"/>
      <c r="C51" s="4"/>
      <c r="D51" s="4"/>
      <c r="E51" s="4"/>
      <c r="F51" s="4" t="str">
        <f>+F40</f>
        <v>Day 1</v>
      </c>
      <c r="G51" s="4" t="str">
        <f t="shared" ref="G51:Y51" si="21">+G40</f>
        <v>Day 2</v>
      </c>
      <c r="H51" s="4" t="str">
        <f t="shared" si="21"/>
        <v>Day 3</v>
      </c>
      <c r="I51" s="4" t="str">
        <f t="shared" si="21"/>
        <v>Day 4</v>
      </c>
      <c r="J51" s="4" t="str">
        <f t="shared" si="21"/>
        <v>Day 5</v>
      </c>
      <c r="K51" s="4" t="str">
        <f t="shared" si="21"/>
        <v>Day 6</v>
      </c>
      <c r="L51" s="4" t="str">
        <f t="shared" si="21"/>
        <v>Day 7</v>
      </c>
      <c r="M51" s="4" t="str">
        <f t="shared" si="21"/>
        <v>Day 8</v>
      </c>
      <c r="N51" s="4" t="str">
        <f t="shared" si="21"/>
        <v>Day 9</v>
      </c>
      <c r="O51" s="4" t="str">
        <f t="shared" si="21"/>
        <v>Day 10</v>
      </c>
      <c r="P51" s="4" t="str">
        <f t="shared" si="21"/>
        <v>Day 11</v>
      </c>
      <c r="Q51" s="4" t="str">
        <f t="shared" si="21"/>
        <v>Day 12</v>
      </c>
      <c r="R51" s="4" t="str">
        <f t="shared" si="21"/>
        <v>Day 13</v>
      </c>
      <c r="S51" s="4" t="str">
        <f t="shared" si="21"/>
        <v>Day 14</v>
      </c>
      <c r="T51" s="4" t="str">
        <f t="shared" si="21"/>
        <v>Day 15</v>
      </c>
      <c r="U51" s="4" t="str">
        <f t="shared" si="21"/>
        <v>Day 16</v>
      </c>
      <c r="V51" s="4" t="str">
        <f t="shared" si="21"/>
        <v>Day 17</v>
      </c>
      <c r="W51" s="4" t="str">
        <f t="shared" si="21"/>
        <v>Day 18</v>
      </c>
      <c r="X51" s="4" t="str">
        <f t="shared" si="21"/>
        <v>Day 19</v>
      </c>
      <c r="Y51" s="4" t="str">
        <f t="shared" si="21"/>
        <v>Day 20</v>
      </c>
      <c r="AX51"/>
    </row>
    <row r="52" spans="2:50">
      <c r="B52" s="4" t="s">
        <v>0</v>
      </c>
      <c r="C52" s="149">
        <v>320000</v>
      </c>
      <c r="D52" s="4"/>
      <c r="E52" s="4"/>
      <c r="F52" s="55">
        <f t="shared" ref="F52:Y58" si="22">(F29)/F$1*$Y$1</f>
        <v>248800</v>
      </c>
      <c r="G52" s="55">
        <f t="shared" si="22"/>
        <v>233450</v>
      </c>
      <c r="H52" s="55">
        <f t="shared" si="22"/>
        <v>259153.33333333331</v>
      </c>
      <c r="I52" s="55">
        <f t="shared" si="22"/>
        <v>262150</v>
      </c>
      <c r="J52" s="55">
        <f t="shared" si="22"/>
        <v>247140</v>
      </c>
      <c r="K52" s="55">
        <f t="shared" si="22"/>
        <v>263083.33333333331</v>
      </c>
      <c r="L52" s="55">
        <f t="shared" si="22"/>
        <v>254591.42857142858</v>
      </c>
      <c r="M52" s="55">
        <f t="shared" si="22"/>
        <v>248530</v>
      </c>
      <c r="N52" s="55">
        <f t="shared" si="22"/>
        <v>272806.66666666669</v>
      </c>
      <c r="O52" s="55">
        <f t="shared" si="22"/>
        <v>279454</v>
      </c>
      <c r="P52" s="55">
        <f t="shared" si="22"/>
        <v>259821.81818181821</v>
      </c>
      <c r="Q52" s="55">
        <f t="shared" si="22"/>
        <v>269486.66666666669</v>
      </c>
      <c r="R52" s="55">
        <f t="shared" si="22"/>
        <v>252507.69230769231</v>
      </c>
      <c r="S52" s="55">
        <f t="shared" si="22"/>
        <v>254892.85714285713</v>
      </c>
      <c r="T52" s="55">
        <f t="shared" si="22"/>
        <v>267030.66666666663</v>
      </c>
      <c r="U52" s="55">
        <f t="shared" si="22"/>
        <v>263813.75</v>
      </c>
      <c r="V52" s="55">
        <f t="shared" si="22"/>
        <v>262618.82352941175</v>
      </c>
      <c r="W52" s="55">
        <f t="shared" si="22"/>
        <v>267434.44444444444</v>
      </c>
      <c r="X52" s="55">
        <f t="shared" si="22"/>
        <v>263953.68421052629</v>
      </c>
      <c r="Y52" s="55">
        <f t="shared" si="22"/>
        <v>285003</v>
      </c>
      <c r="AX52"/>
    </row>
    <row r="53" spans="2:50">
      <c r="B53" s="4" t="s">
        <v>64</v>
      </c>
      <c r="C53" s="149">
        <v>162000</v>
      </c>
      <c r="D53" s="4"/>
      <c r="E53" s="4"/>
      <c r="F53" s="55">
        <f t="shared" si="22"/>
        <v>0</v>
      </c>
      <c r="G53" s="55">
        <f t="shared" si="22"/>
        <v>0</v>
      </c>
      <c r="H53" s="55">
        <f t="shared" si="22"/>
        <v>21333.333333333336</v>
      </c>
      <c r="I53" s="55">
        <f t="shared" si="22"/>
        <v>16000</v>
      </c>
      <c r="J53" s="55">
        <f t="shared" si="22"/>
        <v>56560</v>
      </c>
      <c r="K53" s="55">
        <f t="shared" si="22"/>
        <v>47133.333333333328</v>
      </c>
      <c r="L53" s="55">
        <f t="shared" si="22"/>
        <v>59528.571428571435</v>
      </c>
      <c r="M53" s="55">
        <f t="shared" si="22"/>
        <v>59587.5</v>
      </c>
      <c r="N53" s="55">
        <f t="shared" si="22"/>
        <v>52966.666666666672</v>
      </c>
      <c r="O53" s="55">
        <f t="shared" si="22"/>
        <v>47670</v>
      </c>
      <c r="P53" s="55">
        <f t="shared" si="22"/>
        <v>46518.181818181823</v>
      </c>
      <c r="Q53" s="55">
        <f t="shared" si="22"/>
        <v>42641.666666666672</v>
      </c>
      <c r="R53" s="55">
        <f t="shared" si="22"/>
        <v>54269.230769230773</v>
      </c>
      <c r="S53" s="55">
        <f t="shared" si="22"/>
        <v>50392.857142857145</v>
      </c>
      <c r="T53" s="55">
        <f t="shared" si="22"/>
        <v>47033.333333333328</v>
      </c>
      <c r="U53" s="55">
        <f t="shared" si="22"/>
        <v>47462.5</v>
      </c>
      <c r="V53" s="55">
        <f t="shared" si="22"/>
        <v>44670.588235294119</v>
      </c>
      <c r="W53" s="55">
        <f t="shared" si="22"/>
        <v>45183.333333333328</v>
      </c>
      <c r="X53" s="55">
        <f t="shared" si="22"/>
        <v>42805.263157894733</v>
      </c>
      <c r="Y53" s="55">
        <f t="shared" si="22"/>
        <v>40665</v>
      </c>
      <c r="AX53"/>
    </row>
    <row r="54" spans="2:50">
      <c r="B54" s="4" t="str">
        <f>+B43</f>
        <v>Brazil</v>
      </c>
      <c r="C54" s="149">
        <v>162000</v>
      </c>
      <c r="D54" s="4"/>
      <c r="E54" s="4"/>
      <c r="F54" s="55">
        <f t="shared" si="22"/>
        <v>305500</v>
      </c>
      <c r="G54" s="55">
        <f t="shared" si="22"/>
        <v>152750</v>
      </c>
      <c r="H54" s="55">
        <f t="shared" si="22"/>
        <v>119800</v>
      </c>
      <c r="I54" s="55">
        <f t="shared" si="22"/>
        <v>135525</v>
      </c>
      <c r="J54" s="55">
        <f t="shared" si="22"/>
        <v>138380</v>
      </c>
      <c r="K54" s="55">
        <f t="shared" si="22"/>
        <v>115316.66666666666</v>
      </c>
      <c r="L54" s="55">
        <f t="shared" si="22"/>
        <v>93128.571428571435</v>
      </c>
      <c r="M54" s="55">
        <f t="shared" si="22"/>
        <v>116312.5</v>
      </c>
      <c r="N54" s="55">
        <f t="shared" si="22"/>
        <v>129588.88888888889</v>
      </c>
      <c r="O54" s="55">
        <f t="shared" si="22"/>
        <v>116630</v>
      </c>
      <c r="P54" s="55">
        <f t="shared" si="22"/>
        <v>104118.18181818182</v>
      </c>
      <c r="Q54" s="55">
        <f t="shared" si="22"/>
        <v>111350</v>
      </c>
      <c r="R54" s="55">
        <f t="shared" si="22"/>
        <v>110007.69230769231</v>
      </c>
      <c r="S54" s="55">
        <f t="shared" si="22"/>
        <v>110714.28571428571</v>
      </c>
      <c r="T54" s="55">
        <f t="shared" si="22"/>
        <v>128180</v>
      </c>
      <c r="U54" s="55">
        <f t="shared" si="22"/>
        <v>132000</v>
      </c>
      <c r="V54" s="55">
        <f t="shared" si="22"/>
        <v>140452.9411764706</v>
      </c>
      <c r="W54" s="55">
        <f t="shared" si="22"/>
        <v>132650</v>
      </c>
      <c r="X54" s="55">
        <f t="shared" si="22"/>
        <v>138278.94736842104</v>
      </c>
      <c r="Y54" s="55">
        <f t="shared" si="22"/>
        <v>164110</v>
      </c>
      <c r="AX54"/>
    </row>
    <row r="55" spans="2:50">
      <c r="B55" s="4" t="str">
        <f>+B44</f>
        <v>Boston</v>
      </c>
      <c r="C55" s="149">
        <v>275000</v>
      </c>
      <c r="D55" s="4"/>
      <c r="E55" s="4"/>
      <c r="F55" s="55">
        <f>(F32)/F$1*$Y$1</f>
        <v>439600</v>
      </c>
      <c r="G55" s="55">
        <f>(G32)/G$1*$Y$1</f>
        <v>269750</v>
      </c>
      <c r="H55" s="55">
        <f t="shared" si="22"/>
        <v>249733.33333333331</v>
      </c>
      <c r="I55" s="55">
        <f t="shared" si="22"/>
        <v>246000</v>
      </c>
      <c r="J55" s="55">
        <f t="shared" si="22"/>
        <v>239460</v>
      </c>
      <c r="K55" s="55">
        <f t="shared" si="22"/>
        <v>232866.66666666669</v>
      </c>
      <c r="L55" s="55">
        <f t="shared" si="22"/>
        <v>229557.14285714287</v>
      </c>
      <c r="M55" s="55">
        <f t="shared" si="22"/>
        <v>215850</v>
      </c>
      <c r="N55" s="55">
        <f t="shared" si="22"/>
        <v>212966.66666666669</v>
      </c>
      <c r="O55" s="55">
        <f t="shared" si="22"/>
        <v>220000</v>
      </c>
      <c r="P55" s="55">
        <f t="shared" si="22"/>
        <v>214627.27272727271</v>
      </c>
      <c r="Q55" s="55">
        <f t="shared" si="22"/>
        <v>219883.33333333331</v>
      </c>
      <c r="R55" s="55">
        <f t="shared" si="22"/>
        <v>214500</v>
      </c>
      <c r="S55" s="55">
        <f t="shared" si="22"/>
        <v>227014.28571428574</v>
      </c>
      <c r="T55" s="55">
        <f t="shared" si="22"/>
        <v>219206.66666666669</v>
      </c>
      <c r="U55" s="55">
        <f t="shared" si="22"/>
        <v>225493.75</v>
      </c>
      <c r="V55" s="55">
        <f t="shared" si="22"/>
        <v>212229.41176470587</v>
      </c>
      <c r="W55" s="55">
        <f t="shared" si="22"/>
        <v>226583.33333333331</v>
      </c>
      <c r="X55" s="55">
        <f t="shared" si="22"/>
        <v>209873.68421052629</v>
      </c>
      <c r="Y55" s="55">
        <f t="shared" si="22"/>
        <v>222805</v>
      </c>
      <c r="AX55"/>
    </row>
    <row r="56" spans="2:50">
      <c r="B56" s="4" t="s">
        <v>2</v>
      </c>
      <c r="C56" s="149">
        <v>160000</v>
      </c>
      <c r="D56" s="4"/>
      <c r="E56" s="4"/>
      <c r="F56" s="55">
        <f t="shared" ref="F56:U58" si="23">(F33)/F$1*$Y$1</f>
        <v>0</v>
      </c>
      <c r="G56" s="55">
        <f t="shared" si="23"/>
        <v>59900</v>
      </c>
      <c r="H56" s="55">
        <f t="shared" si="23"/>
        <v>39933.333333333336</v>
      </c>
      <c r="I56" s="55">
        <f t="shared" si="23"/>
        <v>84900</v>
      </c>
      <c r="J56" s="55">
        <f t="shared" si="23"/>
        <v>93880</v>
      </c>
      <c r="K56" s="55">
        <f t="shared" si="23"/>
        <v>90733.333333333343</v>
      </c>
      <c r="L56" s="55">
        <f t="shared" si="23"/>
        <v>109171.42857142857</v>
      </c>
      <c r="M56" s="55">
        <f t="shared" si="23"/>
        <v>103012.5</v>
      </c>
      <c r="N56" s="55">
        <f t="shared" si="23"/>
        <v>110433.33333333334</v>
      </c>
      <c r="O56" s="55">
        <f t="shared" si="23"/>
        <v>124380</v>
      </c>
      <c r="P56" s="55">
        <f t="shared" si="23"/>
        <v>113072.72727272728</v>
      </c>
      <c r="Q56" s="55">
        <f t="shared" si="23"/>
        <v>117018.33333333334</v>
      </c>
      <c r="R56" s="55">
        <f t="shared" si="23"/>
        <v>121855.38461538461</v>
      </c>
      <c r="S56" s="55">
        <f t="shared" si="23"/>
        <v>124572.85714285713</v>
      </c>
      <c r="T56" s="55">
        <f t="shared" si="23"/>
        <v>128994.66666666667</v>
      </c>
      <c r="U56" s="55">
        <f t="shared" si="23"/>
        <v>120932.5</v>
      </c>
      <c r="V56" s="55">
        <f t="shared" si="22"/>
        <v>122307.0588235294</v>
      </c>
      <c r="W56" s="55">
        <f t="shared" si="22"/>
        <v>115512.22222222222</v>
      </c>
      <c r="X56" s="55">
        <f t="shared" si="22"/>
        <v>108906.31578947368</v>
      </c>
      <c r="Y56" s="55">
        <f t="shared" si="22"/>
        <v>125441</v>
      </c>
      <c r="AA56" s="48"/>
    </row>
    <row r="57" spans="2:50">
      <c r="B57" s="4" t="s">
        <v>99</v>
      </c>
      <c r="C57" s="149">
        <v>120000</v>
      </c>
      <c r="D57" s="4"/>
      <c r="E57" s="4"/>
      <c r="F57" s="55">
        <f t="shared" si="23"/>
        <v>0</v>
      </c>
      <c r="G57" s="55">
        <f t="shared" si="23"/>
        <v>0</v>
      </c>
      <c r="H57" s="55">
        <f t="shared" si="23"/>
        <v>0</v>
      </c>
      <c r="I57" s="55">
        <f t="shared" si="23"/>
        <v>0</v>
      </c>
      <c r="J57" s="55">
        <f t="shared" si="23"/>
        <v>5392</v>
      </c>
      <c r="K57" s="55">
        <f t="shared" si="23"/>
        <v>4493.333333333333</v>
      </c>
      <c r="L57" s="55">
        <f t="shared" si="23"/>
        <v>15822.857142857141</v>
      </c>
      <c r="M57" s="55">
        <f t="shared" si="23"/>
        <v>20582.5</v>
      </c>
      <c r="N57" s="55">
        <f t="shared" si="23"/>
        <v>18295.555555555555</v>
      </c>
      <c r="O57" s="55">
        <f t="shared" si="23"/>
        <v>16466</v>
      </c>
      <c r="P57" s="55">
        <f t="shared" si="23"/>
        <v>14969.09090909091</v>
      </c>
      <c r="Q57" s="55">
        <f t="shared" si="23"/>
        <v>16221.666666666668</v>
      </c>
      <c r="R57" s="55">
        <f t="shared" si="23"/>
        <v>16512.307692307691</v>
      </c>
      <c r="S57" s="55">
        <f t="shared" si="23"/>
        <v>15332.857142857141</v>
      </c>
      <c r="T57" s="55">
        <f t="shared" si="23"/>
        <v>15644</v>
      </c>
      <c r="U57" s="55">
        <f t="shared" si="23"/>
        <v>22685</v>
      </c>
      <c r="V57" s="55">
        <f t="shared" si="22"/>
        <v>24768.23529411765</v>
      </c>
      <c r="W57" s="55">
        <f t="shared" si="22"/>
        <v>23392.222222222223</v>
      </c>
      <c r="X57" s="55">
        <f t="shared" si="22"/>
        <v>26295.789473684214</v>
      </c>
      <c r="Y57" s="55">
        <f t="shared" si="22"/>
        <v>24981</v>
      </c>
      <c r="AA57" s="48"/>
    </row>
    <row r="58" spans="2:50">
      <c r="B58" s="4" t="s">
        <v>3</v>
      </c>
      <c r="C58" s="150">
        <v>300000</v>
      </c>
      <c r="D58" s="19"/>
      <c r="E58" s="19"/>
      <c r="F58" s="98">
        <f t="shared" si="23"/>
        <v>464840</v>
      </c>
      <c r="G58" s="98">
        <f t="shared" si="23"/>
        <v>435780</v>
      </c>
      <c r="H58" s="98">
        <f t="shared" si="23"/>
        <v>406546.66666666663</v>
      </c>
      <c r="I58" s="98">
        <f t="shared" si="23"/>
        <v>357425</v>
      </c>
      <c r="J58" s="98">
        <f t="shared" si="23"/>
        <v>494476</v>
      </c>
      <c r="K58" s="98">
        <f t="shared" si="23"/>
        <v>457193.33333333337</v>
      </c>
      <c r="L58" s="98">
        <f t="shared" si="23"/>
        <v>434108.57142857148</v>
      </c>
      <c r="M58" s="98">
        <f t="shared" si="23"/>
        <v>421187.5</v>
      </c>
      <c r="N58" s="98">
        <f t="shared" si="23"/>
        <v>405544.44444444444</v>
      </c>
      <c r="O58" s="98">
        <f t="shared" si="23"/>
        <v>418366</v>
      </c>
      <c r="P58" s="98">
        <f t="shared" si="23"/>
        <v>415783.63636363641</v>
      </c>
      <c r="Q58" s="98">
        <f t="shared" si="23"/>
        <v>392948.33333333337</v>
      </c>
      <c r="R58" s="98">
        <f t="shared" si="23"/>
        <v>379590.76923076925</v>
      </c>
      <c r="S58" s="98">
        <f t="shared" si="23"/>
        <v>374507.14285714284</v>
      </c>
      <c r="T58" s="98">
        <f t="shared" si="23"/>
        <v>364276</v>
      </c>
      <c r="U58" s="98">
        <f t="shared" si="23"/>
        <v>345118.75</v>
      </c>
      <c r="V58" s="98">
        <f t="shared" si="22"/>
        <v>339721.17647058825</v>
      </c>
      <c r="W58" s="98">
        <f t="shared" si="22"/>
        <v>334082.22222222219</v>
      </c>
      <c r="X58" s="98">
        <f t="shared" si="22"/>
        <v>316498.94736842107</v>
      </c>
      <c r="Y58" s="98">
        <f t="shared" si="22"/>
        <v>305464</v>
      </c>
    </row>
    <row r="59" spans="2:50">
      <c r="B59" s="153" t="s">
        <v>27</v>
      </c>
      <c r="C59" s="151">
        <f>SUM(C52:C58)</f>
        <v>1499000</v>
      </c>
      <c r="D59" s="10">
        <f>SUM(D52:D58)</f>
        <v>0</v>
      </c>
      <c r="E59" s="10"/>
      <c r="F59" s="10">
        <f t="shared" ref="F59:Y59" si="24">SUM(F52:F58)</f>
        <v>1458740</v>
      </c>
      <c r="G59" s="10">
        <f t="shared" si="24"/>
        <v>1151630</v>
      </c>
      <c r="H59" s="10">
        <f t="shared" si="24"/>
        <v>1096500</v>
      </c>
      <c r="I59" s="10">
        <f t="shared" si="24"/>
        <v>1102000</v>
      </c>
      <c r="J59" s="10">
        <f t="shared" si="24"/>
        <v>1275288</v>
      </c>
      <c r="K59" s="10">
        <f t="shared" si="24"/>
        <v>1210820</v>
      </c>
      <c r="L59" s="10">
        <f t="shared" si="24"/>
        <v>1195908.5714285714</v>
      </c>
      <c r="M59" s="10">
        <f t="shared" si="24"/>
        <v>1185062.5</v>
      </c>
      <c r="N59" s="10">
        <f t="shared" si="24"/>
        <v>1202602.2222222222</v>
      </c>
      <c r="O59" s="10">
        <f t="shared" si="24"/>
        <v>1222966</v>
      </c>
      <c r="P59" s="10">
        <f t="shared" si="24"/>
        <v>1168910.9090909092</v>
      </c>
      <c r="Q59" s="10">
        <f t="shared" si="24"/>
        <v>1169550</v>
      </c>
      <c r="R59" s="10">
        <f t="shared" si="24"/>
        <v>1149243.076923077</v>
      </c>
      <c r="S59" s="10">
        <f t="shared" si="24"/>
        <v>1157427.1428571427</v>
      </c>
      <c r="T59" s="10">
        <f t="shared" si="24"/>
        <v>1170365.3333333333</v>
      </c>
      <c r="U59" s="10">
        <f t="shared" si="24"/>
        <v>1157506.25</v>
      </c>
      <c r="V59" s="10">
        <f t="shared" si="24"/>
        <v>1146768.2352941176</v>
      </c>
      <c r="W59" s="10">
        <f t="shared" si="24"/>
        <v>1144837.7777777778</v>
      </c>
      <c r="X59" s="10">
        <f t="shared" si="24"/>
        <v>1106612.6315789474</v>
      </c>
      <c r="Y59" s="10">
        <f t="shared" si="24"/>
        <v>1168469</v>
      </c>
    </row>
    <row r="60" spans="2:50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0">
      <c r="B61" s="1"/>
      <c r="J61" s="28"/>
      <c r="K61" s="28"/>
      <c r="L61" s="28"/>
    </row>
    <row r="62" spans="2:50">
      <c r="B62" s="1"/>
      <c r="C62" s="28"/>
      <c r="E62" s="3" t="str">
        <f>+B13</f>
        <v>Group</v>
      </c>
      <c r="F62" s="144">
        <f>+$C$13*F1</f>
        <v>74950</v>
      </c>
      <c r="G62" s="144">
        <f t="shared" ref="G62:Y62" si="25">+$C$13*G1</f>
        <v>149900</v>
      </c>
      <c r="H62" s="144">
        <f t="shared" si="25"/>
        <v>224850</v>
      </c>
      <c r="I62" s="144">
        <f t="shared" si="25"/>
        <v>299800</v>
      </c>
      <c r="J62" s="144">
        <f t="shared" si="25"/>
        <v>374750</v>
      </c>
      <c r="K62" s="144">
        <f t="shared" si="25"/>
        <v>449700</v>
      </c>
      <c r="L62" s="144">
        <f t="shared" si="25"/>
        <v>524650</v>
      </c>
      <c r="M62" s="144">
        <f t="shared" si="25"/>
        <v>599600</v>
      </c>
      <c r="N62" s="144">
        <f t="shared" si="25"/>
        <v>674550</v>
      </c>
      <c r="O62" s="144">
        <f t="shared" si="25"/>
        <v>749500</v>
      </c>
      <c r="P62" s="144">
        <f t="shared" si="25"/>
        <v>824450</v>
      </c>
      <c r="Q62" s="144">
        <f t="shared" si="25"/>
        <v>899400</v>
      </c>
      <c r="R62" s="144">
        <f t="shared" si="25"/>
        <v>974350</v>
      </c>
      <c r="S62" s="144">
        <f t="shared" si="25"/>
        <v>1049300</v>
      </c>
      <c r="T62" s="144">
        <f t="shared" si="25"/>
        <v>1124250</v>
      </c>
      <c r="U62" s="144">
        <f t="shared" si="25"/>
        <v>1199200</v>
      </c>
      <c r="V62" s="144">
        <f t="shared" si="25"/>
        <v>1274150</v>
      </c>
      <c r="W62" s="144">
        <f t="shared" si="25"/>
        <v>1349100</v>
      </c>
      <c r="X62" s="144">
        <f t="shared" si="25"/>
        <v>1424050</v>
      </c>
      <c r="Y62" s="144">
        <f t="shared" si="25"/>
        <v>1499000</v>
      </c>
    </row>
    <row r="63" spans="2:50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50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 spans="2:25">
      <c r="B70" s="1"/>
      <c r="E70" s="143"/>
      <c r="F70" s="143"/>
    </row>
    <row r="71" spans="2:25">
      <c r="B71" s="1"/>
      <c r="E71" s="143"/>
      <c r="F71" s="143"/>
    </row>
    <row r="72" spans="2:25">
      <c r="B72" s="1"/>
      <c r="E72" s="3"/>
      <c r="F72" s="143"/>
    </row>
    <row r="73" spans="2:25">
      <c r="E73" s="143"/>
      <c r="F73" s="143"/>
    </row>
    <row r="74" spans="2:25">
      <c r="B74" s="1"/>
      <c r="E74" s="1"/>
      <c r="F74" s="1"/>
    </row>
    <row r="75" spans="2:25">
      <c r="B75" s="1"/>
      <c r="E75" s="1"/>
      <c r="F75" s="1"/>
    </row>
    <row r="76" spans="2:25">
      <c r="B76" s="1"/>
      <c r="F76" s="1"/>
    </row>
    <row r="77" spans="2:25">
      <c r="B77" s="1"/>
      <c r="E77" s="1"/>
      <c r="F77" s="1"/>
    </row>
    <row r="78" spans="2:25">
      <c r="E78" s="1"/>
      <c r="F78" s="1"/>
    </row>
    <row r="79" spans="2:25">
      <c r="E79" s="1"/>
      <c r="F79" s="1"/>
    </row>
    <row r="80" spans="2:25">
      <c r="E80" s="1"/>
      <c r="F80" s="1"/>
    </row>
  </sheetData>
  <mergeCells count="1">
    <mergeCell ref="Z40:AA40"/>
  </mergeCells>
  <phoneticPr fontId="24" type="noConversion"/>
  <conditionalFormatting sqref="Z14">
    <cfRule type="cellIs" dxfId="54" priority="8" stopIfTrue="1" operator="lessThan">
      <formula>$C$13</formula>
    </cfRule>
    <cfRule type="cellIs" dxfId="53" priority="9" stopIfTrue="1" operator="lessThan">
      <formula>$C$13</formula>
    </cfRule>
    <cfRule type="cellIs" dxfId="52" priority="10" stopIfTrue="1" operator="greaterThan">
      <formula>$C$13</formula>
    </cfRule>
    <cfRule type="cellIs" dxfId="51" priority="11" stopIfTrue="1" operator="greaterThan">
      <formula>$C$13</formula>
    </cfRule>
  </conditionalFormatting>
  <conditionalFormatting sqref="AA29:AA36">
    <cfRule type="cellIs" dxfId="50" priority="4" stopIfTrue="1" operator="lessThan">
      <formula>0</formula>
    </cfRule>
    <cfRule type="cellIs" dxfId="49" priority="5" stopIfTrue="1" operator="greaterThan">
      <formula>0</formula>
    </cfRule>
    <cfRule type="cellIs" dxfId="48" priority="6" stopIfTrue="1" operator="lessThan">
      <formula>0</formula>
    </cfRule>
    <cfRule type="cellIs" dxfId="47" priority="7" stopIfTrue="1" operator="greaterThan">
      <formula>0</formula>
    </cfRule>
  </conditionalFormatting>
  <conditionalFormatting sqref="Z6">
    <cfRule type="cellIs" dxfId="46" priority="2" stopIfTrue="1" operator="lessThan">
      <formula>$C$6</formula>
    </cfRule>
    <cfRule type="cellIs" dxfId="45" priority="3" stopIfTrue="1" operator="greaterThan">
      <formula>$C$6</formula>
    </cfRule>
  </conditionalFormatting>
  <conditionalFormatting sqref="Z6:Z12">
    <cfRule type="cellIs" dxfId="44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/>
  <headerFooter alignWithMargins="0"/>
  <rowBreaks count="2" manualBreakCount="2">
    <brk id="61" min="1" max="26" man="1"/>
    <brk id="110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>
  <dimension ref="A1:BC80"/>
  <sheetViews>
    <sheetView showGridLines="0" workbookViewId="0">
      <selection activeCell="AA62" sqref="AA62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7.7109375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8.28515625" customWidth="1"/>
    <col min="16" max="16" width="8.85546875" customWidth="1"/>
    <col min="17" max="17" width="8.85546875" bestFit="1" customWidth="1"/>
    <col min="18" max="18" width="10.2851562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30" width="9.28515625" customWidth="1"/>
    <col min="31" max="31" width="7.28515625" bestFit="1" customWidth="1"/>
    <col min="32" max="32" width="10.42578125" customWidth="1"/>
    <col min="55" max="55" width="9.140625" style="6" customWidth="1"/>
  </cols>
  <sheetData>
    <row r="1" spans="1:55" s="3" customFormat="1">
      <c r="A1" s="3">
        <v>1</v>
      </c>
      <c r="B1" s="3">
        <v>1</v>
      </c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BC1" s="179"/>
    </row>
    <row r="2" spans="1:55" ht="18.75">
      <c r="B2" s="2" t="s">
        <v>102</v>
      </c>
      <c r="M2" s="93" t="s">
        <v>45</v>
      </c>
      <c r="O2" s="28"/>
      <c r="P2" s="28"/>
      <c r="Q2" s="28"/>
      <c r="R2" s="28"/>
    </row>
    <row r="3" spans="1:55">
      <c r="F3" s="28"/>
    </row>
    <row r="4" spans="1:55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8"/>
      <c r="AA4" s="8"/>
      <c r="AB4" s="8"/>
      <c r="AC4" s="8"/>
      <c r="AD4" s="8"/>
    </row>
    <row r="5" spans="1:55">
      <c r="B5" s="4"/>
      <c r="C5" s="16" t="s">
        <v>32</v>
      </c>
      <c r="D5" s="4"/>
      <c r="E5" s="7" t="s">
        <v>90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103</v>
      </c>
      <c r="AA5" s="4" t="s">
        <v>104</v>
      </c>
      <c r="AB5" s="4" t="s">
        <v>105</v>
      </c>
      <c r="AC5" s="4" t="s">
        <v>106</v>
      </c>
      <c r="AD5" s="4" t="s">
        <v>107</v>
      </c>
      <c r="AE5" s="76" t="s">
        <v>43</v>
      </c>
      <c r="BC5"/>
    </row>
    <row r="6" spans="1:55">
      <c r="B6" s="4" t="s">
        <v>0</v>
      </c>
      <c r="C6" s="20">
        <f t="shared" ref="C6:C12" si="0">+C52/20</f>
        <v>18000</v>
      </c>
      <c r="D6" s="10"/>
      <c r="E6" s="11">
        <v>3175</v>
      </c>
      <c r="F6" s="34">
        <v>15394</v>
      </c>
      <c r="G6" s="34">
        <v>8915</v>
      </c>
      <c r="H6" s="34">
        <v>10115</v>
      </c>
      <c r="I6" s="34">
        <v>6290</v>
      </c>
      <c r="J6" s="34">
        <v>16005</v>
      </c>
      <c r="K6" s="34">
        <v>11540</v>
      </c>
      <c r="L6" s="34">
        <v>6290</v>
      </c>
      <c r="M6" s="34">
        <v>12595</v>
      </c>
      <c r="N6" s="34">
        <v>15020</v>
      </c>
      <c r="O6" s="34">
        <v>16781</v>
      </c>
      <c r="P6" s="34">
        <v>12430</v>
      </c>
      <c r="Q6" s="34">
        <v>13945</v>
      </c>
      <c r="R6" s="34">
        <v>12595</v>
      </c>
      <c r="S6" s="34">
        <v>0</v>
      </c>
      <c r="T6" s="34">
        <v>16040</v>
      </c>
      <c r="U6" s="34">
        <v>12430</v>
      </c>
      <c r="V6" s="34">
        <v>10459</v>
      </c>
      <c r="W6" s="34">
        <v>14685</v>
      </c>
      <c r="X6" s="34">
        <v>6508</v>
      </c>
      <c r="Y6" s="34">
        <v>21325</v>
      </c>
      <c r="Z6" s="34">
        <v>18565</v>
      </c>
      <c r="AA6" s="34">
        <v>17515</v>
      </c>
      <c r="AB6" s="34">
        <v>14435</v>
      </c>
      <c r="AC6" s="34">
        <v>3210</v>
      </c>
      <c r="AD6" s="34">
        <v>17795</v>
      </c>
      <c r="AE6" s="69">
        <f>(SUM(F6:AD6)/(COUNT(F6:AD6)))</f>
        <v>12435.28</v>
      </c>
      <c r="AF6" s="103"/>
      <c r="BC6"/>
    </row>
    <row r="7" spans="1:55">
      <c r="B7" s="4" t="s">
        <v>64</v>
      </c>
      <c r="C7" s="20">
        <f t="shared" si="0"/>
        <v>9000</v>
      </c>
      <c r="D7" s="10"/>
      <c r="E7" s="11">
        <v>0</v>
      </c>
      <c r="F7" s="34">
        <v>0</v>
      </c>
      <c r="G7" s="34">
        <v>5795</v>
      </c>
      <c r="H7" s="34">
        <v>0</v>
      </c>
      <c r="I7" s="34">
        <v>2695</v>
      </c>
      <c r="J7" s="34">
        <v>4000</v>
      </c>
      <c r="K7" s="34">
        <v>10000</v>
      </c>
      <c r="L7" s="34">
        <v>0</v>
      </c>
      <c r="M7" s="34">
        <v>4795</v>
      </c>
      <c r="N7" s="34">
        <v>0</v>
      </c>
      <c r="O7" s="34">
        <v>2695</v>
      </c>
      <c r="P7" s="34">
        <v>2695</v>
      </c>
      <c r="Q7" s="34">
        <v>2695</v>
      </c>
      <c r="R7" s="34">
        <v>4795</v>
      </c>
      <c r="S7" s="34">
        <v>0</v>
      </c>
      <c r="T7" s="34">
        <v>9690</v>
      </c>
      <c r="U7" s="34">
        <v>2695</v>
      </c>
      <c r="V7" s="34">
        <v>9995</v>
      </c>
      <c r="W7" s="34">
        <v>0</v>
      </c>
      <c r="X7" s="34">
        <v>0</v>
      </c>
      <c r="Y7" s="34">
        <v>0</v>
      </c>
      <c r="Z7" s="34">
        <v>2695</v>
      </c>
      <c r="AA7" s="34">
        <v>4795</v>
      </c>
      <c r="AB7" s="34">
        <v>0</v>
      </c>
      <c r="AC7" s="34">
        <v>1500</v>
      </c>
      <c r="AD7" s="34">
        <v>0</v>
      </c>
      <c r="AE7" s="69">
        <f t="shared" ref="AE7:AE12" si="1">(SUM(F7:AD7)/(COUNT(F7:AD7)))</f>
        <v>2861.4</v>
      </c>
      <c r="AF7" s="103"/>
      <c r="BC7"/>
    </row>
    <row r="8" spans="1:55">
      <c r="B8" s="4" t="s">
        <v>77</v>
      </c>
      <c r="C8" s="20">
        <f t="shared" si="0"/>
        <v>9000</v>
      </c>
      <c r="D8" s="10"/>
      <c r="E8" s="11">
        <v>6052</v>
      </c>
      <c r="F8" s="34">
        <v>28612</v>
      </c>
      <c r="G8" s="34">
        <v>6800</v>
      </c>
      <c r="H8" s="34">
        <v>2290</v>
      </c>
      <c r="I8" s="34">
        <v>2155</v>
      </c>
      <c r="J8" s="34">
        <v>12980</v>
      </c>
      <c r="K8" s="34">
        <v>4695</v>
      </c>
      <c r="L8" s="34">
        <v>0</v>
      </c>
      <c r="M8" s="34">
        <v>2290</v>
      </c>
      <c r="N8" s="34">
        <v>5536</v>
      </c>
      <c r="O8" s="34">
        <v>12385</v>
      </c>
      <c r="P8" s="34">
        <v>9285</v>
      </c>
      <c r="Q8" s="34">
        <v>6440</v>
      </c>
      <c r="R8" s="34">
        <v>2290</v>
      </c>
      <c r="S8" s="34">
        <v>7490</v>
      </c>
      <c r="T8" s="34">
        <v>0</v>
      </c>
      <c r="U8" s="34">
        <v>9285</v>
      </c>
      <c r="V8" s="34">
        <v>5000</v>
      </c>
      <c r="W8" s="34">
        <v>1750</v>
      </c>
      <c r="X8" s="34">
        <v>16990</v>
      </c>
      <c r="Y8" s="34">
        <v>5553</v>
      </c>
      <c r="Z8" s="34">
        <v>2695</v>
      </c>
      <c r="AA8" s="34">
        <v>9420</v>
      </c>
      <c r="AB8" s="34">
        <v>3745</v>
      </c>
      <c r="AC8" s="34">
        <v>5000</v>
      </c>
      <c r="AD8" s="34">
        <v>5695</v>
      </c>
      <c r="AE8" s="69">
        <f t="shared" si="1"/>
        <v>6735.24</v>
      </c>
      <c r="AF8" s="103"/>
      <c r="BC8"/>
    </row>
    <row r="9" spans="1:55">
      <c r="B9" s="4" t="s">
        <v>1</v>
      </c>
      <c r="C9" s="20">
        <f t="shared" si="0"/>
        <v>16200</v>
      </c>
      <c r="D9" s="10"/>
      <c r="E9" s="11">
        <v>5100</v>
      </c>
      <c r="F9" s="34">
        <v>5390</v>
      </c>
      <c r="G9" s="34">
        <v>20025</v>
      </c>
      <c r="H9" s="34">
        <v>20985</v>
      </c>
      <c r="I9" s="34">
        <v>20480</v>
      </c>
      <c r="J9" s="34">
        <v>14990</v>
      </c>
      <c r="K9" s="34">
        <v>13995</v>
      </c>
      <c r="L9" s="34">
        <v>15390</v>
      </c>
      <c r="M9" s="34">
        <v>11990</v>
      </c>
      <c r="N9" s="34">
        <v>14393</v>
      </c>
      <c r="O9" s="34">
        <v>25020</v>
      </c>
      <c r="P9" s="34">
        <v>8995</v>
      </c>
      <c r="Q9" s="34">
        <v>18550</v>
      </c>
      <c r="R9" s="34">
        <v>11990</v>
      </c>
      <c r="S9" s="34">
        <v>8490</v>
      </c>
      <c r="T9" s="34">
        <v>14480</v>
      </c>
      <c r="U9" s="34">
        <v>8995</v>
      </c>
      <c r="V9" s="34">
        <v>4750</v>
      </c>
      <c r="W9" s="34">
        <v>18665</v>
      </c>
      <c r="X9" s="34">
        <v>17030</v>
      </c>
      <c r="Y9" s="34">
        <v>19540</v>
      </c>
      <c r="Z9" s="34">
        <v>19985</v>
      </c>
      <c r="AA9" s="34">
        <v>13240</v>
      </c>
      <c r="AB9" s="34">
        <v>19080</v>
      </c>
      <c r="AC9" s="34">
        <v>12580</v>
      </c>
      <c r="AD9" s="34">
        <v>15490</v>
      </c>
      <c r="AE9" s="69">
        <f t="shared" si="1"/>
        <v>14980.72</v>
      </c>
      <c r="AF9" s="103"/>
      <c r="BC9"/>
    </row>
    <row r="10" spans="1:55">
      <c r="B10" s="4" t="s">
        <v>2</v>
      </c>
      <c r="C10" s="20">
        <f t="shared" si="0"/>
        <v>9600</v>
      </c>
      <c r="D10" s="10"/>
      <c r="E10" s="11">
        <v>0</v>
      </c>
      <c r="F10" s="34">
        <v>10441</v>
      </c>
      <c r="G10" s="34">
        <v>10990</v>
      </c>
      <c r="H10" s="34">
        <v>4990</v>
      </c>
      <c r="I10" s="34">
        <v>2276</v>
      </c>
      <c r="J10" s="34">
        <v>17490</v>
      </c>
      <c r="K10" s="34">
        <v>13490</v>
      </c>
      <c r="L10" s="34">
        <v>1667</v>
      </c>
      <c r="M10" s="34">
        <v>7116</v>
      </c>
      <c r="N10" s="34">
        <v>3335</v>
      </c>
      <c r="O10" s="34">
        <v>5220</v>
      </c>
      <c r="P10" s="34">
        <v>0</v>
      </c>
      <c r="Q10" s="34">
        <v>7995</v>
      </c>
      <c r="R10" s="34">
        <v>7490</v>
      </c>
      <c r="S10" s="34">
        <v>5845</v>
      </c>
      <c r="T10" s="34">
        <v>10475</v>
      </c>
      <c r="U10" s="34">
        <v>0</v>
      </c>
      <c r="V10" s="34">
        <v>4437</v>
      </c>
      <c r="W10" s="34">
        <v>5495</v>
      </c>
      <c r="X10" s="34">
        <v>5495</v>
      </c>
      <c r="Y10" s="34">
        <v>0</v>
      </c>
      <c r="Z10" s="34">
        <v>8940</v>
      </c>
      <c r="AA10" s="34">
        <v>10145</v>
      </c>
      <c r="AB10" s="34">
        <v>8490</v>
      </c>
      <c r="AC10" s="34">
        <v>5990</v>
      </c>
      <c r="AD10" s="34">
        <v>9750</v>
      </c>
      <c r="AE10" s="69">
        <f t="shared" si="1"/>
        <v>6702.48</v>
      </c>
      <c r="AF10" s="103"/>
      <c r="BC10"/>
    </row>
    <row r="11" spans="1:55">
      <c r="B11" s="4" t="s">
        <v>99</v>
      </c>
      <c r="C11" s="20">
        <f t="shared" si="0"/>
        <v>6000</v>
      </c>
      <c r="D11" s="10"/>
      <c r="E11" s="11">
        <v>0</v>
      </c>
      <c r="F11" s="34">
        <v>0</v>
      </c>
      <c r="G11" s="34">
        <v>7695</v>
      </c>
      <c r="H11" s="34">
        <v>0</v>
      </c>
      <c r="I11" s="34">
        <v>2695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2615</v>
      </c>
      <c r="U11" s="34">
        <v>0</v>
      </c>
      <c r="V11" s="34">
        <v>0</v>
      </c>
      <c r="W11" s="34">
        <v>0</v>
      </c>
      <c r="X11" s="34">
        <v>4135</v>
      </c>
      <c r="Y11" s="34">
        <v>0</v>
      </c>
      <c r="Z11" s="34">
        <v>1000</v>
      </c>
      <c r="AA11" s="34">
        <v>0</v>
      </c>
      <c r="AB11" s="34">
        <v>0</v>
      </c>
      <c r="AC11" s="34">
        <v>0</v>
      </c>
      <c r="AD11" s="34">
        <v>0</v>
      </c>
      <c r="AE11" s="69">
        <f t="shared" si="1"/>
        <v>725.6</v>
      </c>
      <c r="AF11" s="103"/>
      <c r="BC11"/>
    </row>
    <row r="12" spans="1:55">
      <c r="B12" s="4" t="s">
        <v>3</v>
      </c>
      <c r="C12" s="21">
        <f t="shared" si="0"/>
        <v>16750</v>
      </c>
      <c r="D12" s="13"/>
      <c r="E12" s="40">
        <v>33323</v>
      </c>
      <c r="F12" s="35">
        <v>14202</v>
      </c>
      <c r="G12" s="35">
        <v>20641</v>
      </c>
      <c r="H12" s="35">
        <v>18174</v>
      </c>
      <c r="I12" s="35">
        <v>20603</v>
      </c>
      <c r="J12" s="35">
        <v>41862</v>
      </c>
      <c r="K12" s="35">
        <v>0</v>
      </c>
      <c r="L12" s="35">
        <v>17625</v>
      </c>
      <c r="M12" s="35">
        <v>16106</v>
      </c>
      <c r="N12" s="35">
        <v>18399</v>
      </c>
      <c r="O12" s="35">
        <v>16461</v>
      </c>
      <c r="P12" s="35">
        <v>12016</v>
      </c>
      <c r="Q12" s="35">
        <v>12195</v>
      </c>
      <c r="R12" s="35">
        <v>16106</v>
      </c>
      <c r="S12" s="35">
        <v>13557</v>
      </c>
      <c r="T12" s="35">
        <v>15024</v>
      </c>
      <c r="U12" s="35">
        <v>12016</v>
      </c>
      <c r="V12" s="35">
        <v>14222</v>
      </c>
      <c r="W12" s="35">
        <v>18541</v>
      </c>
      <c r="X12" s="35">
        <v>18640</v>
      </c>
      <c r="Y12" s="35">
        <v>19333</v>
      </c>
      <c r="Z12" s="35">
        <v>12644</v>
      </c>
      <c r="AA12" s="35">
        <v>12215</v>
      </c>
      <c r="AB12" s="35">
        <v>11526</v>
      </c>
      <c r="AC12" s="35">
        <v>17795</v>
      </c>
      <c r="AD12" s="178">
        <v>14072</v>
      </c>
      <c r="AE12" s="69">
        <f t="shared" si="1"/>
        <v>16159</v>
      </c>
      <c r="AF12" s="103"/>
      <c r="BC12"/>
    </row>
    <row r="13" spans="1:55" ht="15.75" thickBot="1">
      <c r="B13" s="14" t="s">
        <v>27</v>
      </c>
      <c r="C13" s="20">
        <f t="shared" ref="C13:AD13" si="2">SUM(C6:C12)</f>
        <v>84550</v>
      </c>
      <c r="D13" s="20">
        <f t="shared" si="2"/>
        <v>0</v>
      </c>
      <c r="E13" s="11">
        <f t="shared" si="2"/>
        <v>47650</v>
      </c>
      <c r="F13" s="127">
        <f t="shared" si="2"/>
        <v>74039</v>
      </c>
      <c r="G13" s="127">
        <f t="shared" si="2"/>
        <v>80861</v>
      </c>
      <c r="H13" s="127">
        <f t="shared" si="2"/>
        <v>56554</v>
      </c>
      <c r="I13" s="127">
        <f t="shared" si="2"/>
        <v>57194</v>
      </c>
      <c r="J13" s="127">
        <f t="shared" si="2"/>
        <v>107327</v>
      </c>
      <c r="K13" s="127">
        <f t="shared" si="2"/>
        <v>53720</v>
      </c>
      <c r="L13" s="127">
        <f t="shared" si="2"/>
        <v>40972</v>
      </c>
      <c r="M13" s="127">
        <f t="shared" si="2"/>
        <v>54892</v>
      </c>
      <c r="N13" s="127">
        <f t="shared" si="2"/>
        <v>56683</v>
      </c>
      <c r="O13" s="127">
        <f t="shared" si="2"/>
        <v>78562</v>
      </c>
      <c r="P13" s="127">
        <f t="shared" si="2"/>
        <v>45421</v>
      </c>
      <c r="Q13" s="127">
        <f t="shared" si="2"/>
        <v>61820</v>
      </c>
      <c r="R13" s="127">
        <f t="shared" si="2"/>
        <v>55266</v>
      </c>
      <c r="S13" s="127">
        <f t="shared" si="2"/>
        <v>35382</v>
      </c>
      <c r="T13" s="127">
        <f t="shared" si="2"/>
        <v>68324</v>
      </c>
      <c r="U13" s="127">
        <f t="shared" si="2"/>
        <v>45421</v>
      </c>
      <c r="V13" s="127">
        <f t="shared" si="2"/>
        <v>48863</v>
      </c>
      <c r="W13" s="127">
        <f t="shared" si="2"/>
        <v>59136</v>
      </c>
      <c r="X13" s="127">
        <f t="shared" si="2"/>
        <v>68798</v>
      </c>
      <c r="Y13" s="127">
        <f t="shared" si="2"/>
        <v>65751</v>
      </c>
      <c r="Z13" s="127">
        <f t="shared" si="2"/>
        <v>66524</v>
      </c>
      <c r="AA13" s="127">
        <f t="shared" si="2"/>
        <v>67330</v>
      </c>
      <c r="AB13" s="127">
        <f t="shared" si="2"/>
        <v>57276</v>
      </c>
      <c r="AC13" s="127">
        <f t="shared" si="2"/>
        <v>46075</v>
      </c>
      <c r="AD13" s="127">
        <f t="shared" si="2"/>
        <v>62802</v>
      </c>
      <c r="AE13" s="67"/>
      <c r="AF13" s="103"/>
      <c r="BC13"/>
    </row>
    <row r="14" spans="1:55" s="1" customFormat="1" ht="13.5" thickBot="1">
      <c r="B14" s="14"/>
      <c r="C14" s="20"/>
      <c r="D14" s="12"/>
      <c r="E14" s="41"/>
      <c r="F14" s="12"/>
      <c r="G14" s="12"/>
      <c r="H14" s="12"/>
      <c r="I14" s="12"/>
      <c r="J14" s="7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Z14" s="43"/>
      <c r="AA14" s="43"/>
      <c r="AB14" s="43"/>
      <c r="AC14" s="43"/>
      <c r="AD14" s="43" t="s">
        <v>36</v>
      </c>
      <c r="AE14" s="58">
        <f>(SUM(F13:AD13)/(COUNT(F13:AD13)))</f>
        <v>60599.72</v>
      </c>
      <c r="AF14" s="104"/>
    </row>
    <row r="15" spans="1:55" s="1" customFormat="1" ht="12.75">
      <c r="B15" s="14"/>
      <c r="C15" s="14"/>
      <c r="D15" s="14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4"/>
      <c r="AF15" s="104"/>
    </row>
    <row r="16" spans="1:55" s="1" customFormat="1" ht="12.75">
      <c r="B16" s="22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104"/>
      <c r="AF16" s="104"/>
    </row>
    <row r="17" spans="2:55" s="1" customFormat="1" ht="12.75">
      <c r="B17" s="23"/>
      <c r="C17" s="23"/>
      <c r="D17" s="23"/>
      <c r="E17" s="23"/>
      <c r="F17" s="23" t="str">
        <f t="shared" ref="F17:AD17" si="3">+F5</f>
        <v>Day 1</v>
      </c>
      <c r="G17" s="23" t="str">
        <f t="shared" si="3"/>
        <v>Day 2</v>
      </c>
      <c r="H17" s="23" t="str">
        <f t="shared" si="3"/>
        <v>Day 3</v>
      </c>
      <c r="I17" s="23" t="str">
        <f t="shared" si="3"/>
        <v>Day 4</v>
      </c>
      <c r="J17" s="23" t="str">
        <f t="shared" si="3"/>
        <v>Day 5</v>
      </c>
      <c r="K17" s="23" t="str">
        <f t="shared" si="3"/>
        <v>Day 6</v>
      </c>
      <c r="L17" s="23" t="str">
        <f t="shared" si="3"/>
        <v>Day 7</v>
      </c>
      <c r="M17" s="23" t="str">
        <f t="shared" si="3"/>
        <v>Day 8</v>
      </c>
      <c r="N17" s="23" t="str">
        <f t="shared" si="3"/>
        <v>Day 9</v>
      </c>
      <c r="O17" s="23" t="str">
        <f t="shared" si="3"/>
        <v>Day 10</v>
      </c>
      <c r="P17" s="23" t="str">
        <f t="shared" si="3"/>
        <v>Day 11</v>
      </c>
      <c r="Q17" s="23" t="str">
        <f t="shared" si="3"/>
        <v>Day 12</v>
      </c>
      <c r="R17" s="23" t="str">
        <f t="shared" si="3"/>
        <v>Day 13</v>
      </c>
      <c r="S17" s="23" t="str">
        <f t="shared" si="3"/>
        <v>Day 14</v>
      </c>
      <c r="T17" s="23" t="str">
        <f t="shared" si="3"/>
        <v>Day 15</v>
      </c>
      <c r="U17" s="23" t="str">
        <f t="shared" si="3"/>
        <v>Day 16</v>
      </c>
      <c r="V17" s="23" t="str">
        <f t="shared" si="3"/>
        <v>Day 17</v>
      </c>
      <c r="W17" s="23" t="str">
        <f t="shared" si="3"/>
        <v>Day 18</v>
      </c>
      <c r="X17" s="23" t="str">
        <f t="shared" si="3"/>
        <v>Day 19</v>
      </c>
      <c r="Y17" s="23" t="str">
        <f t="shared" si="3"/>
        <v>Day 20</v>
      </c>
      <c r="Z17" s="23" t="str">
        <f t="shared" si="3"/>
        <v>Day 21</v>
      </c>
      <c r="AA17" s="23" t="str">
        <f t="shared" si="3"/>
        <v>Day 22</v>
      </c>
      <c r="AB17" s="23" t="str">
        <f t="shared" si="3"/>
        <v>Day 23</v>
      </c>
      <c r="AC17" s="23" t="str">
        <f t="shared" si="3"/>
        <v>Day 24</v>
      </c>
      <c r="AD17" s="23" t="str">
        <f t="shared" si="3"/>
        <v>Day 25</v>
      </c>
      <c r="AE17" s="104"/>
      <c r="AF17" s="104"/>
    </row>
    <row r="18" spans="2:55" s="1" customFormat="1" ht="12.75">
      <c r="B18" s="23" t="s">
        <v>0</v>
      </c>
      <c r="C18" s="25">
        <f t="shared" ref="C18:C24" si="4">(C6-$C6)/$C6+1</f>
        <v>1</v>
      </c>
      <c r="D18" s="25"/>
      <c r="E18" s="25"/>
      <c r="F18" s="25">
        <f t="shared" ref="F18:Y18" si="5">(F6-$C6)/$C6+1</f>
        <v>0.85522222222222222</v>
      </c>
      <c r="G18" s="25">
        <f t="shared" si="5"/>
        <v>0.49527777777777782</v>
      </c>
      <c r="H18" s="25">
        <f t="shared" si="5"/>
        <v>0.56194444444444447</v>
      </c>
      <c r="I18" s="25">
        <f t="shared" si="5"/>
        <v>0.34944444444444445</v>
      </c>
      <c r="J18" s="25">
        <f t="shared" si="5"/>
        <v>0.88916666666666666</v>
      </c>
      <c r="K18" s="25">
        <f t="shared" si="5"/>
        <v>0.64111111111111119</v>
      </c>
      <c r="L18" s="25">
        <f t="shared" si="5"/>
        <v>0.34944444444444445</v>
      </c>
      <c r="M18" s="25">
        <f t="shared" si="5"/>
        <v>0.69972222222222225</v>
      </c>
      <c r="N18" s="25">
        <f t="shared" si="5"/>
        <v>0.83444444444444443</v>
      </c>
      <c r="O18" s="25">
        <f t="shared" si="5"/>
        <v>0.93227777777777776</v>
      </c>
      <c r="P18" s="25">
        <f t="shared" si="5"/>
        <v>0.69055555555555559</v>
      </c>
      <c r="Q18" s="25">
        <f t="shared" si="5"/>
        <v>0.7747222222222222</v>
      </c>
      <c r="R18" s="25">
        <f t="shared" si="5"/>
        <v>0.69972222222222225</v>
      </c>
      <c r="S18" s="25">
        <f t="shared" si="5"/>
        <v>0</v>
      </c>
      <c r="T18" s="25">
        <f t="shared" si="5"/>
        <v>0.89111111111111108</v>
      </c>
      <c r="U18" s="25">
        <f t="shared" si="5"/>
        <v>0.69055555555555559</v>
      </c>
      <c r="V18" s="25">
        <f t="shared" si="5"/>
        <v>0.58105555555555555</v>
      </c>
      <c r="W18" s="25">
        <f t="shared" si="5"/>
        <v>0.8158333333333333</v>
      </c>
      <c r="X18" s="25">
        <f t="shared" si="5"/>
        <v>0.36155555555555552</v>
      </c>
      <c r="Y18" s="25">
        <f t="shared" si="5"/>
        <v>1.1847222222222222</v>
      </c>
      <c r="Z18" s="25">
        <f t="shared" ref="Z18:AD18" si="6">(Z6-$C6)/$C6+1</f>
        <v>1.0313888888888889</v>
      </c>
      <c r="AA18" s="25">
        <f t="shared" si="6"/>
        <v>0.97305555555555556</v>
      </c>
      <c r="AB18" s="25">
        <f t="shared" si="6"/>
        <v>0.80194444444444446</v>
      </c>
      <c r="AC18" s="25">
        <f t="shared" si="6"/>
        <v>0.17833333333333334</v>
      </c>
      <c r="AD18" s="25">
        <f t="shared" si="6"/>
        <v>0.98861111111111111</v>
      </c>
      <c r="AE18" s="104"/>
      <c r="AF18" s="104"/>
    </row>
    <row r="19" spans="2:55" s="1" customFormat="1" ht="12.75">
      <c r="B19" s="23" t="s">
        <v>64</v>
      </c>
      <c r="C19" s="25">
        <f t="shared" si="4"/>
        <v>1</v>
      </c>
      <c r="D19" s="25"/>
      <c r="E19" s="25"/>
      <c r="F19" s="25">
        <f t="shared" ref="F19:Y19" si="7">(F7-$C7)/$C7+1</f>
        <v>0</v>
      </c>
      <c r="G19" s="25">
        <f t="shared" si="7"/>
        <v>0.64388888888888896</v>
      </c>
      <c r="H19" s="25">
        <f t="shared" si="7"/>
        <v>0</v>
      </c>
      <c r="I19" s="25">
        <f t="shared" si="7"/>
        <v>0.2994444444444444</v>
      </c>
      <c r="J19" s="25">
        <f t="shared" si="7"/>
        <v>0.44444444444444442</v>
      </c>
      <c r="K19" s="25">
        <f t="shared" si="7"/>
        <v>1.1111111111111112</v>
      </c>
      <c r="L19" s="25">
        <f t="shared" si="7"/>
        <v>0</v>
      </c>
      <c r="M19" s="25">
        <f t="shared" si="7"/>
        <v>0.53277777777777779</v>
      </c>
      <c r="N19" s="25">
        <f t="shared" si="7"/>
        <v>0</v>
      </c>
      <c r="O19" s="25">
        <f t="shared" si="7"/>
        <v>0.2994444444444444</v>
      </c>
      <c r="P19" s="25">
        <f t="shared" si="7"/>
        <v>0.2994444444444444</v>
      </c>
      <c r="Q19" s="25">
        <f t="shared" si="7"/>
        <v>0.2994444444444444</v>
      </c>
      <c r="R19" s="25">
        <f t="shared" si="7"/>
        <v>0.53277777777777779</v>
      </c>
      <c r="S19" s="25">
        <f t="shared" si="7"/>
        <v>0</v>
      </c>
      <c r="T19" s="25">
        <f t="shared" si="7"/>
        <v>1.0766666666666667</v>
      </c>
      <c r="U19" s="25">
        <f t="shared" si="7"/>
        <v>0.2994444444444444</v>
      </c>
      <c r="V19" s="25">
        <f t="shared" si="7"/>
        <v>1.1105555555555555</v>
      </c>
      <c r="W19" s="25">
        <f t="shared" si="7"/>
        <v>0</v>
      </c>
      <c r="X19" s="25">
        <f t="shared" si="7"/>
        <v>0</v>
      </c>
      <c r="Y19" s="25">
        <f t="shared" si="7"/>
        <v>0</v>
      </c>
      <c r="Z19" s="25">
        <f t="shared" ref="Z19:AD19" si="8">(Z7-$C7)/$C7+1</f>
        <v>0.2994444444444444</v>
      </c>
      <c r="AA19" s="25">
        <f t="shared" si="8"/>
        <v>0.53277777777777779</v>
      </c>
      <c r="AB19" s="25">
        <f t="shared" si="8"/>
        <v>0</v>
      </c>
      <c r="AC19" s="25">
        <f t="shared" si="8"/>
        <v>0.16666666666666663</v>
      </c>
      <c r="AD19" s="25">
        <f t="shared" si="8"/>
        <v>0</v>
      </c>
      <c r="AE19" s="104"/>
      <c r="AF19" s="104"/>
    </row>
    <row r="20" spans="2:55" s="1" customFormat="1" ht="12.75">
      <c r="B20" s="4" t="s">
        <v>77</v>
      </c>
      <c r="C20" s="25">
        <f t="shared" si="4"/>
        <v>1</v>
      </c>
      <c r="D20" s="25"/>
      <c r="E20" s="25"/>
      <c r="F20" s="25">
        <f t="shared" ref="F20:Y20" si="9">(F8-$C8)/$C8+1</f>
        <v>3.1791111111111112</v>
      </c>
      <c r="G20" s="25">
        <f t="shared" si="9"/>
        <v>0.75555555555555554</v>
      </c>
      <c r="H20" s="25">
        <f t="shared" si="9"/>
        <v>0.25444444444444447</v>
      </c>
      <c r="I20" s="25">
        <f t="shared" si="9"/>
        <v>0.23944444444444446</v>
      </c>
      <c r="J20" s="25">
        <f t="shared" si="9"/>
        <v>1.4422222222222223</v>
      </c>
      <c r="K20" s="25">
        <f t="shared" si="9"/>
        <v>0.52166666666666672</v>
      </c>
      <c r="L20" s="25">
        <f t="shared" si="9"/>
        <v>0</v>
      </c>
      <c r="M20" s="25">
        <f t="shared" si="9"/>
        <v>0.25444444444444447</v>
      </c>
      <c r="N20" s="25">
        <f t="shared" si="9"/>
        <v>0.61511111111111116</v>
      </c>
      <c r="O20" s="25">
        <f t="shared" si="9"/>
        <v>1.3761111111111111</v>
      </c>
      <c r="P20" s="25">
        <f t="shared" si="9"/>
        <v>1.0316666666666667</v>
      </c>
      <c r="Q20" s="25">
        <f t="shared" si="9"/>
        <v>0.7155555555555555</v>
      </c>
      <c r="R20" s="25">
        <f t="shared" si="9"/>
        <v>0.25444444444444447</v>
      </c>
      <c r="S20" s="25">
        <f t="shared" si="9"/>
        <v>0.8322222222222222</v>
      </c>
      <c r="T20" s="25">
        <f t="shared" si="9"/>
        <v>0</v>
      </c>
      <c r="U20" s="25">
        <f t="shared" si="9"/>
        <v>1.0316666666666667</v>
      </c>
      <c r="V20" s="25">
        <f t="shared" si="9"/>
        <v>0.55555555555555558</v>
      </c>
      <c r="W20" s="25">
        <f t="shared" si="9"/>
        <v>0.19444444444444442</v>
      </c>
      <c r="X20" s="25">
        <f t="shared" si="9"/>
        <v>1.8877777777777778</v>
      </c>
      <c r="Y20" s="25">
        <f t="shared" si="9"/>
        <v>0.61699999999999999</v>
      </c>
      <c r="Z20" s="25">
        <f t="shared" ref="Z20:AD20" si="10">(Z8-$C8)/$C8+1</f>
        <v>0.2994444444444444</v>
      </c>
      <c r="AA20" s="25">
        <f t="shared" si="10"/>
        <v>1.0466666666666666</v>
      </c>
      <c r="AB20" s="25">
        <f t="shared" si="10"/>
        <v>0.4161111111111111</v>
      </c>
      <c r="AC20" s="25">
        <f t="shared" si="10"/>
        <v>0.55555555555555558</v>
      </c>
      <c r="AD20" s="25">
        <f t="shared" si="10"/>
        <v>0.63277777777777777</v>
      </c>
      <c r="AE20" s="104"/>
      <c r="AF20" s="104"/>
    </row>
    <row r="21" spans="2:55" s="1" customFormat="1" ht="12.75">
      <c r="B21" s="4" t="str">
        <f>+B9</f>
        <v>Boston</v>
      </c>
      <c r="C21" s="25">
        <f t="shared" si="4"/>
        <v>1</v>
      </c>
      <c r="D21" s="25"/>
      <c r="E21" s="25"/>
      <c r="F21" s="25">
        <f t="shared" ref="F21:Y21" si="11">(F9-$C9)/$C9+1</f>
        <v>0.33271604938271604</v>
      </c>
      <c r="G21" s="25">
        <f t="shared" si="11"/>
        <v>1.2361111111111112</v>
      </c>
      <c r="H21" s="25">
        <f t="shared" si="11"/>
        <v>1.2953703703703705</v>
      </c>
      <c r="I21" s="25">
        <f t="shared" si="11"/>
        <v>1.2641975308641975</v>
      </c>
      <c r="J21" s="25">
        <f t="shared" si="11"/>
        <v>0.9253086419753086</v>
      </c>
      <c r="K21" s="25">
        <f t="shared" si="11"/>
        <v>0.86388888888888893</v>
      </c>
      <c r="L21" s="25">
        <f t="shared" si="11"/>
        <v>0.95</v>
      </c>
      <c r="M21" s="25">
        <f t="shared" si="11"/>
        <v>0.74012345679012348</v>
      </c>
      <c r="N21" s="25">
        <f t="shared" si="11"/>
        <v>0.8884567901234568</v>
      </c>
      <c r="O21" s="25">
        <f t="shared" si="11"/>
        <v>1.5444444444444443</v>
      </c>
      <c r="P21" s="25">
        <f t="shared" si="11"/>
        <v>0.55524691358024691</v>
      </c>
      <c r="Q21" s="25">
        <f t="shared" si="11"/>
        <v>1.1450617283950617</v>
      </c>
      <c r="R21" s="25">
        <f t="shared" si="11"/>
        <v>0.74012345679012348</v>
      </c>
      <c r="S21" s="25">
        <f t="shared" si="11"/>
        <v>0.52407407407407414</v>
      </c>
      <c r="T21" s="25">
        <f t="shared" si="11"/>
        <v>0.89382716049382716</v>
      </c>
      <c r="U21" s="25">
        <f t="shared" si="11"/>
        <v>0.55524691358024691</v>
      </c>
      <c r="V21" s="25">
        <f t="shared" si="11"/>
        <v>0.29320987654320985</v>
      </c>
      <c r="W21" s="25">
        <f t="shared" si="11"/>
        <v>1.1521604938271606</v>
      </c>
      <c r="X21" s="25">
        <f t="shared" si="11"/>
        <v>1.0512345679012345</v>
      </c>
      <c r="Y21" s="25">
        <f t="shared" si="11"/>
        <v>1.2061728395061728</v>
      </c>
      <c r="Z21" s="25">
        <f t="shared" ref="Z21:AD21" si="12">(Z9-$C9)/$C9+1</f>
        <v>1.2336419753086421</v>
      </c>
      <c r="AA21" s="25">
        <f t="shared" si="12"/>
        <v>0.81728395061728398</v>
      </c>
      <c r="AB21" s="25">
        <f t="shared" si="12"/>
        <v>1.1777777777777778</v>
      </c>
      <c r="AC21" s="25">
        <f t="shared" si="12"/>
        <v>0.77654320987654324</v>
      </c>
      <c r="AD21" s="25">
        <f t="shared" si="12"/>
        <v>0.95617283950617282</v>
      </c>
      <c r="AE21" s="104"/>
      <c r="AF21" s="104"/>
    </row>
    <row r="22" spans="2:55" s="1" customFormat="1" ht="12.75">
      <c r="B22" s="23" t="s">
        <v>2</v>
      </c>
      <c r="C22" s="25">
        <f t="shared" si="4"/>
        <v>1</v>
      </c>
      <c r="D22" s="25"/>
      <c r="E22" s="25"/>
      <c r="F22" s="25">
        <f t="shared" ref="F22:Y22" si="13">(F10-$C10)/$C10+1</f>
        <v>1.0876041666666667</v>
      </c>
      <c r="G22" s="25">
        <f t="shared" si="13"/>
        <v>1.1447916666666667</v>
      </c>
      <c r="H22" s="25">
        <f t="shared" si="13"/>
        <v>0.51979166666666665</v>
      </c>
      <c r="I22" s="25">
        <f t="shared" si="13"/>
        <v>0.23708333333333331</v>
      </c>
      <c r="J22" s="25">
        <f t="shared" si="13"/>
        <v>1.8218749999999999</v>
      </c>
      <c r="K22" s="25">
        <f t="shared" si="13"/>
        <v>1.4052083333333334</v>
      </c>
      <c r="L22" s="25">
        <f t="shared" si="13"/>
        <v>0.17364583333333339</v>
      </c>
      <c r="M22" s="25">
        <f t="shared" si="13"/>
        <v>0.74124999999999996</v>
      </c>
      <c r="N22" s="25">
        <f t="shared" si="13"/>
        <v>0.34739583333333335</v>
      </c>
      <c r="O22" s="25">
        <f t="shared" si="13"/>
        <v>0.54374999999999996</v>
      </c>
      <c r="P22" s="25">
        <f t="shared" si="13"/>
        <v>0</v>
      </c>
      <c r="Q22" s="25">
        <f t="shared" si="13"/>
        <v>0.83281249999999996</v>
      </c>
      <c r="R22" s="25">
        <f t="shared" si="13"/>
        <v>0.78020833333333339</v>
      </c>
      <c r="S22" s="25">
        <f t="shared" si="13"/>
        <v>0.6088541666666667</v>
      </c>
      <c r="T22" s="25">
        <f t="shared" si="13"/>
        <v>1.0911458333333333</v>
      </c>
      <c r="U22" s="25">
        <f t="shared" si="13"/>
        <v>0</v>
      </c>
      <c r="V22" s="25">
        <f t="shared" si="13"/>
        <v>0.46218749999999997</v>
      </c>
      <c r="W22" s="25">
        <f t="shared" si="13"/>
        <v>0.57239583333333333</v>
      </c>
      <c r="X22" s="25">
        <f t="shared" si="13"/>
        <v>0.57239583333333333</v>
      </c>
      <c r="Y22" s="25">
        <f t="shared" si="13"/>
        <v>0</v>
      </c>
      <c r="Z22" s="25">
        <f t="shared" ref="Z22:AD22" si="14">(Z10-$C10)/$C10+1</f>
        <v>0.93125000000000002</v>
      </c>
      <c r="AA22" s="25">
        <f t="shared" si="14"/>
        <v>1.0567708333333334</v>
      </c>
      <c r="AB22" s="25">
        <f t="shared" si="14"/>
        <v>0.88437500000000002</v>
      </c>
      <c r="AC22" s="25">
        <f t="shared" si="14"/>
        <v>0.62395833333333339</v>
      </c>
      <c r="AD22" s="25">
        <f t="shared" si="14"/>
        <v>1.015625</v>
      </c>
      <c r="AE22" s="104"/>
      <c r="AF22" s="104"/>
    </row>
    <row r="23" spans="2:55" s="1" customFormat="1" ht="12.75">
      <c r="B23" s="4" t="s">
        <v>99</v>
      </c>
      <c r="C23" s="25">
        <f t="shared" si="4"/>
        <v>1</v>
      </c>
      <c r="D23" s="25"/>
      <c r="E23" s="25"/>
      <c r="F23" s="25">
        <f t="shared" ref="F23:Y23" si="15">(F11-$C11)/$C11+1</f>
        <v>0</v>
      </c>
      <c r="G23" s="25">
        <f t="shared" si="15"/>
        <v>1.2825</v>
      </c>
      <c r="H23" s="25">
        <f t="shared" si="15"/>
        <v>0</v>
      </c>
      <c r="I23" s="25">
        <f t="shared" si="15"/>
        <v>0.44916666666666671</v>
      </c>
      <c r="J23" s="25">
        <f t="shared" si="15"/>
        <v>0</v>
      </c>
      <c r="K23" s="25">
        <f t="shared" si="15"/>
        <v>0</v>
      </c>
      <c r="L23" s="25">
        <f t="shared" si="15"/>
        <v>0</v>
      </c>
      <c r="M23" s="25">
        <f t="shared" si="15"/>
        <v>0</v>
      </c>
      <c r="N23" s="25">
        <f t="shared" si="15"/>
        <v>0</v>
      </c>
      <c r="O23" s="25">
        <f t="shared" si="15"/>
        <v>0</v>
      </c>
      <c r="P23" s="25">
        <f t="shared" si="15"/>
        <v>0</v>
      </c>
      <c r="Q23" s="25">
        <f t="shared" si="15"/>
        <v>0</v>
      </c>
      <c r="R23" s="25">
        <f t="shared" si="15"/>
        <v>0</v>
      </c>
      <c r="S23" s="25">
        <f t="shared" si="15"/>
        <v>0</v>
      </c>
      <c r="T23" s="25">
        <f t="shared" si="15"/>
        <v>0.43583333333333329</v>
      </c>
      <c r="U23" s="25">
        <f t="shared" si="15"/>
        <v>0</v>
      </c>
      <c r="V23" s="25">
        <f t="shared" si="15"/>
        <v>0</v>
      </c>
      <c r="W23" s="25">
        <f t="shared" si="15"/>
        <v>0</v>
      </c>
      <c r="X23" s="25">
        <f t="shared" si="15"/>
        <v>0.68916666666666671</v>
      </c>
      <c r="Y23" s="25">
        <f t="shared" si="15"/>
        <v>0</v>
      </c>
      <c r="Z23" s="25">
        <f t="shared" ref="Z23:AD23" si="16">(Z11-$C11)/$C11+1</f>
        <v>0.16666666666666663</v>
      </c>
      <c r="AA23" s="25">
        <f t="shared" si="16"/>
        <v>0</v>
      </c>
      <c r="AB23" s="25">
        <f t="shared" si="16"/>
        <v>0</v>
      </c>
      <c r="AC23" s="25">
        <f t="shared" si="16"/>
        <v>0</v>
      </c>
      <c r="AD23" s="25">
        <f t="shared" si="16"/>
        <v>0</v>
      </c>
      <c r="AE23" s="104"/>
      <c r="AF23" s="104"/>
    </row>
    <row r="24" spans="2:55" s="1" customFormat="1" ht="12.75">
      <c r="B24" s="23" t="s">
        <v>3</v>
      </c>
      <c r="C24" s="27">
        <f t="shared" si="4"/>
        <v>1</v>
      </c>
      <c r="D24" s="27"/>
      <c r="E24" s="27"/>
      <c r="F24" s="27">
        <f t="shared" ref="F24:Y24" si="17">(F12-$C12)/$C12+1</f>
        <v>0.84788059701492535</v>
      </c>
      <c r="G24" s="27">
        <f t="shared" si="17"/>
        <v>1.2322985074626867</v>
      </c>
      <c r="H24" s="27">
        <f t="shared" si="17"/>
        <v>1.0850149253731343</v>
      </c>
      <c r="I24" s="27">
        <f t="shared" si="17"/>
        <v>1.2300298507462686</v>
      </c>
      <c r="J24" s="27">
        <f t="shared" si="17"/>
        <v>2.4992238805970146</v>
      </c>
      <c r="K24" s="27">
        <f t="shared" si="17"/>
        <v>0</v>
      </c>
      <c r="L24" s="27">
        <f t="shared" si="17"/>
        <v>1.0522388059701493</v>
      </c>
      <c r="M24" s="27">
        <f t="shared" si="17"/>
        <v>0.96155223880597018</v>
      </c>
      <c r="N24" s="27">
        <f t="shared" si="17"/>
        <v>1.0984477611940298</v>
      </c>
      <c r="O24" s="27">
        <f t="shared" si="17"/>
        <v>0.98274626865671644</v>
      </c>
      <c r="P24" s="27">
        <f t="shared" si="17"/>
        <v>0.71737313432835825</v>
      </c>
      <c r="Q24" s="27">
        <f t="shared" si="17"/>
        <v>0.72805970149253729</v>
      </c>
      <c r="R24" s="27">
        <f t="shared" si="17"/>
        <v>0.96155223880597018</v>
      </c>
      <c r="S24" s="27">
        <f t="shared" si="17"/>
        <v>0.80937313432835822</v>
      </c>
      <c r="T24" s="27">
        <f t="shared" si="17"/>
        <v>0.89695522388059701</v>
      </c>
      <c r="U24" s="27">
        <f t="shared" si="17"/>
        <v>0.71737313432835825</v>
      </c>
      <c r="V24" s="27">
        <f t="shared" si="17"/>
        <v>0.8490746268656717</v>
      </c>
      <c r="W24" s="27">
        <f t="shared" si="17"/>
        <v>1.1069253731343283</v>
      </c>
      <c r="X24" s="27">
        <f t="shared" si="17"/>
        <v>1.1128358208955225</v>
      </c>
      <c r="Y24" s="27">
        <f t="shared" si="17"/>
        <v>1.1542089552238806</v>
      </c>
      <c r="Z24" s="27">
        <f t="shared" ref="Z24:AD24" si="18">(Z12-$C12)/$C12+1</f>
        <v>0.75486567164179108</v>
      </c>
      <c r="AA24" s="27">
        <f t="shared" si="18"/>
        <v>0.72925373134328364</v>
      </c>
      <c r="AB24" s="27">
        <f t="shared" si="18"/>
        <v>0.68811940298507457</v>
      </c>
      <c r="AC24" s="27">
        <f t="shared" si="18"/>
        <v>1.0623880597014925</v>
      </c>
      <c r="AD24" s="27">
        <f t="shared" si="18"/>
        <v>0.84011940298507459</v>
      </c>
      <c r="AE24" s="104"/>
      <c r="AF24" s="104"/>
    </row>
    <row r="25" spans="2:55" s="1" customFormat="1" ht="12.75">
      <c r="B25" s="29" t="s">
        <v>27</v>
      </c>
      <c r="C25" s="25">
        <f t="shared" ref="C25" si="19">(C13-$C13)/$C13+1</f>
        <v>1</v>
      </c>
      <c r="D25" s="25"/>
      <c r="E25" s="25"/>
      <c r="F25" s="25">
        <f>(F13-$C13)/$C13+1</f>
        <v>0.87568302779420459</v>
      </c>
      <c r="G25" s="25">
        <f t="shared" ref="G25:Y25" si="20">(G13-$C13)/$C13+1</f>
        <v>0.95636901241868721</v>
      </c>
      <c r="H25" s="25">
        <f t="shared" si="20"/>
        <v>0.66888231815493793</v>
      </c>
      <c r="I25" s="25">
        <f t="shared" si="20"/>
        <v>0.67645180366646951</v>
      </c>
      <c r="J25" s="25">
        <f>(J13-$C13)/$C13+1</f>
        <v>1.269390892962744</v>
      </c>
      <c r="K25" s="25">
        <f>(K13-$C13)/$C13+1</f>
        <v>0.63536369012418681</v>
      </c>
      <c r="L25" s="25">
        <f>(L13-$C13)/$C13+1</f>
        <v>0.484589000591366</v>
      </c>
      <c r="M25" s="25">
        <f t="shared" si="20"/>
        <v>0.64922531046717924</v>
      </c>
      <c r="N25" s="25">
        <f t="shared" si="20"/>
        <v>0.67040804257835607</v>
      </c>
      <c r="O25" s="25">
        <f t="shared" si="20"/>
        <v>0.92917800118273208</v>
      </c>
      <c r="P25" s="25">
        <f t="shared" si="20"/>
        <v>0.53720875221762276</v>
      </c>
      <c r="Q25" s="25">
        <f t="shared" si="20"/>
        <v>0.73116499112950917</v>
      </c>
      <c r="R25" s="25">
        <f t="shared" si="20"/>
        <v>0.65364872856298051</v>
      </c>
      <c r="S25" s="25">
        <f>(S13-$C13)/$C13+1</f>
        <v>0.4184742755765819</v>
      </c>
      <c r="T25" s="25">
        <f>(T13-$C13)/$C13+1</f>
        <v>0.80808988764044942</v>
      </c>
      <c r="U25" s="25">
        <f>(U13-$C13)/$C13+1</f>
        <v>0.53720875221762276</v>
      </c>
      <c r="V25" s="25">
        <f>(V13-$C13)/$C13+1</f>
        <v>0.57791839148432878</v>
      </c>
      <c r="W25" s="25">
        <f>(W13-$C13)/$C13+1</f>
        <v>0.69942046126552337</v>
      </c>
      <c r="X25" s="25">
        <f t="shared" si="20"/>
        <v>0.81369603784742761</v>
      </c>
      <c r="Y25" s="25">
        <f t="shared" si="20"/>
        <v>0.77765819041986983</v>
      </c>
      <c r="Z25" s="25">
        <f t="shared" ref="Z25:AD25" si="21">(Z13-$C13)/$C13+1</f>
        <v>0.78680070963926674</v>
      </c>
      <c r="AA25" s="25">
        <f t="shared" si="21"/>
        <v>0.79633353045535182</v>
      </c>
      <c r="AB25" s="25">
        <f t="shared" si="21"/>
        <v>0.6774216439976346</v>
      </c>
      <c r="AC25" s="25">
        <f t="shared" si="21"/>
        <v>0.5449438202247191</v>
      </c>
      <c r="AD25" s="25">
        <f t="shared" si="21"/>
        <v>0.74277942046126555</v>
      </c>
      <c r="AE25" s="104"/>
      <c r="AF25" s="104"/>
    </row>
    <row r="26" spans="2:5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03"/>
      <c r="AF26" s="103"/>
      <c r="BC26"/>
    </row>
    <row r="27" spans="2:55">
      <c r="B27" s="9" t="s">
        <v>33</v>
      </c>
      <c r="C27" s="4"/>
      <c r="D27" s="4"/>
      <c r="E27" s="4"/>
      <c r="F27" s="49">
        <f t="shared" ref="F27:AD27" si="22">+F1/$Y$1</f>
        <v>0.05</v>
      </c>
      <c r="G27" s="49">
        <f t="shared" si="22"/>
        <v>0.1</v>
      </c>
      <c r="H27" s="49">
        <f t="shared" si="22"/>
        <v>0.15</v>
      </c>
      <c r="I27" s="49">
        <f t="shared" si="22"/>
        <v>0.2</v>
      </c>
      <c r="J27" s="49">
        <f t="shared" si="22"/>
        <v>0.25</v>
      </c>
      <c r="K27" s="49">
        <f t="shared" si="22"/>
        <v>0.3</v>
      </c>
      <c r="L27" s="49">
        <f t="shared" si="22"/>
        <v>0.35</v>
      </c>
      <c r="M27" s="49">
        <f t="shared" si="22"/>
        <v>0.4</v>
      </c>
      <c r="N27" s="49">
        <f t="shared" si="22"/>
        <v>0.45</v>
      </c>
      <c r="O27" s="49">
        <f t="shared" si="22"/>
        <v>0.5</v>
      </c>
      <c r="P27" s="49">
        <f t="shared" si="22"/>
        <v>0.55000000000000004</v>
      </c>
      <c r="Q27" s="49">
        <f t="shared" si="22"/>
        <v>0.6</v>
      </c>
      <c r="R27" s="49">
        <f t="shared" si="22"/>
        <v>0.65</v>
      </c>
      <c r="S27" s="49">
        <f t="shared" si="22"/>
        <v>0.7</v>
      </c>
      <c r="T27" s="49">
        <f t="shared" si="22"/>
        <v>0.75</v>
      </c>
      <c r="U27" s="49">
        <f t="shared" si="22"/>
        <v>0.8</v>
      </c>
      <c r="V27" s="49">
        <f t="shared" si="22"/>
        <v>0.85</v>
      </c>
      <c r="W27" s="49">
        <f t="shared" si="22"/>
        <v>0.9</v>
      </c>
      <c r="X27" s="49">
        <f t="shared" si="22"/>
        <v>0.95</v>
      </c>
      <c r="Y27" s="49">
        <f t="shared" si="22"/>
        <v>1</v>
      </c>
      <c r="Z27" s="49">
        <f t="shared" si="22"/>
        <v>1.05</v>
      </c>
      <c r="AA27" s="49">
        <f t="shared" si="22"/>
        <v>1.1000000000000001</v>
      </c>
      <c r="AB27" s="49">
        <f t="shared" si="22"/>
        <v>1.1499999999999999</v>
      </c>
      <c r="AC27" s="49">
        <f t="shared" si="22"/>
        <v>1.2</v>
      </c>
      <c r="AD27" s="49">
        <f t="shared" si="22"/>
        <v>1.25</v>
      </c>
      <c r="AE27" s="105" t="s">
        <v>39</v>
      </c>
      <c r="AF27" s="106" t="s">
        <v>37</v>
      </c>
      <c r="BC27"/>
    </row>
    <row r="28" spans="2:55">
      <c r="B28" s="4"/>
      <c r="C28" s="4"/>
      <c r="D28" s="4"/>
      <c r="E28" s="4"/>
      <c r="F28" s="4" t="str">
        <f t="shared" ref="F28:AD28" si="23">+F17</f>
        <v>Day 1</v>
      </c>
      <c r="G28" s="4" t="str">
        <f t="shared" si="23"/>
        <v>Day 2</v>
      </c>
      <c r="H28" s="4" t="str">
        <f t="shared" si="23"/>
        <v>Day 3</v>
      </c>
      <c r="I28" s="4" t="str">
        <f t="shared" si="23"/>
        <v>Day 4</v>
      </c>
      <c r="J28" s="4" t="str">
        <f t="shared" si="23"/>
        <v>Day 5</v>
      </c>
      <c r="K28" s="4" t="str">
        <f t="shared" si="23"/>
        <v>Day 6</v>
      </c>
      <c r="L28" s="4" t="str">
        <f t="shared" si="23"/>
        <v>Day 7</v>
      </c>
      <c r="M28" s="4" t="str">
        <f t="shared" si="23"/>
        <v>Day 8</v>
      </c>
      <c r="N28" s="4" t="str">
        <f t="shared" si="23"/>
        <v>Day 9</v>
      </c>
      <c r="O28" s="4" t="str">
        <f t="shared" si="23"/>
        <v>Day 10</v>
      </c>
      <c r="P28" s="4" t="str">
        <f t="shared" si="23"/>
        <v>Day 11</v>
      </c>
      <c r="Q28" s="4" t="str">
        <f t="shared" si="23"/>
        <v>Day 12</v>
      </c>
      <c r="R28" s="4" t="str">
        <f t="shared" si="23"/>
        <v>Day 13</v>
      </c>
      <c r="S28" s="4" t="str">
        <f t="shared" si="23"/>
        <v>Day 14</v>
      </c>
      <c r="T28" s="4" t="str">
        <f t="shared" si="23"/>
        <v>Day 15</v>
      </c>
      <c r="U28" s="4" t="str">
        <f t="shared" si="23"/>
        <v>Day 16</v>
      </c>
      <c r="V28" s="4" t="str">
        <f t="shared" si="23"/>
        <v>Day 17</v>
      </c>
      <c r="W28" s="4" t="str">
        <f t="shared" si="23"/>
        <v>Day 18</v>
      </c>
      <c r="X28" s="4" t="str">
        <f t="shared" si="23"/>
        <v>Day 19</v>
      </c>
      <c r="Y28" s="4" t="str">
        <f t="shared" si="23"/>
        <v>Day 20</v>
      </c>
      <c r="Z28" s="4" t="str">
        <f t="shared" si="23"/>
        <v>Day 21</v>
      </c>
      <c r="AA28" s="4" t="str">
        <f t="shared" si="23"/>
        <v>Day 22</v>
      </c>
      <c r="AB28" s="4" t="str">
        <f t="shared" si="23"/>
        <v>Day 23</v>
      </c>
      <c r="AC28" s="4" t="str">
        <f t="shared" si="23"/>
        <v>Day 24</v>
      </c>
      <c r="AD28" s="4" t="str">
        <f t="shared" si="23"/>
        <v>Day 25</v>
      </c>
      <c r="AE28" s="107" t="s">
        <v>40</v>
      </c>
      <c r="AF28" s="108" t="s">
        <v>38</v>
      </c>
      <c r="BC28"/>
    </row>
    <row r="29" spans="2:55">
      <c r="B29" s="4" t="str">
        <f>+B18</f>
        <v>San Diego</v>
      </c>
      <c r="C29" s="4"/>
      <c r="D29" s="4"/>
      <c r="E29" s="23"/>
      <c r="F29" s="122">
        <v>3175</v>
      </c>
      <c r="G29" s="34">
        <v>6320</v>
      </c>
      <c r="H29" s="34">
        <v>17865</v>
      </c>
      <c r="I29" s="34">
        <v>24155</v>
      </c>
      <c r="J29" s="34">
        <v>40160</v>
      </c>
      <c r="K29" s="34">
        <v>51700</v>
      </c>
      <c r="L29" s="34">
        <v>70705</v>
      </c>
      <c r="M29" s="34">
        <v>145756</v>
      </c>
      <c r="N29" s="34">
        <v>71313</v>
      </c>
      <c r="O29" s="34">
        <v>102506</v>
      </c>
      <c r="P29" s="34">
        <v>184685</v>
      </c>
      <c r="Q29" s="34">
        <v>133161</v>
      </c>
      <c r="R29" s="34">
        <v>145756</v>
      </c>
      <c r="S29" s="34">
        <v>145756</v>
      </c>
      <c r="T29" s="34">
        <v>161796</v>
      </c>
      <c r="U29" s="34">
        <v>184685</v>
      </c>
      <c r="V29" s="34">
        <v>199370</v>
      </c>
      <c r="W29" s="34">
        <v>199370</v>
      </c>
      <c r="X29" s="34">
        <v>202758</v>
      </c>
      <c r="Y29" s="34">
        <v>224083</v>
      </c>
      <c r="Z29" s="34">
        <v>236008</v>
      </c>
      <c r="AA29" s="34">
        <v>243558</v>
      </c>
      <c r="AB29" s="34">
        <v>257993</v>
      </c>
      <c r="AC29" s="34">
        <v>259068</v>
      </c>
      <c r="AD29" s="34">
        <v>268129</v>
      </c>
      <c r="AE29" s="109">
        <f>+AD29/C52</f>
        <v>0.74480277777777781</v>
      </c>
      <c r="AF29" s="145">
        <f t="shared" ref="AF29:AF36" si="24">+AE29-AD$27</f>
        <v>-0.50519722222222219</v>
      </c>
      <c r="BC29"/>
    </row>
    <row r="30" spans="2:55">
      <c r="B30" s="4" t="str">
        <f>+B19</f>
        <v>Latin America</v>
      </c>
      <c r="C30" s="4"/>
      <c r="D30" s="4"/>
      <c r="E30" s="23"/>
      <c r="F30" s="122">
        <v>0</v>
      </c>
      <c r="G30" s="34">
        <v>5795</v>
      </c>
      <c r="H30" s="34">
        <v>5795</v>
      </c>
      <c r="I30" s="34">
        <v>8490</v>
      </c>
      <c r="J30" s="34">
        <v>12490</v>
      </c>
      <c r="K30" s="34">
        <v>22490</v>
      </c>
      <c r="L30" s="34">
        <v>22490</v>
      </c>
      <c r="M30" s="34">
        <v>35370</v>
      </c>
      <c r="N30" s="34">
        <v>123612</v>
      </c>
      <c r="O30" s="34">
        <v>27880</v>
      </c>
      <c r="P30" s="34">
        <v>47755</v>
      </c>
      <c r="Q30" s="34">
        <v>30575</v>
      </c>
      <c r="R30" s="34">
        <v>35370</v>
      </c>
      <c r="S30" s="34">
        <v>35370</v>
      </c>
      <c r="T30" s="34">
        <v>45060</v>
      </c>
      <c r="U30" s="34">
        <v>47755</v>
      </c>
      <c r="V30" s="34">
        <v>57750</v>
      </c>
      <c r="W30" s="34">
        <v>57750</v>
      </c>
      <c r="X30" s="34">
        <v>57750</v>
      </c>
      <c r="Y30" s="34">
        <v>57750</v>
      </c>
      <c r="Z30" s="34">
        <v>60445</v>
      </c>
      <c r="AA30" s="34">
        <v>65240</v>
      </c>
      <c r="AB30" s="34">
        <v>65240</v>
      </c>
      <c r="AC30" s="34">
        <v>66740</v>
      </c>
      <c r="AD30" s="34">
        <v>66740</v>
      </c>
      <c r="AE30" s="109">
        <f>+AD30/C53</f>
        <v>0.37077777777777776</v>
      </c>
      <c r="AF30" s="146">
        <f t="shared" si="24"/>
        <v>-0.87922222222222224</v>
      </c>
      <c r="BC30"/>
    </row>
    <row r="31" spans="2:55">
      <c r="B31" s="4" t="str">
        <f>+B20</f>
        <v>Brazil</v>
      </c>
      <c r="C31" s="4"/>
      <c r="D31" s="4"/>
      <c r="E31" s="23"/>
      <c r="F31" s="122">
        <v>6052</v>
      </c>
      <c r="G31" s="34">
        <v>7852</v>
      </c>
      <c r="H31" s="34">
        <v>7852</v>
      </c>
      <c r="I31" s="34">
        <v>10007</v>
      </c>
      <c r="J31" s="34">
        <v>22987</v>
      </c>
      <c r="K31" s="34">
        <v>27682</v>
      </c>
      <c r="L31" s="34">
        <v>26760</v>
      </c>
      <c r="M31" s="34">
        <v>61781</v>
      </c>
      <c r="N31" s="34">
        <v>7824</v>
      </c>
      <c r="O31" s="34">
        <v>50626</v>
      </c>
      <c r="P31" s="34">
        <v>78556</v>
      </c>
      <c r="Q31" s="34">
        <v>59491</v>
      </c>
      <c r="R31" s="34">
        <v>61781</v>
      </c>
      <c r="S31" s="34">
        <v>69271</v>
      </c>
      <c r="T31" s="34">
        <v>69271</v>
      </c>
      <c r="U31" s="34">
        <v>78556</v>
      </c>
      <c r="V31" s="34">
        <v>83556</v>
      </c>
      <c r="W31" s="34">
        <v>83556</v>
      </c>
      <c r="X31" s="34">
        <v>102296</v>
      </c>
      <c r="Y31" s="34">
        <v>107849</v>
      </c>
      <c r="Z31" s="34">
        <v>104013</v>
      </c>
      <c r="AA31" s="34">
        <v>116128</v>
      </c>
      <c r="AB31" s="34">
        <v>119873</v>
      </c>
      <c r="AC31" s="34">
        <v>124873</v>
      </c>
      <c r="AD31" s="34">
        <v>127657</v>
      </c>
      <c r="AE31" s="109">
        <f>+AD31/C54</f>
        <v>0.70920555555555553</v>
      </c>
      <c r="AF31" s="146">
        <f t="shared" si="24"/>
        <v>-0.54079444444444447</v>
      </c>
      <c r="BC31"/>
    </row>
    <row r="32" spans="2:55">
      <c r="B32" s="4" t="str">
        <f>+B21</f>
        <v>Boston</v>
      </c>
      <c r="C32" s="4"/>
      <c r="D32" s="4"/>
      <c r="E32" s="23"/>
      <c r="F32" s="122">
        <v>5100</v>
      </c>
      <c r="G32" s="34">
        <v>22130</v>
      </c>
      <c r="H32" s="34">
        <v>46110</v>
      </c>
      <c r="I32" s="34">
        <v>64590</v>
      </c>
      <c r="J32" s="34">
        <v>72585</v>
      </c>
      <c r="K32" s="34">
        <v>84080</v>
      </c>
      <c r="L32" s="34">
        <v>99420</v>
      </c>
      <c r="M32" s="34">
        <v>178573</v>
      </c>
      <c r="N32" s="34">
        <v>12345</v>
      </c>
      <c r="O32" s="34">
        <v>148033</v>
      </c>
      <c r="P32" s="34">
        <v>203053</v>
      </c>
      <c r="Q32" s="34">
        <v>165083</v>
      </c>
      <c r="R32" s="34">
        <v>178573</v>
      </c>
      <c r="S32" s="34">
        <v>187063</v>
      </c>
      <c r="T32" s="34">
        <v>200048</v>
      </c>
      <c r="U32" s="34">
        <v>203053</v>
      </c>
      <c r="V32" s="34">
        <v>203053</v>
      </c>
      <c r="W32" s="34">
        <v>222468</v>
      </c>
      <c r="X32" s="34">
        <v>229758</v>
      </c>
      <c r="Y32" s="34">
        <v>246753</v>
      </c>
      <c r="Z32" s="34">
        <v>253248</v>
      </c>
      <c r="AA32" s="34">
        <v>264243</v>
      </c>
      <c r="AB32" s="34">
        <v>270238</v>
      </c>
      <c r="AC32" s="34">
        <v>274778</v>
      </c>
      <c r="AD32" s="34">
        <v>274778</v>
      </c>
      <c r="AE32" s="109">
        <f>+AD32/C55</f>
        <v>0.84808024691358019</v>
      </c>
      <c r="AF32" s="146">
        <f t="shared" si="24"/>
        <v>-0.40191975308641981</v>
      </c>
      <c r="BC32"/>
    </row>
    <row r="33" spans="2:55" s="4" customFormat="1" ht="12.75">
      <c r="B33" s="4" t="str">
        <f>+B22</f>
        <v>Canada</v>
      </c>
      <c r="E33" s="23"/>
      <c r="F33" s="122">
        <v>0</v>
      </c>
      <c r="G33" s="34">
        <v>10990</v>
      </c>
      <c r="H33" s="34">
        <v>12985</v>
      </c>
      <c r="I33" s="34">
        <v>19926</v>
      </c>
      <c r="J33" s="34">
        <v>34421</v>
      </c>
      <c r="K33" s="34">
        <v>50906</v>
      </c>
      <c r="L33" s="34">
        <v>50028</v>
      </c>
      <c r="M33" s="34">
        <v>71583</v>
      </c>
      <c r="N33" s="34">
        <v>22354</v>
      </c>
      <c r="O33" s="34">
        <v>59476</v>
      </c>
      <c r="P33" s="34">
        <v>96834</v>
      </c>
      <c r="Q33" s="34">
        <v>62606</v>
      </c>
      <c r="R33" s="34">
        <v>75351</v>
      </c>
      <c r="S33" s="34">
        <v>91186</v>
      </c>
      <c r="T33" s="34">
        <v>101931</v>
      </c>
      <c r="U33" s="34">
        <v>96834</v>
      </c>
      <c r="V33" s="34">
        <v>101271</v>
      </c>
      <c r="W33" s="34">
        <v>106601</v>
      </c>
      <c r="X33" s="34">
        <v>108596</v>
      </c>
      <c r="Y33" s="34">
        <v>108596</v>
      </c>
      <c r="Z33" s="34">
        <v>114541</v>
      </c>
      <c r="AA33" s="34">
        <v>122291</v>
      </c>
      <c r="AB33" s="34">
        <v>127786</v>
      </c>
      <c r="AC33" s="34">
        <v>130781</v>
      </c>
      <c r="AD33" s="34">
        <v>139016</v>
      </c>
      <c r="AE33" s="109">
        <f>AD33/C56</f>
        <v>0.72404166666666669</v>
      </c>
      <c r="AF33" s="146">
        <f t="shared" si="24"/>
        <v>-0.52595833333333331</v>
      </c>
    </row>
    <row r="34" spans="2:55" s="4" customFormat="1" ht="12.75">
      <c r="B34" s="4" t="s">
        <v>99</v>
      </c>
      <c r="E34" s="23"/>
      <c r="F34" s="122">
        <v>0</v>
      </c>
      <c r="G34" s="34">
        <v>7695</v>
      </c>
      <c r="H34" s="34">
        <v>7695</v>
      </c>
      <c r="I34" s="34">
        <v>10390</v>
      </c>
      <c r="J34" s="34">
        <v>10390</v>
      </c>
      <c r="K34" s="34">
        <v>10390</v>
      </c>
      <c r="L34" s="34">
        <v>10390</v>
      </c>
      <c r="M34" s="34">
        <v>11890</v>
      </c>
      <c r="N34" s="34">
        <v>61236</v>
      </c>
      <c r="O34" s="34">
        <v>10390</v>
      </c>
      <c r="P34" s="34">
        <v>14505</v>
      </c>
      <c r="Q34" s="34">
        <v>11890</v>
      </c>
      <c r="R34" s="34">
        <v>11890</v>
      </c>
      <c r="S34" s="34">
        <v>11890</v>
      </c>
      <c r="T34" s="34">
        <v>14505</v>
      </c>
      <c r="U34" s="34">
        <v>14505</v>
      </c>
      <c r="V34" s="34">
        <v>14505</v>
      </c>
      <c r="W34" s="34">
        <v>14505</v>
      </c>
      <c r="X34" s="34">
        <v>18640</v>
      </c>
      <c r="Y34" s="34">
        <v>18640</v>
      </c>
      <c r="Z34" s="34">
        <v>19640</v>
      </c>
      <c r="AA34" s="34">
        <v>19640</v>
      </c>
      <c r="AB34" s="34">
        <v>19640</v>
      </c>
      <c r="AC34" s="34">
        <v>19640</v>
      </c>
      <c r="AD34" s="34">
        <v>19640</v>
      </c>
      <c r="AE34" s="109">
        <f>AD34/C57</f>
        <v>0.16366666666666665</v>
      </c>
      <c r="AF34" s="146">
        <f t="shared" si="24"/>
        <v>-1.0863333333333334</v>
      </c>
    </row>
    <row r="35" spans="2:55">
      <c r="B35" s="5" t="str">
        <f>+B24</f>
        <v>Norwich</v>
      </c>
      <c r="C35" s="19"/>
      <c r="D35" s="19"/>
      <c r="E35" s="35"/>
      <c r="F35" s="124">
        <v>33323</v>
      </c>
      <c r="G35" s="35">
        <v>54046</v>
      </c>
      <c r="H35" s="35">
        <v>71564</v>
      </c>
      <c r="I35" s="35">
        <v>92168</v>
      </c>
      <c r="J35" s="35">
        <v>128782</v>
      </c>
      <c r="K35" s="35">
        <v>129568</v>
      </c>
      <c r="L35" s="35">
        <v>172777</v>
      </c>
      <c r="M35" s="35">
        <v>239007</v>
      </c>
      <c r="N35" s="35">
        <v>116837</v>
      </c>
      <c r="O35" s="35">
        <v>201077</v>
      </c>
      <c r="P35" s="35">
        <v>271864</v>
      </c>
      <c r="Q35" s="35">
        <v>222900</v>
      </c>
      <c r="R35" s="35">
        <v>239007</v>
      </c>
      <c r="S35" s="35">
        <v>247972</v>
      </c>
      <c r="T35" s="35">
        <v>262996</v>
      </c>
      <c r="U35" s="35">
        <v>271864</v>
      </c>
      <c r="V35" s="35">
        <v>300115</v>
      </c>
      <c r="W35" s="35">
        <v>300115</v>
      </c>
      <c r="X35" s="35">
        <v>320395</v>
      </c>
      <c r="Y35" s="35">
        <v>339729</v>
      </c>
      <c r="Z35" s="35">
        <v>349452</v>
      </c>
      <c r="AA35" s="35">
        <v>359680</v>
      </c>
      <c r="AB35" s="35">
        <v>359679</v>
      </c>
      <c r="AC35" s="35">
        <v>361582</v>
      </c>
      <c r="AD35" s="35">
        <v>361582</v>
      </c>
      <c r="AE35" s="110">
        <f>+AD35/C58</f>
        <v>1.0793492537313434</v>
      </c>
      <c r="AF35" s="147">
        <f t="shared" si="24"/>
        <v>-0.17065074626865662</v>
      </c>
      <c r="BC35"/>
    </row>
    <row r="36" spans="2:55">
      <c r="B36" s="4" t="str">
        <f>+B25</f>
        <v>Group</v>
      </c>
      <c r="C36" s="4"/>
      <c r="D36" s="4"/>
      <c r="E36" s="4"/>
      <c r="F36" s="10">
        <f t="shared" ref="F36:AD36" si="25">SUM(F29:F35)</f>
        <v>47650</v>
      </c>
      <c r="G36" s="10">
        <f t="shared" si="25"/>
        <v>114828</v>
      </c>
      <c r="H36" s="10">
        <f t="shared" si="25"/>
        <v>169866</v>
      </c>
      <c r="I36" s="10">
        <f t="shared" si="25"/>
        <v>229726</v>
      </c>
      <c r="J36" s="10">
        <f t="shared" si="25"/>
        <v>321815</v>
      </c>
      <c r="K36" s="10">
        <f t="shared" si="25"/>
        <v>376816</v>
      </c>
      <c r="L36" s="10">
        <f t="shared" si="25"/>
        <v>452570</v>
      </c>
      <c r="M36" s="10">
        <f t="shared" si="25"/>
        <v>743960</v>
      </c>
      <c r="N36" s="10">
        <f t="shared" si="25"/>
        <v>415521</v>
      </c>
      <c r="O36" s="10">
        <f t="shared" si="25"/>
        <v>599988</v>
      </c>
      <c r="P36" s="10">
        <f t="shared" si="25"/>
        <v>897252</v>
      </c>
      <c r="Q36" s="10">
        <f t="shared" si="25"/>
        <v>685706</v>
      </c>
      <c r="R36" s="10">
        <f t="shared" si="25"/>
        <v>747728</v>
      </c>
      <c r="S36" s="10">
        <f t="shared" si="25"/>
        <v>788508</v>
      </c>
      <c r="T36" s="10">
        <f t="shared" si="25"/>
        <v>855607</v>
      </c>
      <c r="U36" s="10">
        <f t="shared" si="25"/>
        <v>897252</v>
      </c>
      <c r="V36" s="10">
        <f t="shared" si="25"/>
        <v>959620</v>
      </c>
      <c r="W36" s="10">
        <f t="shared" si="25"/>
        <v>984365</v>
      </c>
      <c r="X36" s="10">
        <f t="shared" si="25"/>
        <v>1040193</v>
      </c>
      <c r="Y36" s="10">
        <f t="shared" si="25"/>
        <v>1103400</v>
      </c>
      <c r="Z36" s="10">
        <f t="shared" si="25"/>
        <v>1137347</v>
      </c>
      <c r="AA36" s="10">
        <f t="shared" si="25"/>
        <v>1190780</v>
      </c>
      <c r="AB36" s="10">
        <f t="shared" si="25"/>
        <v>1220449</v>
      </c>
      <c r="AC36" s="10">
        <f t="shared" si="25"/>
        <v>1237462</v>
      </c>
      <c r="AD36" s="10">
        <f t="shared" si="25"/>
        <v>1257542</v>
      </c>
      <c r="AE36" s="111">
        <f>+AD36/C59</f>
        <v>0.74366765227675935</v>
      </c>
      <c r="AF36" s="148">
        <f t="shared" si="24"/>
        <v>-0.50633234772324065</v>
      </c>
      <c r="BC36"/>
    </row>
    <row r="37" spans="2:55" s="1" customFormat="1" ht="11.25">
      <c r="B37" s="1" t="s">
        <v>34</v>
      </c>
      <c r="E37" s="30"/>
      <c r="F37" s="30">
        <f t="shared" ref="F37:N37" si="26">+F36/$C$59</f>
        <v>2.8178592548787698E-2</v>
      </c>
      <c r="G37" s="30">
        <f t="shared" si="26"/>
        <v>6.790538143110586E-2</v>
      </c>
      <c r="H37" s="30">
        <f t="shared" si="26"/>
        <v>0.10045298639858072</v>
      </c>
      <c r="I37" s="30">
        <f t="shared" si="26"/>
        <v>0.13585215848610291</v>
      </c>
      <c r="J37" s="30">
        <f t="shared" si="26"/>
        <v>0.19031046717918393</v>
      </c>
      <c r="K37" s="30">
        <f t="shared" si="26"/>
        <v>0.22283619160260201</v>
      </c>
      <c r="L37" s="30">
        <f t="shared" si="26"/>
        <v>0.26763453577764634</v>
      </c>
      <c r="M37" s="30">
        <f t="shared" si="26"/>
        <v>0.43995269071555293</v>
      </c>
      <c r="N37" s="30">
        <f t="shared" si="26"/>
        <v>0.2457250147841514</v>
      </c>
      <c r="O37" s="30">
        <f>+O36/$C$59</f>
        <v>0.35481253696037846</v>
      </c>
      <c r="P37" s="30">
        <f t="shared" ref="P37:AD37" si="27">+P36/$C$59</f>
        <v>0.53060437610881139</v>
      </c>
      <c r="Q37" s="30">
        <f t="shared" si="27"/>
        <v>0.40550325251330571</v>
      </c>
      <c r="R37" s="30">
        <f t="shared" si="27"/>
        <v>0.44218095801301005</v>
      </c>
      <c r="S37" s="30">
        <f t="shared" si="27"/>
        <v>0.46629686575990537</v>
      </c>
      <c r="T37" s="30">
        <f t="shared" si="27"/>
        <v>0.50597693672383204</v>
      </c>
      <c r="U37" s="30">
        <f t="shared" si="27"/>
        <v>0.53060437610881139</v>
      </c>
      <c r="V37" s="30">
        <f t="shared" si="27"/>
        <v>0.56748669426374931</v>
      </c>
      <c r="W37" s="30">
        <f t="shared" si="27"/>
        <v>0.58212004730928446</v>
      </c>
      <c r="X37" s="30">
        <f t="shared" si="27"/>
        <v>0.61513483146067416</v>
      </c>
      <c r="Y37" s="30">
        <f t="shared" si="27"/>
        <v>0.65251330573625077</v>
      </c>
      <c r="Z37" s="30">
        <f t="shared" si="27"/>
        <v>0.67258840922531049</v>
      </c>
      <c r="AA37" s="30">
        <f t="shared" si="27"/>
        <v>0.70418687167356597</v>
      </c>
      <c r="AB37" s="30">
        <f t="shared" si="27"/>
        <v>0.72173211117681846</v>
      </c>
      <c r="AC37" s="30">
        <f t="shared" si="27"/>
        <v>0.73179302188054407</v>
      </c>
      <c r="AD37" s="30">
        <f t="shared" si="27"/>
        <v>0.74366765227675935</v>
      </c>
    </row>
    <row r="38" spans="2:55" s="1" customFormat="1" ht="11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55">
      <c r="B39" s="9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BC39"/>
    </row>
    <row r="40" spans="2:55">
      <c r="B40" s="4"/>
      <c r="C40" s="4"/>
      <c r="D40" s="4"/>
      <c r="E40" s="4"/>
      <c r="F40" s="4" t="str">
        <f>+F17</f>
        <v>Day 1</v>
      </c>
      <c r="G40" s="4" t="str">
        <f t="shared" ref="G40:AD40" si="28">+G17</f>
        <v>Day 2</v>
      </c>
      <c r="H40" s="4" t="str">
        <f t="shared" si="28"/>
        <v>Day 3</v>
      </c>
      <c r="I40" s="4" t="str">
        <f t="shared" si="28"/>
        <v>Day 4</v>
      </c>
      <c r="J40" s="4" t="str">
        <f t="shared" si="28"/>
        <v>Day 5</v>
      </c>
      <c r="K40" s="4" t="str">
        <f t="shared" si="28"/>
        <v>Day 6</v>
      </c>
      <c r="L40" s="4" t="str">
        <f t="shared" si="28"/>
        <v>Day 7</v>
      </c>
      <c r="M40" s="4" t="str">
        <f t="shared" si="28"/>
        <v>Day 8</v>
      </c>
      <c r="N40" s="4" t="str">
        <f t="shared" si="28"/>
        <v>Day 9</v>
      </c>
      <c r="O40" s="4" t="str">
        <f t="shared" si="28"/>
        <v>Day 10</v>
      </c>
      <c r="P40" s="4" t="str">
        <f t="shared" si="28"/>
        <v>Day 11</v>
      </c>
      <c r="Q40" s="4" t="str">
        <f t="shared" si="28"/>
        <v>Day 12</v>
      </c>
      <c r="R40" s="4" t="str">
        <f t="shared" si="28"/>
        <v>Day 13</v>
      </c>
      <c r="S40" s="4" t="str">
        <f t="shared" si="28"/>
        <v>Day 14</v>
      </c>
      <c r="T40" s="4" t="str">
        <f t="shared" si="28"/>
        <v>Day 15</v>
      </c>
      <c r="U40" s="4" t="str">
        <f t="shared" si="28"/>
        <v>Day 16</v>
      </c>
      <c r="V40" s="4" t="str">
        <f t="shared" si="28"/>
        <v>Day 17</v>
      </c>
      <c r="W40" s="4" t="str">
        <f t="shared" si="28"/>
        <v>Day 18</v>
      </c>
      <c r="X40" s="4" t="str">
        <f t="shared" si="28"/>
        <v>Day 19</v>
      </c>
      <c r="Y40" s="4" t="str">
        <f t="shared" si="28"/>
        <v>Day 20</v>
      </c>
      <c r="Z40" s="4" t="str">
        <f t="shared" si="28"/>
        <v>Day 21</v>
      </c>
      <c r="AA40" s="4" t="str">
        <f t="shared" si="28"/>
        <v>Day 22</v>
      </c>
      <c r="AB40" s="4" t="str">
        <f t="shared" si="28"/>
        <v>Day 23</v>
      </c>
      <c r="AC40" s="4" t="str">
        <f t="shared" si="28"/>
        <v>Day 24</v>
      </c>
      <c r="AD40" s="4" t="str">
        <f t="shared" si="28"/>
        <v>Day 25</v>
      </c>
      <c r="AE40" s="181" t="s">
        <v>68</v>
      </c>
      <c r="AF40" s="182"/>
      <c r="BC40"/>
    </row>
    <row r="41" spans="2:55">
      <c r="B41" s="4" t="s">
        <v>0</v>
      </c>
      <c r="C41" s="17"/>
      <c r="D41" s="17"/>
      <c r="E41" s="17"/>
      <c r="F41" s="17">
        <f>(F52/$C$52)</f>
        <v>0.1763888888888889</v>
      </c>
      <c r="G41" s="17">
        <f t="shared" ref="G41:Y41" si="29">(G52/$C$52)</f>
        <v>0.17555555555555555</v>
      </c>
      <c r="H41" s="17">
        <f t="shared" si="29"/>
        <v>0.33083333333333331</v>
      </c>
      <c r="I41" s="17">
        <f t="shared" si="29"/>
        <v>0.3354861111111111</v>
      </c>
      <c r="J41" s="17">
        <f t="shared" si="29"/>
        <v>0.44622222222222224</v>
      </c>
      <c r="K41" s="17">
        <f t="shared" si="29"/>
        <v>0.47870370370370363</v>
      </c>
      <c r="L41" s="17">
        <f t="shared" si="29"/>
        <v>0.56115079365079368</v>
      </c>
      <c r="M41" s="17">
        <f t="shared" si="29"/>
        <v>1.0121944444444444</v>
      </c>
      <c r="N41" s="17">
        <f t="shared" si="29"/>
        <v>0.44020370370370371</v>
      </c>
      <c r="O41" s="17">
        <f t="shared" si="29"/>
        <v>0.56947777777777775</v>
      </c>
      <c r="P41" s="17">
        <f t="shared" si="29"/>
        <v>0.93275252525252528</v>
      </c>
      <c r="Q41" s="17">
        <f t="shared" si="29"/>
        <v>0.61648611111111107</v>
      </c>
      <c r="R41" s="17">
        <f t="shared" si="29"/>
        <v>0.62288888888888894</v>
      </c>
      <c r="S41" s="17">
        <f t="shared" si="29"/>
        <v>0.57839682539682535</v>
      </c>
      <c r="T41" s="17">
        <f t="shared" si="29"/>
        <v>0.59924444444444447</v>
      </c>
      <c r="U41" s="17">
        <f t="shared" si="29"/>
        <v>0.64126736111111116</v>
      </c>
      <c r="V41" s="17">
        <f t="shared" si="29"/>
        <v>0.6515359477124183</v>
      </c>
      <c r="W41" s="17">
        <f t="shared" si="29"/>
        <v>0.6153395061728395</v>
      </c>
      <c r="X41" s="17">
        <f t="shared" si="29"/>
        <v>0.59285964912280709</v>
      </c>
      <c r="Y41" s="17">
        <f t="shared" si="29"/>
        <v>0.62245277777777774</v>
      </c>
      <c r="Z41" s="17">
        <f t="shared" ref="Z41:AD41" si="30">(Z52/$C$52)</f>
        <v>0.62435978835978834</v>
      </c>
      <c r="AA41" s="17">
        <f t="shared" si="30"/>
        <v>0.61504545454545456</v>
      </c>
      <c r="AB41" s="17">
        <f t="shared" si="30"/>
        <v>0.62317149758454116</v>
      </c>
      <c r="AC41" s="17">
        <f t="shared" si="30"/>
        <v>0.59969444444444442</v>
      </c>
      <c r="AD41" s="17">
        <f t="shared" si="30"/>
        <v>0.59584222222222227</v>
      </c>
      <c r="AE41" s="158" t="s">
        <v>71</v>
      </c>
      <c r="AF41" s="138">
        <v>280000</v>
      </c>
      <c r="BC41"/>
    </row>
    <row r="42" spans="2:55">
      <c r="B42" s="4" t="s">
        <v>64</v>
      </c>
      <c r="C42" s="17"/>
      <c r="D42" s="17"/>
      <c r="E42" s="17"/>
      <c r="F42" s="17">
        <f>(F53/$C$53)</f>
        <v>0</v>
      </c>
      <c r="G42" s="17">
        <f t="shared" ref="G42:Y42" si="31">(G53/$C$53)</f>
        <v>0.32194444444444442</v>
      </c>
      <c r="H42" s="17">
        <f t="shared" si="31"/>
        <v>0.21462962962962964</v>
      </c>
      <c r="I42" s="17">
        <f t="shared" si="31"/>
        <v>0.23583333333333334</v>
      </c>
      <c r="J42" s="17">
        <f t="shared" si="31"/>
        <v>0.27755555555555556</v>
      </c>
      <c r="K42" s="17">
        <f t="shared" si="31"/>
        <v>0.41648148148148151</v>
      </c>
      <c r="L42" s="17">
        <f t="shared" si="31"/>
        <v>0.35698412698412696</v>
      </c>
      <c r="M42" s="17">
        <f t="shared" si="31"/>
        <v>0.49125000000000002</v>
      </c>
      <c r="N42" s="17">
        <f t="shared" si="31"/>
        <v>1.5260740740740739</v>
      </c>
      <c r="O42" s="17">
        <f t="shared" si="31"/>
        <v>0.30977777777777776</v>
      </c>
      <c r="P42" s="17">
        <f t="shared" si="31"/>
        <v>0.48237373737373734</v>
      </c>
      <c r="Q42" s="17">
        <f t="shared" si="31"/>
        <v>0.28310185185185183</v>
      </c>
      <c r="R42" s="17">
        <f t="shared" si="31"/>
        <v>0.30230769230769233</v>
      </c>
      <c r="S42" s="17">
        <f t="shared" si="31"/>
        <v>0.28071428571428575</v>
      </c>
      <c r="T42" s="17">
        <f t="shared" si="31"/>
        <v>0.33377777777777778</v>
      </c>
      <c r="U42" s="17">
        <f t="shared" si="31"/>
        <v>0.33163194444444444</v>
      </c>
      <c r="V42" s="17">
        <f t="shared" si="31"/>
        <v>0.37745098039215685</v>
      </c>
      <c r="W42" s="17">
        <f t="shared" si="31"/>
        <v>0.35648148148148151</v>
      </c>
      <c r="X42" s="17">
        <f t="shared" si="31"/>
        <v>0.33771929824561403</v>
      </c>
      <c r="Y42" s="17">
        <f t="shared" si="31"/>
        <v>0.32083333333333336</v>
      </c>
      <c r="Z42" s="17">
        <f t="shared" ref="Z42:AD42" si="32">(Z53/$C$53)</f>
        <v>0.31981481481481483</v>
      </c>
      <c r="AA42" s="17">
        <f t="shared" si="32"/>
        <v>0.32949494949494951</v>
      </c>
      <c r="AB42" s="17">
        <f t="shared" si="32"/>
        <v>0.31516908212560391</v>
      </c>
      <c r="AC42" s="17">
        <f t="shared" si="32"/>
        <v>0.30898148148148152</v>
      </c>
      <c r="AD42" s="17">
        <f t="shared" si="32"/>
        <v>0.29662222222222223</v>
      </c>
      <c r="AE42" s="158" t="s">
        <v>72</v>
      </c>
      <c r="AF42" s="138">
        <v>60000</v>
      </c>
      <c r="BC42"/>
    </row>
    <row r="43" spans="2:55">
      <c r="B43" s="4" t="str">
        <f>+B31</f>
        <v>Brazil</v>
      </c>
      <c r="C43" s="17"/>
      <c r="D43" s="17"/>
      <c r="E43" s="17"/>
      <c r="F43" s="17">
        <f t="shared" ref="F43:Y43" si="33">(F54/$C$54)</f>
        <v>0.6724444444444444</v>
      </c>
      <c r="G43" s="17">
        <f t="shared" si="33"/>
        <v>0.43622222222222223</v>
      </c>
      <c r="H43" s="17">
        <f t="shared" si="33"/>
        <v>0.29081481481481486</v>
      </c>
      <c r="I43" s="17">
        <f t="shared" si="33"/>
        <v>0.27797222222222223</v>
      </c>
      <c r="J43" s="17">
        <f t="shared" si="33"/>
        <v>0.51082222222222218</v>
      </c>
      <c r="K43" s="17">
        <f t="shared" si="33"/>
        <v>0.51262962962962966</v>
      </c>
      <c r="L43" s="17">
        <f t="shared" si="33"/>
        <v>0.42476190476190473</v>
      </c>
      <c r="M43" s="17">
        <f t="shared" si="33"/>
        <v>0.85806944444444444</v>
      </c>
      <c r="N43" s="17">
        <f t="shared" si="33"/>
        <v>9.6592592592592605E-2</v>
      </c>
      <c r="O43" s="17">
        <f t="shared" si="33"/>
        <v>0.56251111111111107</v>
      </c>
      <c r="P43" s="17">
        <f t="shared" si="33"/>
        <v>0.79349494949494948</v>
      </c>
      <c r="Q43" s="17">
        <f t="shared" si="33"/>
        <v>0.55084259259259249</v>
      </c>
      <c r="R43" s="17">
        <f t="shared" si="33"/>
        <v>0.52804273504273502</v>
      </c>
      <c r="S43" s="17">
        <f t="shared" si="33"/>
        <v>0.5497698412698413</v>
      </c>
      <c r="T43" s="17">
        <f t="shared" si="33"/>
        <v>0.51311851851851853</v>
      </c>
      <c r="U43" s="17">
        <f t="shared" si="33"/>
        <v>0.54552777777777772</v>
      </c>
      <c r="V43" s="17">
        <f t="shared" si="33"/>
        <v>0.5461176470588236</v>
      </c>
      <c r="W43" s="17">
        <f t="shared" si="33"/>
        <v>0.51577777777777778</v>
      </c>
      <c r="X43" s="17">
        <f t="shared" si="33"/>
        <v>0.59822222222222221</v>
      </c>
      <c r="Y43" s="17">
        <f t="shared" si="33"/>
        <v>0.59916111111111114</v>
      </c>
      <c r="Z43" s="17">
        <f t="shared" ref="Z43:AD43" si="34">(Z54/$C$54)</f>
        <v>0.55033333333333334</v>
      </c>
      <c r="AA43" s="17">
        <f t="shared" si="34"/>
        <v>0.58650505050505053</v>
      </c>
      <c r="AB43" s="17">
        <f t="shared" si="34"/>
        <v>0.57909661835748794</v>
      </c>
      <c r="AC43" s="17">
        <f t="shared" si="34"/>
        <v>0.57811574074074079</v>
      </c>
      <c r="AD43" s="17">
        <f t="shared" si="34"/>
        <v>0.56736444444444445</v>
      </c>
      <c r="AE43" s="158" t="s">
        <v>94</v>
      </c>
      <c r="AF43" s="158">
        <v>105000</v>
      </c>
      <c r="BC43"/>
    </row>
    <row r="44" spans="2:55">
      <c r="B44" s="4" t="str">
        <f>+B32</f>
        <v>Boston</v>
      </c>
      <c r="C44" s="17"/>
      <c r="D44" s="17"/>
      <c r="E44" s="17"/>
      <c r="F44" s="17">
        <f>(F55/$C$55)</f>
        <v>0.31481481481481483</v>
      </c>
      <c r="G44" s="17">
        <f t="shared" ref="G44:Y44" si="35">(G55/$C$55)</f>
        <v>0.68302469135802468</v>
      </c>
      <c r="H44" s="17">
        <f t="shared" si="35"/>
        <v>0.9487654320987654</v>
      </c>
      <c r="I44" s="17">
        <f t="shared" si="35"/>
        <v>0.99675925925925923</v>
      </c>
      <c r="J44" s="17">
        <f t="shared" si="35"/>
        <v>0.89611111111111108</v>
      </c>
      <c r="K44" s="17">
        <f t="shared" si="35"/>
        <v>0.86502057613168726</v>
      </c>
      <c r="L44" s="17">
        <f t="shared" si="35"/>
        <v>0.87671957671957668</v>
      </c>
      <c r="M44" s="17">
        <f t="shared" si="35"/>
        <v>1.3778780864197531</v>
      </c>
      <c r="N44" s="17">
        <f t="shared" si="35"/>
        <v>8.4670781893004129E-2</v>
      </c>
      <c r="O44" s="17">
        <f t="shared" si="35"/>
        <v>0.9137839506172839</v>
      </c>
      <c r="P44" s="17">
        <f t="shared" si="35"/>
        <v>1.1394668911335577</v>
      </c>
      <c r="Q44" s="17">
        <f t="shared" si="35"/>
        <v>0.84919238683127563</v>
      </c>
      <c r="R44" s="17">
        <f t="shared" si="35"/>
        <v>0.84792497625830965</v>
      </c>
      <c r="S44" s="17">
        <f t="shared" si="35"/>
        <v>0.82479276895943565</v>
      </c>
      <c r="T44" s="17">
        <f t="shared" si="35"/>
        <v>0.82324279835390934</v>
      </c>
      <c r="U44" s="17">
        <f t="shared" si="35"/>
        <v>0.78338348765432098</v>
      </c>
      <c r="V44" s="17">
        <f t="shared" si="35"/>
        <v>0.73730210602759627</v>
      </c>
      <c r="W44" s="17">
        <f t="shared" si="35"/>
        <v>0.76292181069958853</v>
      </c>
      <c r="X44" s="17">
        <f t="shared" si="35"/>
        <v>0.74645224171539959</v>
      </c>
      <c r="Y44" s="17">
        <f t="shared" si="35"/>
        <v>0.76158333333333328</v>
      </c>
      <c r="Z44" s="17">
        <f t="shared" ref="Z44:AD44" si="36">(Z55/$C$55)</f>
        <v>0.74440917107583771</v>
      </c>
      <c r="AA44" s="17">
        <f t="shared" si="36"/>
        <v>0.74142255892255893</v>
      </c>
      <c r="AB44" s="17">
        <f t="shared" si="36"/>
        <v>0.7252764358561461</v>
      </c>
      <c r="AC44" s="17">
        <f t="shared" si="36"/>
        <v>0.70673353909465031</v>
      </c>
      <c r="AD44" s="17">
        <f t="shared" si="36"/>
        <v>0.67846419753086429</v>
      </c>
      <c r="AE44" s="160" t="s">
        <v>73</v>
      </c>
      <c r="AF44" s="138">
        <v>260000</v>
      </c>
      <c r="BC44"/>
    </row>
    <row r="45" spans="2:55">
      <c r="B45" s="4" t="s">
        <v>2</v>
      </c>
      <c r="C45" s="17"/>
      <c r="D45" s="17"/>
      <c r="E45" s="17"/>
      <c r="F45" s="17">
        <f t="shared" ref="F45:Y46" si="37">(F56/$C$56)</f>
        <v>0</v>
      </c>
      <c r="G45" s="17">
        <f t="shared" si="37"/>
        <v>0.57239583333333333</v>
      </c>
      <c r="H45" s="17">
        <f t="shared" si="37"/>
        <v>0.45086805555555548</v>
      </c>
      <c r="I45" s="17">
        <f t="shared" si="37"/>
        <v>0.51890625000000001</v>
      </c>
      <c r="J45" s="17">
        <f t="shared" si="37"/>
        <v>0.71710416666666665</v>
      </c>
      <c r="K45" s="17">
        <f t="shared" si="37"/>
        <v>0.88378472222222237</v>
      </c>
      <c r="L45" s="17">
        <f t="shared" si="37"/>
        <v>0.7444642857142858</v>
      </c>
      <c r="M45" s="17">
        <f t="shared" si="37"/>
        <v>0.93207031250000005</v>
      </c>
      <c r="N45" s="17">
        <f t="shared" si="37"/>
        <v>0.25872685185185185</v>
      </c>
      <c r="O45" s="17">
        <f t="shared" si="37"/>
        <v>0.61954166666666666</v>
      </c>
      <c r="P45" s="17">
        <f t="shared" si="37"/>
        <v>0.91698863636363648</v>
      </c>
      <c r="Q45" s="17">
        <f t="shared" si="37"/>
        <v>0.54345486111111119</v>
      </c>
      <c r="R45" s="17">
        <f t="shared" si="37"/>
        <v>0.60377403846153854</v>
      </c>
      <c r="S45" s="17">
        <f t="shared" si="37"/>
        <v>0.67846726190476192</v>
      </c>
      <c r="T45" s="17">
        <f t="shared" si="37"/>
        <v>0.70785416666666667</v>
      </c>
      <c r="U45" s="17">
        <f t="shared" si="37"/>
        <v>0.63042968749999995</v>
      </c>
      <c r="V45" s="17">
        <f t="shared" si="37"/>
        <v>0.62053308823529418</v>
      </c>
      <c r="W45" s="17">
        <f t="shared" si="37"/>
        <v>0.61690393518518516</v>
      </c>
      <c r="X45" s="17">
        <f t="shared" si="37"/>
        <v>0.5953728070175438</v>
      </c>
      <c r="Y45" s="17">
        <f t="shared" si="37"/>
        <v>0.56560416666666669</v>
      </c>
      <c r="Z45" s="17">
        <f t="shared" ref="Z45:AD45" si="38">(Z56/$C$56)</f>
        <v>0.56815972222222222</v>
      </c>
      <c r="AA45" s="17">
        <f t="shared" si="38"/>
        <v>0.57902935606060602</v>
      </c>
      <c r="AB45" s="17">
        <f t="shared" si="38"/>
        <v>0.57874094202898552</v>
      </c>
      <c r="AC45" s="17">
        <f t="shared" si="38"/>
        <v>0.56762586805555548</v>
      </c>
      <c r="AD45" s="17">
        <f t="shared" si="38"/>
        <v>0.57923333333333338</v>
      </c>
      <c r="AE45" s="160" t="s">
        <v>74</v>
      </c>
      <c r="AF45" s="138">
        <v>140000</v>
      </c>
      <c r="BC45"/>
    </row>
    <row r="46" spans="2:55">
      <c r="B46" s="4" t="s">
        <v>99</v>
      </c>
      <c r="C46" s="17"/>
      <c r="D46" s="17"/>
      <c r="E46" s="17"/>
      <c r="F46" s="17">
        <f t="shared" si="37"/>
        <v>0</v>
      </c>
      <c r="G46" s="17">
        <f t="shared" si="37"/>
        <v>0.40078124999999998</v>
      </c>
      <c r="H46" s="17">
        <f t="shared" si="37"/>
        <v>0.26718750000000002</v>
      </c>
      <c r="I46" s="17">
        <f t="shared" si="37"/>
        <v>0.27057291666666666</v>
      </c>
      <c r="J46" s="17">
        <f t="shared" si="37"/>
        <v>0.21645833333333334</v>
      </c>
      <c r="K46" s="17">
        <f t="shared" si="37"/>
        <v>0.18038194444444447</v>
      </c>
      <c r="L46" s="17">
        <f t="shared" si="37"/>
        <v>0.15461309523809522</v>
      </c>
      <c r="M46" s="17">
        <f t="shared" si="37"/>
        <v>0.15481770833333333</v>
      </c>
      <c r="N46" s="17">
        <f t="shared" si="37"/>
        <v>0.70874999999999999</v>
      </c>
      <c r="O46" s="17">
        <f t="shared" si="37"/>
        <v>0.10822916666666667</v>
      </c>
      <c r="P46" s="17">
        <f t="shared" si="37"/>
        <v>0.13735795454545457</v>
      </c>
      <c r="Q46" s="17">
        <f t="shared" si="37"/>
        <v>0.10321180555555556</v>
      </c>
      <c r="R46" s="17">
        <f t="shared" si="37"/>
        <v>9.5272435897435892E-2</v>
      </c>
      <c r="S46" s="17">
        <f t="shared" si="37"/>
        <v>8.846726190476191E-2</v>
      </c>
      <c r="T46" s="17">
        <f t="shared" si="37"/>
        <v>0.10072916666666666</v>
      </c>
      <c r="U46" s="17">
        <f t="shared" si="37"/>
        <v>9.4433593750000003E-2</v>
      </c>
      <c r="V46" s="17">
        <f t="shared" si="37"/>
        <v>8.8878676470588239E-2</v>
      </c>
      <c r="W46" s="17">
        <f t="shared" si="37"/>
        <v>8.3940972222222229E-2</v>
      </c>
      <c r="X46" s="17">
        <f t="shared" si="37"/>
        <v>0.10219298245614035</v>
      </c>
      <c r="Y46" s="17">
        <f t="shared" si="37"/>
        <v>9.7083333333333327E-2</v>
      </c>
      <c r="Z46" s="17">
        <f t="shared" ref="Z46:AD46" si="39">(Z57/$C$56)</f>
        <v>9.7420634920634921E-2</v>
      </c>
      <c r="AA46" s="17">
        <f t="shared" si="39"/>
        <v>9.2992424242424251E-2</v>
      </c>
      <c r="AB46" s="17">
        <f t="shared" si="39"/>
        <v>8.8949275362318836E-2</v>
      </c>
      <c r="AC46" s="17">
        <f t="shared" si="39"/>
        <v>8.5243055555555558E-2</v>
      </c>
      <c r="AD46" s="17">
        <f t="shared" si="39"/>
        <v>8.1833333333333327E-2</v>
      </c>
      <c r="AE46" s="160" t="s">
        <v>99</v>
      </c>
      <c r="AF46" s="138">
        <v>25000</v>
      </c>
      <c r="BC46"/>
    </row>
    <row r="47" spans="2:55">
      <c r="B47" s="4" t="s">
        <v>3</v>
      </c>
      <c r="C47" s="18"/>
      <c r="D47" s="18"/>
      <c r="E47" s="18"/>
      <c r="F47" s="18">
        <f t="shared" ref="F47:Y47" si="40">(F58/$C$58)</f>
        <v>1.9894328358208955</v>
      </c>
      <c r="G47" s="18">
        <f t="shared" si="40"/>
        <v>1.613313432835821</v>
      </c>
      <c r="H47" s="18">
        <f t="shared" si="40"/>
        <v>1.4241592039800997</v>
      </c>
      <c r="I47" s="18">
        <f t="shared" si="40"/>
        <v>1.375641791044776</v>
      </c>
      <c r="J47" s="18">
        <f t="shared" si="40"/>
        <v>1.5376955223880597</v>
      </c>
      <c r="K47" s="18">
        <f t="shared" si="40"/>
        <v>1.2892338308457714</v>
      </c>
      <c r="L47" s="18">
        <f t="shared" si="40"/>
        <v>1.4735778251599148</v>
      </c>
      <c r="M47" s="18">
        <f t="shared" si="40"/>
        <v>1.783634328358209</v>
      </c>
      <c r="N47" s="18">
        <f t="shared" si="40"/>
        <v>0.77503814262023218</v>
      </c>
      <c r="O47" s="18">
        <f t="shared" si="40"/>
        <v>1.2004597014925373</v>
      </c>
      <c r="P47" s="18">
        <f t="shared" si="40"/>
        <v>1.475516960651289</v>
      </c>
      <c r="Q47" s="18">
        <f t="shared" si="40"/>
        <v>1.1089552238805971</v>
      </c>
      <c r="R47" s="18">
        <f t="shared" si="40"/>
        <v>1.0976211251435133</v>
      </c>
      <c r="S47" s="18">
        <f t="shared" si="40"/>
        <v>1.0574498933901919</v>
      </c>
      <c r="T47" s="18">
        <f t="shared" si="40"/>
        <v>1.0467502487562188</v>
      </c>
      <c r="U47" s="18">
        <f t="shared" si="40"/>
        <v>1.0144179104477611</v>
      </c>
      <c r="V47" s="18">
        <f t="shared" si="40"/>
        <v>1.0539596136962248</v>
      </c>
      <c r="W47" s="18">
        <f t="shared" si="40"/>
        <v>0.9954063018242123</v>
      </c>
      <c r="X47" s="18">
        <f t="shared" si="40"/>
        <v>1.006739984289081</v>
      </c>
      <c r="Y47" s="18">
        <f t="shared" si="40"/>
        <v>1.0141164179104478</v>
      </c>
      <c r="Z47" s="18">
        <f t="shared" ref="Z47:AD47" si="41">(Z58/$C$58)</f>
        <v>0.99346695095948812</v>
      </c>
      <c r="AA47" s="18">
        <f t="shared" si="41"/>
        <v>0.97606512890094976</v>
      </c>
      <c r="AB47" s="18">
        <f t="shared" si="41"/>
        <v>0.93362491888384169</v>
      </c>
      <c r="AC47" s="18">
        <f t="shared" si="41"/>
        <v>0.89945771144278597</v>
      </c>
      <c r="AD47" s="18">
        <f t="shared" si="41"/>
        <v>0.86347940298507475</v>
      </c>
      <c r="AE47" s="159" t="s">
        <v>76</v>
      </c>
      <c r="AF47" s="138">
        <v>335000</v>
      </c>
      <c r="BC47"/>
    </row>
    <row r="48" spans="2:55">
      <c r="B48" s="14" t="s">
        <v>27</v>
      </c>
      <c r="C48" s="17"/>
      <c r="D48" s="17"/>
      <c r="E48" s="17"/>
      <c r="F48" s="17">
        <f t="shared" ref="F48:AD48" si="42">(F59/$C$59)</f>
        <v>0.56357185097575402</v>
      </c>
      <c r="G48" s="17">
        <f t="shared" si="42"/>
        <v>0.67905381431105849</v>
      </c>
      <c r="H48" s="17">
        <f t="shared" si="42"/>
        <v>0.66968657599053816</v>
      </c>
      <c r="I48" s="17">
        <f t="shared" si="42"/>
        <v>0.67926079243051452</v>
      </c>
      <c r="J48" s="17">
        <f t="shared" si="42"/>
        <v>0.76124186871673571</v>
      </c>
      <c r="K48" s="17">
        <f t="shared" si="42"/>
        <v>0.74278730534200677</v>
      </c>
      <c r="L48" s="17">
        <f t="shared" si="42"/>
        <v>0.76467010222184684</v>
      </c>
      <c r="M48" s="17">
        <f t="shared" si="42"/>
        <v>1.0998817267888823</v>
      </c>
      <c r="N48" s="17">
        <f t="shared" si="42"/>
        <v>0.54605558840922519</v>
      </c>
      <c r="O48" s="17">
        <f t="shared" si="42"/>
        <v>0.70962507392075691</v>
      </c>
      <c r="P48" s="17">
        <f t="shared" si="42"/>
        <v>0.96473522928874789</v>
      </c>
      <c r="Q48" s="17">
        <f t="shared" si="42"/>
        <v>0.67583875418884287</v>
      </c>
      <c r="R48" s="17">
        <f t="shared" si="42"/>
        <v>0.68027839694309244</v>
      </c>
      <c r="S48" s="17">
        <f t="shared" si="42"/>
        <v>0.66613837965700773</v>
      </c>
      <c r="T48" s="17">
        <f t="shared" si="42"/>
        <v>0.67463591563177605</v>
      </c>
      <c r="U48" s="17">
        <f t="shared" si="42"/>
        <v>0.66325547013601416</v>
      </c>
      <c r="V48" s="17">
        <f t="shared" si="42"/>
        <v>0.66763140501617568</v>
      </c>
      <c r="W48" s="17">
        <f t="shared" si="42"/>
        <v>0.64680005256587159</v>
      </c>
      <c r="X48" s="17">
        <f t="shared" si="42"/>
        <v>0.64751034890597281</v>
      </c>
      <c r="Y48" s="17">
        <f t="shared" si="42"/>
        <v>0.65251330573625077</v>
      </c>
      <c r="Z48" s="17">
        <f t="shared" si="42"/>
        <v>0.6405603897383908</v>
      </c>
      <c r="AA48" s="17">
        <f t="shared" si="42"/>
        <v>0.64016988333960534</v>
      </c>
      <c r="AB48" s="17">
        <f t="shared" si="42"/>
        <v>0.62759314015375522</v>
      </c>
      <c r="AC48" s="17">
        <f t="shared" si="42"/>
        <v>0.60982751823378667</v>
      </c>
      <c r="AD48" s="17">
        <f t="shared" si="42"/>
        <v>0.59493412182140748</v>
      </c>
      <c r="AF48" s="139">
        <f>SUM(AF41:AF47)</f>
        <v>1205000</v>
      </c>
      <c r="BC48"/>
    </row>
    <row r="49" spans="2:5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BC49"/>
    </row>
    <row r="50" spans="2:55">
      <c r="B50" s="9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BC50"/>
    </row>
    <row r="51" spans="2:55">
      <c r="B51" s="4"/>
      <c r="C51" s="4"/>
      <c r="D51" s="4"/>
      <c r="E51" s="4"/>
      <c r="F51" s="4" t="str">
        <f>+F40</f>
        <v>Day 1</v>
      </c>
      <c r="G51" s="4" t="str">
        <f t="shared" ref="G51:AD51" si="43">+G40</f>
        <v>Day 2</v>
      </c>
      <c r="H51" s="4" t="str">
        <f t="shared" si="43"/>
        <v>Day 3</v>
      </c>
      <c r="I51" s="4" t="str">
        <f t="shared" si="43"/>
        <v>Day 4</v>
      </c>
      <c r="J51" s="4" t="str">
        <f t="shared" si="43"/>
        <v>Day 5</v>
      </c>
      <c r="K51" s="4" t="str">
        <f t="shared" si="43"/>
        <v>Day 6</v>
      </c>
      <c r="L51" s="4" t="str">
        <f t="shared" si="43"/>
        <v>Day 7</v>
      </c>
      <c r="M51" s="4" t="str">
        <f t="shared" si="43"/>
        <v>Day 8</v>
      </c>
      <c r="N51" s="4" t="str">
        <f t="shared" si="43"/>
        <v>Day 9</v>
      </c>
      <c r="O51" s="4" t="str">
        <f t="shared" si="43"/>
        <v>Day 10</v>
      </c>
      <c r="P51" s="4" t="str">
        <f t="shared" si="43"/>
        <v>Day 11</v>
      </c>
      <c r="Q51" s="4" t="str">
        <f t="shared" si="43"/>
        <v>Day 12</v>
      </c>
      <c r="R51" s="4" t="str">
        <f t="shared" si="43"/>
        <v>Day 13</v>
      </c>
      <c r="S51" s="4" t="str">
        <f t="shared" si="43"/>
        <v>Day 14</v>
      </c>
      <c r="T51" s="4" t="str">
        <f t="shared" si="43"/>
        <v>Day 15</v>
      </c>
      <c r="U51" s="4" t="str">
        <f t="shared" si="43"/>
        <v>Day 16</v>
      </c>
      <c r="V51" s="4" t="str">
        <f t="shared" si="43"/>
        <v>Day 17</v>
      </c>
      <c r="W51" s="4" t="str">
        <f t="shared" si="43"/>
        <v>Day 18</v>
      </c>
      <c r="X51" s="4" t="str">
        <f t="shared" si="43"/>
        <v>Day 19</v>
      </c>
      <c r="Y51" s="4" t="str">
        <f t="shared" si="43"/>
        <v>Day 20</v>
      </c>
      <c r="Z51" s="4" t="str">
        <f t="shared" si="43"/>
        <v>Day 21</v>
      </c>
      <c r="AA51" s="4" t="str">
        <f t="shared" si="43"/>
        <v>Day 22</v>
      </c>
      <c r="AB51" s="4" t="str">
        <f t="shared" si="43"/>
        <v>Day 23</v>
      </c>
      <c r="AC51" s="4" t="str">
        <f t="shared" si="43"/>
        <v>Day 24</v>
      </c>
      <c r="AD51" s="4" t="str">
        <f t="shared" si="43"/>
        <v>Day 25</v>
      </c>
      <c r="BC51"/>
    </row>
    <row r="52" spans="2:55">
      <c r="B52" s="4" t="s">
        <v>0</v>
      </c>
      <c r="C52" s="149">
        <v>360000</v>
      </c>
      <c r="D52" s="4"/>
      <c r="E52" s="4"/>
      <c r="F52" s="55">
        <f t="shared" ref="F52:Y58" si="44">(F29)/F$1*$Y$1</f>
        <v>63500</v>
      </c>
      <c r="G52" s="55">
        <f t="shared" si="44"/>
        <v>63200</v>
      </c>
      <c r="H52" s="55">
        <f t="shared" si="44"/>
        <v>119100</v>
      </c>
      <c r="I52" s="55">
        <f t="shared" si="44"/>
        <v>120775</v>
      </c>
      <c r="J52" s="55">
        <f t="shared" si="44"/>
        <v>160640</v>
      </c>
      <c r="K52" s="55">
        <f t="shared" si="44"/>
        <v>172333.33333333331</v>
      </c>
      <c r="L52" s="55">
        <f t="shared" si="44"/>
        <v>202014.28571428574</v>
      </c>
      <c r="M52" s="55">
        <f t="shared" si="44"/>
        <v>364390</v>
      </c>
      <c r="N52" s="55">
        <f t="shared" si="44"/>
        <v>158473.33333333334</v>
      </c>
      <c r="O52" s="55">
        <f t="shared" si="44"/>
        <v>205012</v>
      </c>
      <c r="P52" s="55">
        <f t="shared" si="44"/>
        <v>335790.90909090912</v>
      </c>
      <c r="Q52" s="55">
        <f t="shared" si="44"/>
        <v>221935</v>
      </c>
      <c r="R52" s="55">
        <f t="shared" si="44"/>
        <v>224240</v>
      </c>
      <c r="S52" s="55">
        <f t="shared" si="44"/>
        <v>208222.85714285713</v>
      </c>
      <c r="T52" s="55">
        <f t="shared" si="44"/>
        <v>215728</v>
      </c>
      <c r="U52" s="55">
        <f t="shared" si="44"/>
        <v>230856.25</v>
      </c>
      <c r="V52" s="55">
        <f t="shared" si="44"/>
        <v>234552.9411764706</v>
      </c>
      <c r="W52" s="55">
        <f t="shared" si="44"/>
        <v>221522.22222222222</v>
      </c>
      <c r="X52" s="55">
        <f t="shared" si="44"/>
        <v>213429.47368421053</v>
      </c>
      <c r="Y52" s="55">
        <f t="shared" si="44"/>
        <v>224083</v>
      </c>
      <c r="Z52" s="55">
        <f t="shared" ref="Z52:AD52" si="45">(Z29)/Z$1*$Y$1</f>
        <v>224769.52380952382</v>
      </c>
      <c r="AA52" s="55">
        <f t="shared" si="45"/>
        <v>221416.36363636365</v>
      </c>
      <c r="AB52" s="55">
        <f t="shared" si="45"/>
        <v>224341.73913043481</v>
      </c>
      <c r="AC52" s="55">
        <f t="shared" si="45"/>
        <v>215890</v>
      </c>
      <c r="AD52" s="55">
        <f t="shared" si="45"/>
        <v>214503.2</v>
      </c>
      <c r="BC52"/>
    </row>
    <row r="53" spans="2:55">
      <c r="B53" s="4" t="s">
        <v>64</v>
      </c>
      <c r="C53" s="149">
        <v>180000</v>
      </c>
      <c r="D53" s="4"/>
      <c r="E53" s="4"/>
      <c r="F53" s="55">
        <f t="shared" si="44"/>
        <v>0</v>
      </c>
      <c r="G53" s="55">
        <f t="shared" si="44"/>
        <v>57950</v>
      </c>
      <c r="H53" s="55">
        <f t="shared" si="44"/>
        <v>38633.333333333336</v>
      </c>
      <c r="I53" s="55">
        <f t="shared" si="44"/>
        <v>42450</v>
      </c>
      <c r="J53" s="55">
        <f t="shared" si="44"/>
        <v>49960</v>
      </c>
      <c r="K53" s="55">
        <f t="shared" si="44"/>
        <v>74966.666666666672</v>
      </c>
      <c r="L53" s="55">
        <f t="shared" si="44"/>
        <v>64257.142857142855</v>
      </c>
      <c r="M53" s="55">
        <f t="shared" si="44"/>
        <v>88425</v>
      </c>
      <c r="N53" s="55">
        <f t="shared" si="44"/>
        <v>274693.33333333331</v>
      </c>
      <c r="O53" s="55">
        <f t="shared" si="44"/>
        <v>55760</v>
      </c>
      <c r="P53" s="55">
        <f t="shared" si="44"/>
        <v>86827.272727272721</v>
      </c>
      <c r="Q53" s="55">
        <f t="shared" si="44"/>
        <v>50958.333333333328</v>
      </c>
      <c r="R53" s="55">
        <f t="shared" si="44"/>
        <v>54415.384615384617</v>
      </c>
      <c r="S53" s="55">
        <f t="shared" si="44"/>
        <v>50528.571428571435</v>
      </c>
      <c r="T53" s="55">
        <f t="shared" si="44"/>
        <v>60080</v>
      </c>
      <c r="U53" s="55">
        <f t="shared" si="44"/>
        <v>59693.75</v>
      </c>
      <c r="V53" s="55">
        <f t="shared" si="44"/>
        <v>67941.176470588238</v>
      </c>
      <c r="W53" s="55">
        <f t="shared" si="44"/>
        <v>64166.666666666672</v>
      </c>
      <c r="X53" s="55">
        <f t="shared" si="44"/>
        <v>60789.473684210527</v>
      </c>
      <c r="Y53" s="55">
        <f t="shared" si="44"/>
        <v>57750</v>
      </c>
      <c r="Z53" s="55">
        <f t="shared" ref="Z53:AD53" si="46">(Z30)/Z$1*$Y$1</f>
        <v>57566.666666666672</v>
      </c>
      <c r="AA53" s="55">
        <f t="shared" si="46"/>
        <v>59309.090909090912</v>
      </c>
      <c r="AB53" s="55">
        <f t="shared" si="46"/>
        <v>56730.434782608703</v>
      </c>
      <c r="AC53" s="55">
        <f t="shared" si="46"/>
        <v>55616.666666666672</v>
      </c>
      <c r="AD53" s="55">
        <f t="shared" si="46"/>
        <v>53392</v>
      </c>
      <c r="BC53"/>
    </row>
    <row r="54" spans="2:55">
      <c r="B54" s="4" t="str">
        <f>+B43</f>
        <v>Brazil</v>
      </c>
      <c r="C54" s="149">
        <v>180000</v>
      </c>
      <c r="D54" s="4"/>
      <c r="E54" s="4"/>
      <c r="F54" s="55">
        <f t="shared" si="44"/>
        <v>121040</v>
      </c>
      <c r="G54" s="55">
        <f t="shared" si="44"/>
        <v>78520</v>
      </c>
      <c r="H54" s="55">
        <f t="shared" si="44"/>
        <v>52346.666666666672</v>
      </c>
      <c r="I54" s="55">
        <f t="shared" si="44"/>
        <v>50035</v>
      </c>
      <c r="J54" s="55">
        <f t="shared" si="44"/>
        <v>91948</v>
      </c>
      <c r="K54" s="55">
        <f t="shared" si="44"/>
        <v>92273.333333333343</v>
      </c>
      <c r="L54" s="55">
        <f t="shared" si="44"/>
        <v>76457.142857142855</v>
      </c>
      <c r="M54" s="55">
        <f t="shared" si="44"/>
        <v>154452.5</v>
      </c>
      <c r="N54" s="55">
        <f t="shared" si="44"/>
        <v>17386.666666666668</v>
      </c>
      <c r="O54" s="55">
        <f t="shared" si="44"/>
        <v>101252</v>
      </c>
      <c r="P54" s="55">
        <f t="shared" si="44"/>
        <v>142829.09090909091</v>
      </c>
      <c r="Q54" s="55">
        <f t="shared" si="44"/>
        <v>99151.666666666657</v>
      </c>
      <c r="R54" s="55">
        <f t="shared" si="44"/>
        <v>95047.692307692312</v>
      </c>
      <c r="S54" s="55">
        <f t="shared" si="44"/>
        <v>98958.571428571435</v>
      </c>
      <c r="T54" s="55">
        <f t="shared" si="44"/>
        <v>92361.333333333328</v>
      </c>
      <c r="U54" s="55">
        <f t="shared" si="44"/>
        <v>98195</v>
      </c>
      <c r="V54" s="55">
        <f t="shared" si="44"/>
        <v>98301.176470588238</v>
      </c>
      <c r="W54" s="55">
        <f t="shared" si="44"/>
        <v>92840</v>
      </c>
      <c r="X54" s="55">
        <f t="shared" si="44"/>
        <v>107680</v>
      </c>
      <c r="Y54" s="55">
        <f t="shared" si="44"/>
        <v>107849</v>
      </c>
      <c r="Z54" s="55">
        <f t="shared" ref="Z54:AD54" si="47">(Z31)/Z$1*$Y$1</f>
        <v>99060</v>
      </c>
      <c r="AA54" s="55">
        <f t="shared" si="47"/>
        <v>105570.9090909091</v>
      </c>
      <c r="AB54" s="55">
        <f t="shared" si="47"/>
        <v>104237.39130434782</v>
      </c>
      <c r="AC54" s="55">
        <f t="shared" si="47"/>
        <v>104060.83333333334</v>
      </c>
      <c r="AD54" s="55">
        <f t="shared" si="47"/>
        <v>102125.59999999999</v>
      </c>
      <c r="BC54"/>
    </row>
    <row r="55" spans="2:55">
      <c r="B55" s="4" t="str">
        <f>+B44</f>
        <v>Boston</v>
      </c>
      <c r="C55" s="149">
        <v>324000</v>
      </c>
      <c r="D55" s="4"/>
      <c r="E55" s="4"/>
      <c r="F55" s="55">
        <f>(F32)/F$1*$Y$1</f>
        <v>102000</v>
      </c>
      <c r="G55" s="55">
        <f>(G32)/G$1*$Y$1</f>
        <v>221300</v>
      </c>
      <c r="H55" s="55">
        <f t="shared" si="44"/>
        <v>307400</v>
      </c>
      <c r="I55" s="55">
        <f t="shared" si="44"/>
        <v>322950</v>
      </c>
      <c r="J55" s="55">
        <f t="shared" si="44"/>
        <v>290340</v>
      </c>
      <c r="K55" s="55">
        <f t="shared" si="44"/>
        <v>280266.66666666669</v>
      </c>
      <c r="L55" s="55">
        <f t="shared" si="44"/>
        <v>284057.14285714284</v>
      </c>
      <c r="M55" s="55">
        <f t="shared" si="44"/>
        <v>446432.5</v>
      </c>
      <c r="N55" s="55">
        <f t="shared" si="44"/>
        <v>27433.333333333336</v>
      </c>
      <c r="O55" s="55">
        <f t="shared" si="44"/>
        <v>296066</v>
      </c>
      <c r="P55" s="55">
        <f t="shared" si="44"/>
        <v>369187.27272727271</v>
      </c>
      <c r="Q55" s="55">
        <f t="shared" si="44"/>
        <v>275138.33333333331</v>
      </c>
      <c r="R55" s="55">
        <f t="shared" si="44"/>
        <v>274727.69230769231</v>
      </c>
      <c r="S55" s="55">
        <f t="shared" si="44"/>
        <v>267232.85714285716</v>
      </c>
      <c r="T55" s="55">
        <f t="shared" si="44"/>
        <v>266730.66666666663</v>
      </c>
      <c r="U55" s="55">
        <f t="shared" si="44"/>
        <v>253816.25</v>
      </c>
      <c r="V55" s="55">
        <f t="shared" si="44"/>
        <v>238885.8823529412</v>
      </c>
      <c r="W55" s="55">
        <f t="shared" si="44"/>
        <v>247186.66666666669</v>
      </c>
      <c r="X55" s="55">
        <f t="shared" si="44"/>
        <v>241850.52631578947</v>
      </c>
      <c r="Y55" s="55">
        <f t="shared" si="44"/>
        <v>246753</v>
      </c>
      <c r="Z55" s="55">
        <f t="shared" ref="Z55:AD55" si="48">(Z32)/Z$1*$Y$1</f>
        <v>241188.57142857142</v>
      </c>
      <c r="AA55" s="55">
        <f t="shared" si="48"/>
        <v>240220.90909090909</v>
      </c>
      <c r="AB55" s="55">
        <f t="shared" si="48"/>
        <v>234989.56521739133</v>
      </c>
      <c r="AC55" s="55">
        <f t="shared" si="48"/>
        <v>228981.66666666669</v>
      </c>
      <c r="AD55" s="55">
        <f t="shared" si="48"/>
        <v>219822.40000000002</v>
      </c>
      <c r="BC55"/>
    </row>
    <row r="56" spans="2:55">
      <c r="B56" s="4" t="s">
        <v>2</v>
      </c>
      <c r="C56" s="149">
        <v>192000</v>
      </c>
      <c r="D56" s="4"/>
      <c r="E56" s="4"/>
      <c r="F56" s="55">
        <f t="shared" ref="F56:U58" si="49">(F33)/F$1*$Y$1</f>
        <v>0</v>
      </c>
      <c r="G56" s="55">
        <f t="shared" si="49"/>
        <v>109900</v>
      </c>
      <c r="H56" s="55">
        <f t="shared" si="49"/>
        <v>86566.666666666657</v>
      </c>
      <c r="I56" s="55">
        <f t="shared" si="49"/>
        <v>99630</v>
      </c>
      <c r="J56" s="55">
        <f t="shared" si="49"/>
        <v>137684</v>
      </c>
      <c r="K56" s="55">
        <f t="shared" si="49"/>
        <v>169686.66666666669</v>
      </c>
      <c r="L56" s="55">
        <f t="shared" si="49"/>
        <v>142937.14285714287</v>
      </c>
      <c r="M56" s="55">
        <f t="shared" si="49"/>
        <v>178957.5</v>
      </c>
      <c r="N56" s="55">
        <f t="shared" si="49"/>
        <v>49675.555555555555</v>
      </c>
      <c r="O56" s="55">
        <f t="shared" si="49"/>
        <v>118952</v>
      </c>
      <c r="P56" s="55">
        <f t="shared" si="49"/>
        <v>176061.81818181821</v>
      </c>
      <c r="Q56" s="55">
        <f t="shared" si="49"/>
        <v>104343.33333333334</v>
      </c>
      <c r="R56" s="55">
        <f t="shared" si="49"/>
        <v>115924.61538461539</v>
      </c>
      <c r="S56" s="55">
        <f t="shared" si="49"/>
        <v>130265.71428571429</v>
      </c>
      <c r="T56" s="55">
        <f t="shared" si="49"/>
        <v>135908</v>
      </c>
      <c r="U56" s="55">
        <f t="shared" si="49"/>
        <v>121042.5</v>
      </c>
      <c r="V56" s="55">
        <f t="shared" si="44"/>
        <v>119142.35294117648</v>
      </c>
      <c r="W56" s="55">
        <f t="shared" si="44"/>
        <v>118445.55555555555</v>
      </c>
      <c r="X56" s="55">
        <f t="shared" si="44"/>
        <v>114311.57894736841</v>
      </c>
      <c r="Y56" s="55">
        <f t="shared" si="44"/>
        <v>108596</v>
      </c>
      <c r="Z56" s="55">
        <f t="shared" ref="Z56:AD56" si="50">(Z33)/Z$1*$Y$1</f>
        <v>109086.66666666666</v>
      </c>
      <c r="AA56" s="55">
        <f t="shared" si="50"/>
        <v>111173.63636363635</v>
      </c>
      <c r="AB56" s="55">
        <f t="shared" si="50"/>
        <v>111118.26086956522</v>
      </c>
      <c r="AC56" s="55">
        <f t="shared" si="50"/>
        <v>108984.16666666666</v>
      </c>
      <c r="AD56" s="55">
        <f t="shared" si="50"/>
        <v>111212.8</v>
      </c>
      <c r="AF56" s="48"/>
    </row>
    <row r="57" spans="2:55">
      <c r="B57" s="4" t="s">
        <v>99</v>
      </c>
      <c r="C57" s="149">
        <v>120000</v>
      </c>
      <c r="D57" s="4"/>
      <c r="E57" s="4"/>
      <c r="F57" s="55">
        <f t="shared" si="49"/>
        <v>0</v>
      </c>
      <c r="G57" s="55">
        <f t="shared" si="49"/>
        <v>76950</v>
      </c>
      <c r="H57" s="55">
        <f t="shared" si="49"/>
        <v>51300</v>
      </c>
      <c r="I57" s="55">
        <f t="shared" si="49"/>
        <v>51950</v>
      </c>
      <c r="J57" s="55">
        <f t="shared" si="49"/>
        <v>41560</v>
      </c>
      <c r="K57" s="55">
        <f t="shared" si="49"/>
        <v>34633.333333333336</v>
      </c>
      <c r="L57" s="55">
        <f t="shared" si="49"/>
        <v>29685.714285714283</v>
      </c>
      <c r="M57" s="55">
        <f t="shared" si="49"/>
        <v>29725</v>
      </c>
      <c r="N57" s="55">
        <f t="shared" si="49"/>
        <v>136080</v>
      </c>
      <c r="O57" s="55">
        <f t="shared" si="49"/>
        <v>20780</v>
      </c>
      <c r="P57" s="55">
        <f t="shared" si="49"/>
        <v>26372.727272727276</v>
      </c>
      <c r="Q57" s="55">
        <f t="shared" si="49"/>
        <v>19816.666666666668</v>
      </c>
      <c r="R57" s="55">
        <f t="shared" si="49"/>
        <v>18292.307692307691</v>
      </c>
      <c r="S57" s="55">
        <f t="shared" si="49"/>
        <v>16985.714285714286</v>
      </c>
      <c r="T57" s="55">
        <f t="shared" si="49"/>
        <v>19340</v>
      </c>
      <c r="U57" s="55">
        <f t="shared" si="49"/>
        <v>18131.25</v>
      </c>
      <c r="V57" s="55">
        <f t="shared" si="44"/>
        <v>17064.705882352941</v>
      </c>
      <c r="W57" s="55">
        <f t="shared" si="44"/>
        <v>16116.666666666668</v>
      </c>
      <c r="X57" s="55">
        <f t="shared" si="44"/>
        <v>19621.052631578947</v>
      </c>
      <c r="Y57" s="55">
        <f t="shared" si="44"/>
        <v>18640</v>
      </c>
      <c r="Z57" s="55">
        <f t="shared" ref="Z57:AD57" si="51">(Z34)/Z$1*$Y$1</f>
        <v>18704.761904761905</v>
      </c>
      <c r="AA57" s="55">
        <f t="shared" si="51"/>
        <v>17854.545454545456</v>
      </c>
      <c r="AB57" s="55">
        <f t="shared" si="51"/>
        <v>17078.260869565216</v>
      </c>
      <c r="AC57" s="55">
        <f t="shared" si="51"/>
        <v>16366.666666666668</v>
      </c>
      <c r="AD57" s="55">
        <f t="shared" si="51"/>
        <v>15712</v>
      </c>
      <c r="AF57" s="48"/>
    </row>
    <row r="58" spans="2:55">
      <c r="B58" s="4" t="s">
        <v>3</v>
      </c>
      <c r="C58" s="150">
        <v>335000</v>
      </c>
      <c r="D58" s="19"/>
      <c r="E58" s="19"/>
      <c r="F58" s="98">
        <f t="shared" si="49"/>
        <v>666460</v>
      </c>
      <c r="G58" s="98">
        <f t="shared" si="49"/>
        <v>540460</v>
      </c>
      <c r="H58" s="98">
        <f t="shared" si="49"/>
        <v>477093.33333333337</v>
      </c>
      <c r="I58" s="98">
        <f t="shared" si="49"/>
        <v>460840</v>
      </c>
      <c r="J58" s="98">
        <f t="shared" si="49"/>
        <v>515128</v>
      </c>
      <c r="K58" s="98">
        <f t="shared" si="49"/>
        <v>431893.33333333337</v>
      </c>
      <c r="L58" s="98">
        <f t="shared" si="49"/>
        <v>493648.57142857148</v>
      </c>
      <c r="M58" s="98">
        <f t="shared" si="49"/>
        <v>597517.5</v>
      </c>
      <c r="N58" s="98">
        <f t="shared" si="49"/>
        <v>259637.77777777778</v>
      </c>
      <c r="O58" s="98">
        <f t="shared" si="49"/>
        <v>402154</v>
      </c>
      <c r="P58" s="98">
        <f t="shared" si="49"/>
        <v>494298.18181818182</v>
      </c>
      <c r="Q58" s="98">
        <f t="shared" si="49"/>
        <v>371500</v>
      </c>
      <c r="R58" s="98">
        <f t="shared" si="49"/>
        <v>367703.07692307694</v>
      </c>
      <c r="S58" s="98">
        <f t="shared" si="49"/>
        <v>354245.71428571426</v>
      </c>
      <c r="T58" s="98">
        <f t="shared" si="49"/>
        <v>350661.33333333331</v>
      </c>
      <c r="U58" s="98">
        <f t="shared" si="49"/>
        <v>339830</v>
      </c>
      <c r="V58" s="98">
        <f t="shared" si="44"/>
        <v>353076.4705882353</v>
      </c>
      <c r="W58" s="98">
        <f t="shared" si="44"/>
        <v>333461.11111111112</v>
      </c>
      <c r="X58" s="98">
        <f t="shared" si="44"/>
        <v>337257.89473684214</v>
      </c>
      <c r="Y58" s="98">
        <f t="shared" si="44"/>
        <v>339729</v>
      </c>
      <c r="Z58" s="98">
        <f t="shared" ref="Z58:AD58" si="52">(Z35)/Z$1*$Y$1</f>
        <v>332811.42857142852</v>
      </c>
      <c r="AA58" s="98">
        <f t="shared" si="52"/>
        <v>326981.81818181818</v>
      </c>
      <c r="AB58" s="98">
        <f t="shared" si="52"/>
        <v>312764.34782608697</v>
      </c>
      <c r="AC58" s="98">
        <f t="shared" si="52"/>
        <v>301318.33333333331</v>
      </c>
      <c r="AD58" s="98">
        <f t="shared" si="52"/>
        <v>289265.60000000003</v>
      </c>
    </row>
    <row r="59" spans="2:55">
      <c r="B59" s="153" t="s">
        <v>27</v>
      </c>
      <c r="C59" s="151">
        <f>SUM(C52:C58)</f>
        <v>1691000</v>
      </c>
      <c r="D59" s="10">
        <f>SUM(D52:D58)</f>
        <v>0</v>
      </c>
      <c r="E59" s="10"/>
      <c r="F59" s="10">
        <f t="shared" ref="F59:AD59" si="53">SUM(F52:F58)</f>
        <v>953000</v>
      </c>
      <c r="G59" s="10">
        <f t="shared" si="53"/>
        <v>1148280</v>
      </c>
      <c r="H59" s="10">
        <f t="shared" si="53"/>
        <v>1132440</v>
      </c>
      <c r="I59" s="10">
        <f t="shared" si="53"/>
        <v>1148630</v>
      </c>
      <c r="J59" s="10">
        <f t="shared" si="53"/>
        <v>1287260</v>
      </c>
      <c r="K59" s="10">
        <f t="shared" si="53"/>
        <v>1256053.3333333335</v>
      </c>
      <c r="L59" s="10">
        <f t="shared" si="53"/>
        <v>1293057.142857143</v>
      </c>
      <c r="M59" s="10">
        <f t="shared" si="53"/>
        <v>1859900</v>
      </c>
      <c r="N59" s="10">
        <f t="shared" si="53"/>
        <v>923379.99999999988</v>
      </c>
      <c r="O59" s="10">
        <f t="shared" si="53"/>
        <v>1199976</v>
      </c>
      <c r="P59" s="10">
        <f t="shared" si="53"/>
        <v>1631367.2727272727</v>
      </c>
      <c r="Q59" s="10">
        <f t="shared" si="53"/>
        <v>1142843.3333333333</v>
      </c>
      <c r="R59" s="10">
        <f t="shared" si="53"/>
        <v>1150350.7692307692</v>
      </c>
      <c r="S59" s="10">
        <f t="shared" si="53"/>
        <v>1126440</v>
      </c>
      <c r="T59" s="10">
        <f t="shared" si="53"/>
        <v>1140809.3333333333</v>
      </c>
      <c r="U59" s="10">
        <f t="shared" si="53"/>
        <v>1121565</v>
      </c>
      <c r="V59" s="10">
        <f t="shared" si="53"/>
        <v>1128964.705882353</v>
      </c>
      <c r="W59" s="10">
        <f t="shared" si="53"/>
        <v>1093738.8888888888</v>
      </c>
      <c r="X59" s="10">
        <f t="shared" si="53"/>
        <v>1094940</v>
      </c>
      <c r="Y59" s="10">
        <f t="shared" si="53"/>
        <v>1103400</v>
      </c>
      <c r="Z59" s="10">
        <f t="shared" si="53"/>
        <v>1083187.6190476189</v>
      </c>
      <c r="AA59" s="10">
        <f t="shared" si="53"/>
        <v>1082527.2727272727</v>
      </c>
      <c r="AB59" s="10">
        <f t="shared" si="53"/>
        <v>1061260</v>
      </c>
      <c r="AC59" s="10">
        <f t="shared" si="53"/>
        <v>1031218.3333333333</v>
      </c>
      <c r="AD59" s="10">
        <f t="shared" si="53"/>
        <v>1006033.6000000001</v>
      </c>
    </row>
    <row r="60" spans="2:55">
      <c r="B60" s="5"/>
      <c r="C60" s="152" t="s">
        <v>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55">
      <c r="B61" s="1"/>
      <c r="J61" s="28"/>
      <c r="K61" s="28"/>
      <c r="L61" s="28"/>
    </row>
    <row r="62" spans="2:55" s="3" customFormat="1">
      <c r="B62" s="143"/>
      <c r="C62" s="144"/>
      <c r="E62" s="3" t="str">
        <f>+B13</f>
        <v>Group</v>
      </c>
      <c r="F62" s="144">
        <f>+$C$13*F1</f>
        <v>84550</v>
      </c>
      <c r="G62" s="144">
        <f t="shared" ref="G62:AD62" si="54">+$C$13*G1</f>
        <v>169100</v>
      </c>
      <c r="H62" s="144">
        <f t="shared" si="54"/>
        <v>253650</v>
      </c>
      <c r="I62" s="144">
        <f t="shared" si="54"/>
        <v>338200</v>
      </c>
      <c r="J62" s="144">
        <f t="shared" si="54"/>
        <v>422750</v>
      </c>
      <c r="K62" s="144">
        <f t="shared" si="54"/>
        <v>507300</v>
      </c>
      <c r="L62" s="144">
        <f t="shared" si="54"/>
        <v>591850</v>
      </c>
      <c r="M62" s="144">
        <f t="shared" si="54"/>
        <v>676400</v>
      </c>
      <c r="N62" s="144">
        <f t="shared" si="54"/>
        <v>760950</v>
      </c>
      <c r="O62" s="144">
        <f t="shared" si="54"/>
        <v>845500</v>
      </c>
      <c r="P62" s="144">
        <f t="shared" si="54"/>
        <v>930050</v>
      </c>
      <c r="Q62" s="144">
        <f t="shared" si="54"/>
        <v>1014600</v>
      </c>
      <c r="R62" s="144">
        <f t="shared" si="54"/>
        <v>1099150</v>
      </c>
      <c r="S62" s="144">
        <f t="shared" si="54"/>
        <v>1183700</v>
      </c>
      <c r="T62" s="144">
        <f t="shared" si="54"/>
        <v>1268250</v>
      </c>
      <c r="U62" s="144">
        <f t="shared" si="54"/>
        <v>1352800</v>
      </c>
      <c r="V62" s="144">
        <f t="shared" si="54"/>
        <v>1437350</v>
      </c>
      <c r="W62" s="144">
        <f t="shared" si="54"/>
        <v>1521900</v>
      </c>
      <c r="X62" s="144">
        <f t="shared" si="54"/>
        <v>1606450</v>
      </c>
      <c r="Y62" s="144">
        <f t="shared" si="54"/>
        <v>1691000</v>
      </c>
      <c r="Z62" s="144">
        <f t="shared" si="54"/>
        <v>1775550</v>
      </c>
      <c r="AA62" s="144">
        <f t="shared" si="54"/>
        <v>1860100</v>
      </c>
      <c r="AB62" s="144">
        <f t="shared" si="54"/>
        <v>1944650</v>
      </c>
      <c r="AC62" s="144">
        <f t="shared" si="54"/>
        <v>2029200</v>
      </c>
      <c r="AD62" s="144">
        <f t="shared" si="54"/>
        <v>2113750</v>
      </c>
      <c r="BC62" s="179"/>
    </row>
    <row r="63" spans="2:55">
      <c r="B63" s="1"/>
      <c r="E63" s="3"/>
      <c r="F63" s="14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55"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2:30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2:30">
      <c r="B66" s="1"/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2:30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>
      <c r="E69" s="143"/>
      <c r="F69" s="144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</row>
    <row r="70" spans="2:30">
      <c r="B70" s="1"/>
      <c r="E70" s="143"/>
      <c r="F70" s="143"/>
    </row>
    <row r="71" spans="2:30">
      <c r="B71" s="1"/>
      <c r="E71" s="143"/>
      <c r="F71" s="143"/>
    </row>
    <row r="72" spans="2:30">
      <c r="B72" s="1"/>
      <c r="E72" s="3"/>
      <c r="F72" s="143"/>
    </row>
    <row r="73" spans="2:30">
      <c r="E73" s="143"/>
      <c r="F73" s="143"/>
    </row>
    <row r="74" spans="2:30">
      <c r="B74" s="1"/>
      <c r="E74" s="1"/>
      <c r="F74" s="1"/>
    </row>
    <row r="75" spans="2:30">
      <c r="B75" s="1"/>
      <c r="E75" s="1"/>
      <c r="F75" s="1"/>
    </row>
    <row r="76" spans="2:30">
      <c r="B76" s="1"/>
      <c r="F76" s="1"/>
    </row>
    <row r="77" spans="2:30">
      <c r="B77" s="1"/>
      <c r="E77" s="1"/>
      <c r="F77" s="1"/>
    </row>
    <row r="78" spans="2:30">
      <c r="E78" s="1"/>
      <c r="F78" s="1"/>
    </row>
    <row r="79" spans="2:30">
      <c r="E79" s="1"/>
      <c r="F79" s="1"/>
    </row>
    <row r="80" spans="2:30">
      <c r="E80" s="1"/>
      <c r="F80" s="1"/>
    </row>
  </sheetData>
  <mergeCells count="1">
    <mergeCell ref="AE40:AF40"/>
  </mergeCells>
  <phoneticPr fontId="24" type="noConversion"/>
  <conditionalFormatting sqref="AE14">
    <cfRule type="cellIs" dxfId="43" priority="8" stopIfTrue="1" operator="lessThan">
      <formula>$C$13</formula>
    </cfRule>
    <cfRule type="cellIs" dxfId="42" priority="9" stopIfTrue="1" operator="lessThan">
      <formula>$C$13</formula>
    </cfRule>
    <cfRule type="cellIs" dxfId="41" priority="10" stopIfTrue="1" operator="greaterThan">
      <formula>$C$13</formula>
    </cfRule>
    <cfRule type="cellIs" dxfId="40" priority="11" stopIfTrue="1" operator="greaterThan">
      <formula>$C$13</formula>
    </cfRule>
  </conditionalFormatting>
  <conditionalFormatting sqref="AF29:AF36">
    <cfRule type="cellIs" dxfId="39" priority="4" stopIfTrue="1" operator="lessThan">
      <formula>0</formula>
    </cfRule>
    <cfRule type="cellIs" dxfId="38" priority="5" stopIfTrue="1" operator="greaterThan">
      <formula>0</formula>
    </cfRule>
    <cfRule type="cellIs" dxfId="37" priority="6" stopIfTrue="1" operator="lessThan">
      <formula>0</formula>
    </cfRule>
    <cfRule type="cellIs" dxfId="36" priority="7" stopIfTrue="1" operator="greaterThan">
      <formula>0</formula>
    </cfRule>
  </conditionalFormatting>
  <conditionalFormatting sqref="AE6:AE12">
    <cfRule type="cellIs" dxfId="35" priority="2" stopIfTrue="1" operator="lessThan">
      <formula>$C$6</formula>
    </cfRule>
    <cfRule type="cellIs" dxfId="34" priority="3" stopIfTrue="1" operator="greaterThan">
      <formula>$C$6</formula>
    </cfRule>
  </conditionalFormatting>
  <conditionalFormatting sqref="AE6:AE12">
    <cfRule type="cellIs" dxfId="33" priority="1" stopIfTrue="1" operator="greaterThan">
      <formula>#REF!</formula>
    </cfRule>
  </conditionalFormatting>
  <printOptions horizontalCentered="1"/>
  <pageMargins left="0.16" right="0.16" top="0.24" bottom="0.16" header="0.16" footer="0.16"/>
  <pageSetup paperSize="9" scale="55" fitToHeight="3" orientation="landscape" r:id="rId1"/>
  <headerFooter alignWithMargins="0"/>
  <rowBreaks count="2" manualBreakCount="2">
    <brk id="61" min="1" max="26" man="1"/>
    <brk id="110" min="1" max="26" man="1"/>
  </rowBreaks>
  <drawing r:id="rId2"/>
  <x:extLst xmlns:x="http://schemas.openxmlformats.org/spreadsheetml/2006/main" xmlns:mx="http://schemas.microsoft.com/office/mac/excel/2008/main">
    <x:ext uri="{64002731-A6B0-56B0-2670-7721B7C09600}">
      <mx:PLV Mode="0" OnePage="0" WScale="0"/>
    </x:ext>
  </x:extLst>
</worksheet>
</file>

<file path=xl/worksheets/sheet34.xml><?xml version="1.0" encoding="utf-8"?>
<worksheet xmlns="http://schemas.openxmlformats.org/spreadsheetml/2006/main" xmlns:r="http://schemas.openxmlformats.org/officeDocument/2006/relationships">
  <dimension ref="A1:AX81"/>
  <sheetViews>
    <sheetView topLeftCell="A2" workbookViewId="0">
      <selection activeCell="A2" sqref="A2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9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8.28515625" customWidth="1"/>
    <col min="16" max="16" width="8.85546875" customWidth="1"/>
    <col min="17" max="17" width="8.85546875" bestFit="1" customWidth="1"/>
    <col min="18" max="18" width="10.2851562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10.42578125" customWidth="1"/>
    <col min="50" max="50" width="9.140625" style="6" customWidth="1"/>
  </cols>
  <sheetData>
    <row r="1" spans="1:50" hidden="1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</row>
    <row r="2" spans="1:50">
      <c r="A2" s="3">
        <v>1</v>
      </c>
      <c r="B2" s="3">
        <v>1</v>
      </c>
      <c r="C2" s="3">
        <v>1</v>
      </c>
      <c r="D2" s="3">
        <v>2</v>
      </c>
      <c r="E2" s="3">
        <v>3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</row>
    <row r="3" spans="1:50" ht="18.75">
      <c r="B3" s="2" t="s">
        <v>108</v>
      </c>
      <c r="M3" s="93" t="s">
        <v>45</v>
      </c>
      <c r="O3" s="28"/>
      <c r="P3" s="28"/>
      <c r="Q3" s="28"/>
      <c r="R3" s="28"/>
    </row>
    <row r="4" spans="1:50">
      <c r="F4" s="28"/>
    </row>
    <row r="5" spans="1:50" ht="15.75" thickBot="1">
      <c r="B5" s="9" t="s">
        <v>24</v>
      </c>
      <c r="C5" s="4"/>
      <c r="D5" s="4"/>
      <c r="E5" s="4"/>
      <c r="G5" s="4"/>
      <c r="H5" s="4"/>
      <c r="I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8"/>
    </row>
    <row r="6" spans="1:50">
      <c r="B6" s="4"/>
      <c r="C6" s="16" t="s">
        <v>32</v>
      </c>
      <c r="D6" s="4"/>
      <c r="E6" s="7" t="s">
        <v>70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 t="s">
        <v>14</v>
      </c>
      <c r="Q6" s="4" t="s">
        <v>15</v>
      </c>
      <c r="R6" s="4" t="s">
        <v>16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76" t="s">
        <v>43</v>
      </c>
      <c r="AX6"/>
    </row>
    <row r="7" spans="1:50">
      <c r="B7" s="4" t="s">
        <v>0</v>
      </c>
      <c r="C7" s="20">
        <f t="shared" ref="C7:C13" si="0">+C53/20</f>
        <v>18000</v>
      </c>
      <c r="D7" s="10"/>
      <c r="E7" s="11">
        <v>19680</v>
      </c>
      <c r="F7" s="34">
        <v>12577</v>
      </c>
      <c r="G7" s="34">
        <v>11760</v>
      </c>
      <c r="H7" s="34">
        <v>9140</v>
      </c>
      <c r="I7" s="34">
        <v>15729</v>
      </c>
      <c r="J7" s="34">
        <v>10407</v>
      </c>
      <c r="K7" s="34">
        <v>5044</v>
      </c>
      <c r="L7" s="34">
        <v>6470</v>
      </c>
      <c r="M7" s="34">
        <v>3235</v>
      </c>
      <c r="N7" s="34">
        <v>12950</v>
      </c>
      <c r="O7" s="34">
        <v>6205</v>
      </c>
      <c r="P7" s="34">
        <v>0</v>
      </c>
      <c r="Q7" s="34">
        <v>10785</v>
      </c>
      <c r="R7" s="34">
        <v>7437</v>
      </c>
      <c r="S7" s="34">
        <v>7761</v>
      </c>
      <c r="T7" s="34">
        <v>17585</v>
      </c>
      <c r="U7" s="34">
        <v>15425</v>
      </c>
      <c r="V7" s="34">
        <v>14295</v>
      </c>
      <c r="W7" s="34">
        <v>7663</v>
      </c>
      <c r="X7" s="34">
        <v>16290</v>
      </c>
      <c r="Y7" s="34">
        <v>10570</v>
      </c>
      <c r="Z7" s="69">
        <f>IFERROR((SUM(F7:Y7)/(COUNT(F7:Y7))),0)</f>
        <v>10066.4</v>
      </c>
      <c r="AA7" s="103"/>
      <c r="AX7"/>
    </row>
    <row r="8" spans="1:50">
      <c r="B8" s="4" t="s">
        <v>64</v>
      </c>
      <c r="C8" s="20">
        <f t="shared" si="0"/>
        <v>9000</v>
      </c>
      <c r="D8" s="10"/>
      <c r="E8" s="11">
        <v>0</v>
      </c>
      <c r="F8" s="34">
        <v>0</v>
      </c>
      <c r="G8" s="34">
        <v>4795</v>
      </c>
      <c r="H8" s="34">
        <v>0</v>
      </c>
      <c r="I8" s="34">
        <v>0</v>
      </c>
      <c r="J8" s="34">
        <v>0</v>
      </c>
      <c r="K8" s="34">
        <v>1950</v>
      </c>
      <c r="L8" s="34">
        <v>8695</v>
      </c>
      <c r="M8" s="34">
        <v>6995</v>
      </c>
      <c r="N8" s="34">
        <v>0</v>
      </c>
      <c r="O8" s="34">
        <v>0</v>
      </c>
      <c r="P8" s="34">
        <v>0</v>
      </c>
      <c r="Q8" s="34">
        <v>0</v>
      </c>
      <c r="R8" s="34">
        <v>1500</v>
      </c>
      <c r="S8" s="34">
        <v>2695</v>
      </c>
      <c r="T8" s="34">
        <v>0</v>
      </c>
      <c r="U8" s="34">
        <v>0</v>
      </c>
      <c r="V8" s="34">
        <v>0</v>
      </c>
      <c r="W8" s="34">
        <v>2695</v>
      </c>
      <c r="X8" s="34">
        <v>9995</v>
      </c>
      <c r="Y8" s="34">
        <v>0</v>
      </c>
      <c r="Z8" s="69">
        <f t="shared" ref="Z8:Z14" si="1">IFERROR((SUM(F8:Y8)/(COUNT(F8:Y8))),0)</f>
        <v>1966</v>
      </c>
      <c r="AA8" s="103"/>
      <c r="AX8"/>
    </row>
    <row r="9" spans="1:50">
      <c r="B9" s="4" t="s">
        <v>77</v>
      </c>
      <c r="C9" s="20">
        <f t="shared" si="0"/>
        <v>9000</v>
      </c>
      <c r="D9" s="10"/>
      <c r="E9" s="11">
        <v>2695</v>
      </c>
      <c r="F9" s="34">
        <v>9290</v>
      </c>
      <c r="G9" s="34">
        <v>11805</v>
      </c>
      <c r="H9" s="34">
        <v>7540</v>
      </c>
      <c r="I9" s="34">
        <v>5995</v>
      </c>
      <c r="J9" s="34">
        <v>27155</v>
      </c>
      <c r="K9" s="34">
        <v>1695</v>
      </c>
      <c r="L9" s="34">
        <v>2000</v>
      </c>
      <c r="M9" s="34">
        <v>8395</v>
      </c>
      <c r="N9" s="34">
        <v>2695</v>
      </c>
      <c r="O9" s="34">
        <v>0</v>
      </c>
      <c r="P9" s="34">
        <v>2695</v>
      </c>
      <c r="Q9" s="34">
        <v>0</v>
      </c>
      <c r="R9" s="34">
        <v>1785</v>
      </c>
      <c r="S9" s="34">
        <v>11395</v>
      </c>
      <c r="T9" s="34">
        <v>0</v>
      </c>
      <c r="U9" s="34">
        <v>4695</v>
      </c>
      <c r="V9" s="34">
        <v>2695</v>
      </c>
      <c r="W9" s="34">
        <v>0</v>
      </c>
      <c r="X9" s="34">
        <v>3000</v>
      </c>
      <c r="Y9" s="34">
        <v>0</v>
      </c>
      <c r="Z9" s="69">
        <f t="shared" si="1"/>
        <v>5141.75</v>
      </c>
      <c r="AA9" s="103"/>
      <c r="AX9"/>
    </row>
    <row r="10" spans="1:50">
      <c r="B10" s="4" t="s">
        <v>1</v>
      </c>
      <c r="C10" s="20">
        <f t="shared" si="0"/>
        <v>16250</v>
      </c>
      <c r="D10" s="10"/>
      <c r="E10" s="11">
        <v>40615</v>
      </c>
      <c r="F10" s="34">
        <v>8040</v>
      </c>
      <c r="G10" s="34">
        <v>18485</v>
      </c>
      <c r="H10" s="34">
        <v>13790</v>
      </c>
      <c r="I10" s="34">
        <v>16835</v>
      </c>
      <c r="J10" s="34">
        <v>13035</v>
      </c>
      <c r="K10" s="34">
        <v>4295</v>
      </c>
      <c r="L10" s="34">
        <v>15035</v>
      </c>
      <c r="M10" s="34">
        <v>8250</v>
      </c>
      <c r="N10" s="34">
        <v>8300</v>
      </c>
      <c r="O10" s="34">
        <v>17585</v>
      </c>
      <c r="P10" s="34">
        <v>6995</v>
      </c>
      <c r="Q10" s="34">
        <v>14660</v>
      </c>
      <c r="R10" s="34">
        <v>10540</v>
      </c>
      <c r="S10" s="34">
        <v>8595</v>
      </c>
      <c r="T10" s="34">
        <v>19985</v>
      </c>
      <c r="U10" s="34">
        <v>14745</v>
      </c>
      <c r="V10" s="34">
        <v>11665</v>
      </c>
      <c r="W10" s="34">
        <v>14480</v>
      </c>
      <c r="X10" s="34">
        <v>18490</v>
      </c>
      <c r="Y10" s="34">
        <v>10385</v>
      </c>
      <c r="Z10" s="69">
        <f t="shared" si="1"/>
        <v>12709.5</v>
      </c>
      <c r="AA10" s="103"/>
      <c r="AX10"/>
    </row>
    <row r="11" spans="1:50">
      <c r="B11" s="4" t="s">
        <v>2</v>
      </c>
      <c r="C11" s="20">
        <f t="shared" si="0"/>
        <v>9600</v>
      </c>
      <c r="D11" s="10"/>
      <c r="E11" s="11">
        <v>20375</v>
      </c>
      <c r="F11" s="34">
        <v>2995</v>
      </c>
      <c r="G11" s="34">
        <v>10240</v>
      </c>
      <c r="H11" s="34">
        <v>1995</v>
      </c>
      <c r="I11" s="34">
        <v>1500</v>
      </c>
      <c r="J11" s="34">
        <v>4990</v>
      </c>
      <c r="K11" s="34">
        <v>10740</v>
      </c>
      <c r="L11" s="34">
        <v>8495</v>
      </c>
      <c r="M11" s="34">
        <v>6995</v>
      </c>
      <c r="N11" s="34">
        <v>2995</v>
      </c>
      <c r="O11" s="34">
        <v>7995</v>
      </c>
      <c r="P11" s="34">
        <v>0</v>
      </c>
      <c r="Q11" s="34">
        <v>5495</v>
      </c>
      <c r="R11" s="34">
        <v>2750</v>
      </c>
      <c r="S11" s="34">
        <v>19250</v>
      </c>
      <c r="T11" s="34">
        <v>2995</v>
      </c>
      <c r="U11" s="34">
        <v>9045</v>
      </c>
      <c r="V11" s="34">
        <v>10795</v>
      </c>
      <c r="W11" s="34">
        <v>13985</v>
      </c>
      <c r="X11" s="34">
        <v>10990</v>
      </c>
      <c r="Y11" s="34">
        <v>13490</v>
      </c>
      <c r="Z11" s="69">
        <f t="shared" si="1"/>
        <v>7386.75</v>
      </c>
      <c r="AA11" s="103"/>
      <c r="AX11"/>
    </row>
    <row r="12" spans="1:50">
      <c r="B12" s="4" t="s">
        <v>99</v>
      </c>
      <c r="C12" s="20">
        <f t="shared" si="0"/>
        <v>6000</v>
      </c>
      <c r="D12" s="10"/>
      <c r="E12" s="11">
        <v>0</v>
      </c>
      <c r="F12" s="34">
        <v>0</v>
      </c>
      <c r="G12" s="34">
        <v>2427</v>
      </c>
      <c r="H12" s="34">
        <v>0</v>
      </c>
      <c r="I12" s="34">
        <v>0</v>
      </c>
      <c r="J12" s="34">
        <v>0</v>
      </c>
      <c r="K12" s="34">
        <v>4135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8995</v>
      </c>
      <c r="X12" s="34">
        <v>0</v>
      </c>
      <c r="Y12" s="34">
        <v>0</v>
      </c>
      <c r="Z12" s="69">
        <f t="shared" si="1"/>
        <v>777.85</v>
      </c>
      <c r="AA12" s="103"/>
      <c r="AX12"/>
    </row>
    <row r="13" spans="1:50">
      <c r="B13" s="4" t="s">
        <v>3</v>
      </c>
      <c r="C13" s="21">
        <f t="shared" si="0"/>
        <v>16810</v>
      </c>
      <c r="D13" s="13"/>
      <c r="E13" s="40">
        <v>31055</v>
      </c>
      <c r="F13" s="35">
        <v>7588</v>
      </c>
      <c r="G13" s="35">
        <v>15703</v>
      </c>
      <c r="H13" s="35">
        <v>16761</v>
      </c>
      <c r="I13" s="35">
        <v>20869</v>
      </c>
      <c r="J13" s="35">
        <v>25745</v>
      </c>
      <c r="K13" s="35">
        <v>16061</v>
      </c>
      <c r="L13" s="35">
        <v>17215</v>
      </c>
      <c r="M13" s="35">
        <v>12802</v>
      </c>
      <c r="N13" s="35">
        <v>16346</v>
      </c>
      <c r="O13" s="35">
        <v>18299</v>
      </c>
      <c r="P13" s="35">
        <v>41717</v>
      </c>
      <c r="Q13" s="35">
        <v>16861</v>
      </c>
      <c r="R13" s="35">
        <v>27226</v>
      </c>
      <c r="S13" s="35">
        <v>17028</v>
      </c>
      <c r="T13" s="35">
        <v>18119</v>
      </c>
      <c r="U13" s="35">
        <v>13874</v>
      </c>
      <c r="V13" s="35">
        <v>13317</v>
      </c>
      <c r="W13" s="35">
        <v>17568</v>
      </c>
      <c r="X13" s="35">
        <v>23726</v>
      </c>
      <c r="Y13" s="35">
        <v>16649</v>
      </c>
      <c r="Z13" s="69">
        <f t="shared" si="1"/>
        <v>18673.7</v>
      </c>
      <c r="AA13" s="103"/>
      <c r="AX13"/>
    </row>
    <row r="14" spans="1:50" ht="15.75" thickBot="1">
      <c r="B14" s="14" t="s">
        <v>27</v>
      </c>
      <c r="C14" s="20">
        <f>SUM(C7:C13)</f>
        <v>84660</v>
      </c>
      <c r="D14" s="20">
        <f t="shared" ref="D14:E14" si="2">SUM(D7:D13)</f>
        <v>0</v>
      </c>
      <c r="E14" s="11">
        <f t="shared" si="2"/>
        <v>114420</v>
      </c>
      <c r="F14" s="127">
        <v>40490</v>
      </c>
      <c r="G14" s="127">
        <v>75215</v>
      </c>
      <c r="H14" s="127">
        <v>49226</v>
      </c>
      <c r="I14" s="127">
        <v>60928</v>
      </c>
      <c r="J14" s="127">
        <v>81332</v>
      </c>
      <c r="K14" s="127">
        <v>43920</v>
      </c>
      <c r="L14" s="127">
        <v>57910</v>
      </c>
      <c r="M14" s="127">
        <v>46672</v>
      </c>
      <c r="N14" s="127">
        <v>43286</v>
      </c>
      <c r="O14" s="127">
        <v>50084</v>
      </c>
      <c r="P14" s="127">
        <v>51407</v>
      </c>
      <c r="Q14" s="127">
        <v>47801</v>
      </c>
      <c r="R14" s="127">
        <v>51238</v>
      </c>
      <c r="S14" s="127">
        <v>66724</v>
      </c>
      <c r="T14" s="127">
        <v>58684</v>
      </c>
      <c r="U14" s="127">
        <v>57784</v>
      </c>
      <c r="V14" s="127">
        <v>52767</v>
      </c>
      <c r="W14" s="127">
        <v>65386</v>
      </c>
      <c r="X14" s="127">
        <v>82491</v>
      </c>
      <c r="Y14" s="127">
        <v>51094</v>
      </c>
      <c r="Z14" s="67">
        <f t="shared" si="1"/>
        <v>56721.95</v>
      </c>
      <c r="AA14" s="103"/>
      <c r="AX14"/>
    </row>
    <row r="15" spans="1:50" s="1" customFormat="1" ht="13.5" thickBot="1">
      <c r="B15" s="14"/>
      <c r="C15" s="20"/>
      <c r="D15" s="12"/>
      <c r="E15" s="41"/>
      <c r="F15" s="12"/>
      <c r="G15" s="12"/>
      <c r="H15" s="12"/>
      <c r="I15" s="12"/>
      <c r="J15" s="7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Y15" s="43" t="s">
        <v>36</v>
      </c>
      <c r="Z15" s="58">
        <f>(SUM(F14:Y14)/(COUNT(F14:Y14)))</f>
        <v>56721.95</v>
      </c>
      <c r="AA15" s="104"/>
    </row>
    <row r="16" spans="1:50" s="1" customFormat="1" ht="12.75">
      <c r="B16" s="14"/>
      <c r="C16" s="14"/>
      <c r="D16" s="14"/>
      <c r="E16" s="12"/>
      <c r="F16" s="12"/>
      <c r="G16" s="12"/>
      <c r="H16" s="12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4"/>
      <c r="AA16" s="104"/>
    </row>
    <row r="17" spans="2:50" s="1" customFormat="1" ht="12.75">
      <c r="B17" s="22" t="s">
        <v>29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104"/>
      <c r="AA17" s="104"/>
    </row>
    <row r="18" spans="2:50" s="1" customFormat="1" ht="12.75">
      <c r="B18" s="23"/>
      <c r="C18" s="23"/>
      <c r="D18" s="23"/>
      <c r="E18" s="23"/>
      <c r="F18" s="23" t="str">
        <f>+F6</f>
        <v>Day 1</v>
      </c>
      <c r="G18" s="23" t="str">
        <f t="shared" ref="G18:Y18" si="3">+G6</f>
        <v>Day 2</v>
      </c>
      <c r="H18" s="23" t="str">
        <f t="shared" si="3"/>
        <v>Day 3</v>
      </c>
      <c r="I18" s="23" t="str">
        <f t="shared" si="3"/>
        <v>Day 4</v>
      </c>
      <c r="J18" s="23" t="str">
        <f t="shared" si="3"/>
        <v>Day 5</v>
      </c>
      <c r="K18" s="23" t="str">
        <f t="shared" si="3"/>
        <v>Day 6</v>
      </c>
      <c r="L18" s="23" t="str">
        <f t="shared" si="3"/>
        <v>Day 7</v>
      </c>
      <c r="M18" s="23" t="str">
        <f t="shared" si="3"/>
        <v>Day 8</v>
      </c>
      <c r="N18" s="23" t="str">
        <f t="shared" si="3"/>
        <v>Day 9</v>
      </c>
      <c r="O18" s="23" t="str">
        <f t="shared" si="3"/>
        <v>Day 10</v>
      </c>
      <c r="P18" s="23" t="str">
        <f t="shared" si="3"/>
        <v>Day 11</v>
      </c>
      <c r="Q18" s="23" t="str">
        <f t="shared" si="3"/>
        <v>Day 12</v>
      </c>
      <c r="R18" s="23" t="str">
        <f t="shared" si="3"/>
        <v>Day 13</v>
      </c>
      <c r="S18" s="23" t="str">
        <f t="shared" si="3"/>
        <v>Day 14</v>
      </c>
      <c r="T18" s="23" t="str">
        <f t="shared" si="3"/>
        <v>Day 15</v>
      </c>
      <c r="U18" s="23" t="str">
        <f t="shared" si="3"/>
        <v>Day 16</v>
      </c>
      <c r="V18" s="23" t="str">
        <f t="shared" si="3"/>
        <v>Day 17</v>
      </c>
      <c r="W18" s="23" t="str">
        <f t="shared" si="3"/>
        <v>Day 18</v>
      </c>
      <c r="X18" s="23" t="str">
        <f t="shared" si="3"/>
        <v>Day 19</v>
      </c>
      <c r="Y18" s="23" t="str">
        <f t="shared" si="3"/>
        <v>Day 20</v>
      </c>
      <c r="Z18" s="104"/>
      <c r="AA18" s="104"/>
    </row>
    <row r="19" spans="2:50" s="1" customFormat="1" ht="12.75">
      <c r="B19" s="23" t="s">
        <v>0</v>
      </c>
      <c r="C19" s="25">
        <f t="shared" ref="C19:C26" si="4">(C7-$C7)/$C7+1</f>
        <v>1</v>
      </c>
      <c r="D19" s="25"/>
      <c r="E19" s="25"/>
      <c r="F19" s="25">
        <f t="shared" ref="F19:Y22" si="5">(F7-$C7)/$C7+1</f>
        <v>0.69872222222222224</v>
      </c>
      <c r="G19" s="25">
        <f t="shared" si="5"/>
        <v>0.65333333333333332</v>
      </c>
      <c r="H19" s="25">
        <f t="shared" si="5"/>
        <v>0.50777777777777777</v>
      </c>
      <c r="I19" s="25">
        <f t="shared" si="5"/>
        <v>0.87383333333333335</v>
      </c>
      <c r="J19" s="25">
        <f t="shared" si="5"/>
        <v>0.57816666666666672</v>
      </c>
      <c r="K19" s="25">
        <f t="shared" si="5"/>
        <v>0.28022222222222226</v>
      </c>
      <c r="L19" s="25">
        <f t="shared" si="5"/>
        <v>0.35944444444444446</v>
      </c>
      <c r="M19" s="25">
        <f t="shared" si="5"/>
        <v>0.17972222222222223</v>
      </c>
      <c r="N19" s="25">
        <f t="shared" si="5"/>
        <v>0.71944444444444444</v>
      </c>
      <c r="O19" s="25">
        <f t="shared" si="5"/>
        <v>0.34472222222222226</v>
      </c>
      <c r="P19" s="25">
        <f t="shared" si="5"/>
        <v>0</v>
      </c>
      <c r="Q19" s="25">
        <f t="shared" si="5"/>
        <v>0.59916666666666663</v>
      </c>
      <c r="R19" s="25">
        <f t="shared" si="5"/>
        <v>0.41316666666666668</v>
      </c>
      <c r="S19" s="25">
        <f t="shared" si="5"/>
        <v>0.4311666666666667</v>
      </c>
      <c r="T19" s="25">
        <f t="shared" si="5"/>
        <v>0.97694444444444439</v>
      </c>
      <c r="U19" s="25">
        <f t="shared" si="5"/>
        <v>0.85694444444444451</v>
      </c>
      <c r="V19" s="25">
        <f t="shared" si="5"/>
        <v>0.79416666666666669</v>
      </c>
      <c r="W19" s="25">
        <f t="shared" si="5"/>
        <v>0.42572222222222222</v>
      </c>
      <c r="X19" s="25">
        <f t="shared" si="5"/>
        <v>0.90500000000000003</v>
      </c>
      <c r="Y19" s="25">
        <f t="shared" si="5"/>
        <v>0.5872222222222222</v>
      </c>
      <c r="Z19" s="104"/>
      <c r="AA19" s="104"/>
    </row>
    <row r="20" spans="2:50" s="1" customFormat="1" ht="12.75">
      <c r="B20" s="23" t="s">
        <v>64</v>
      </c>
      <c r="C20" s="25">
        <f t="shared" si="4"/>
        <v>1</v>
      </c>
      <c r="D20" s="25"/>
      <c r="E20" s="25"/>
      <c r="F20" s="25">
        <f t="shared" si="5"/>
        <v>0</v>
      </c>
      <c r="G20" s="25">
        <f t="shared" si="5"/>
        <v>0.53277777777777779</v>
      </c>
      <c r="H20" s="25">
        <f t="shared" si="5"/>
        <v>0</v>
      </c>
      <c r="I20" s="25">
        <f t="shared" si="5"/>
        <v>0</v>
      </c>
      <c r="J20" s="25">
        <f t="shared" si="5"/>
        <v>0</v>
      </c>
      <c r="K20" s="25">
        <f t="shared" si="5"/>
        <v>0.21666666666666667</v>
      </c>
      <c r="L20" s="25">
        <f t="shared" si="5"/>
        <v>0.96611111111111114</v>
      </c>
      <c r="M20" s="25">
        <f t="shared" si="5"/>
        <v>0.77722222222222226</v>
      </c>
      <c r="N20" s="25">
        <f t="shared" si="5"/>
        <v>0</v>
      </c>
      <c r="O20" s="25">
        <f t="shared" si="5"/>
        <v>0</v>
      </c>
      <c r="P20" s="25">
        <f t="shared" si="5"/>
        <v>0</v>
      </c>
      <c r="Q20" s="25">
        <f t="shared" si="5"/>
        <v>0</v>
      </c>
      <c r="R20" s="25">
        <f t="shared" si="5"/>
        <v>0.16666666666666663</v>
      </c>
      <c r="S20" s="25">
        <f t="shared" si="5"/>
        <v>0.2994444444444444</v>
      </c>
      <c r="T20" s="25">
        <f t="shared" si="5"/>
        <v>0</v>
      </c>
      <c r="U20" s="25">
        <f t="shared" si="5"/>
        <v>0</v>
      </c>
      <c r="V20" s="25">
        <f t="shared" si="5"/>
        <v>0</v>
      </c>
      <c r="W20" s="25">
        <f t="shared" si="5"/>
        <v>0.2994444444444444</v>
      </c>
      <c r="X20" s="25">
        <f t="shared" si="5"/>
        <v>1.1105555555555555</v>
      </c>
      <c r="Y20" s="25">
        <f t="shared" si="5"/>
        <v>0</v>
      </c>
      <c r="Z20" s="104"/>
      <c r="AA20" s="104"/>
    </row>
    <row r="21" spans="2:50" s="1" customFormat="1" ht="12.75">
      <c r="B21" s="4" t="s">
        <v>77</v>
      </c>
      <c r="C21" s="25">
        <f t="shared" si="4"/>
        <v>1</v>
      </c>
      <c r="D21" s="25"/>
      <c r="E21" s="25"/>
      <c r="F21" s="25">
        <f t="shared" si="5"/>
        <v>1.0322222222222222</v>
      </c>
      <c r="G21" s="25">
        <f t="shared" si="5"/>
        <v>1.3116666666666665</v>
      </c>
      <c r="H21" s="25">
        <f t="shared" si="5"/>
        <v>0.83777777777777773</v>
      </c>
      <c r="I21" s="25">
        <f t="shared" si="5"/>
        <v>0.6661111111111111</v>
      </c>
      <c r="J21" s="25">
        <f t="shared" si="5"/>
        <v>3.0172222222222222</v>
      </c>
      <c r="K21" s="25">
        <f t="shared" si="5"/>
        <v>0.18833333333333335</v>
      </c>
      <c r="L21" s="25">
        <f t="shared" si="5"/>
        <v>0.22222222222222221</v>
      </c>
      <c r="M21" s="25">
        <f t="shared" si="5"/>
        <v>0.93277777777777782</v>
      </c>
      <c r="N21" s="25">
        <f t="shared" si="5"/>
        <v>0.2994444444444444</v>
      </c>
      <c r="O21" s="25">
        <f t="shared" si="5"/>
        <v>0</v>
      </c>
      <c r="P21" s="25">
        <f t="shared" si="5"/>
        <v>0.2994444444444444</v>
      </c>
      <c r="Q21" s="25">
        <f t="shared" si="5"/>
        <v>0</v>
      </c>
      <c r="R21" s="25">
        <f t="shared" si="5"/>
        <v>0.19833333333333336</v>
      </c>
      <c r="S21" s="25">
        <f t="shared" si="5"/>
        <v>1.2661111111111112</v>
      </c>
      <c r="T21" s="25">
        <f t="shared" si="5"/>
        <v>0</v>
      </c>
      <c r="U21" s="25">
        <f t="shared" si="5"/>
        <v>0.52166666666666672</v>
      </c>
      <c r="V21" s="25">
        <f t="shared" si="5"/>
        <v>0.2994444444444444</v>
      </c>
      <c r="W21" s="25">
        <f t="shared" si="5"/>
        <v>0</v>
      </c>
      <c r="X21" s="25">
        <f t="shared" si="5"/>
        <v>0.33333333333333337</v>
      </c>
      <c r="Y21" s="25">
        <f t="shared" si="5"/>
        <v>0</v>
      </c>
      <c r="Z21" s="104"/>
      <c r="AA21" s="104"/>
    </row>
    <row r="22" spans="2:50" s="1" customFormat="1" ht="12.75">
      <c r="B22" s="4" t="str">
        <f>+B10</f>
        <v>Boston</v>
      </c>
      <c r="C22" s="25">
        <f t="shared" si="4"/>
        <v>1</v>
      </c>
      <c r="D22" s="25"/>
      <c r="E22" s="25"/>
      <c r="F22" s="25">
        <f>(F10-$C10)/$C10+1</f>
        <v>0.49476923076923074</v>
      </c>
      <c r="G22" s="25">
        <f t="shared" si="5"/>
        <v>1.1375384615384616</v>
      </c>
      <c r="H22" s="25">
        <f t="shared" si="5"/>
        <v>0.84861538461538455</v>
      </c>
      <c r="I22" s="25">
        <f t="shared" si="5"/>
        <v>1.036</v>
      </c>
      <c r="J22" s="25">
        <f t="shared" si="5"/>
        <v>0.80215384615384622</v>
      </c>
      <c r="K22" s="25">
        <f t="shared" si="5"/>
        <v>0.26430769230769235</v>
      </c>
      <c r="L22" s="25">
        <f t="shared" si="5"/>
        <v>0.92523076923076919</v>
      </c>
      <c r="M22" s="25">
        <f t="shared" si="5"/>
        <v>0.50769230769230766</v>
      </c>
      <c r="N22" s="25">
        <f t="shared" si="5"/>
        <v>0.51076923076923075</v>
      </c>
      <c r="O22" s="25">
        <f t="shared" si="5"/>
        <v>1.0821538461538462</v>
      </c>
      <c r="P22" s="25">
        <f t="shared" si="5"/>
        <v>0.43046153846153845</v>
      </c>
      <c r="Q22" s="25">
        <f t="shared" si="5"/>
        <v>0.9021538461538462</v>
      </c>
      <c r="R22" s="25">
        <f t="shared" si="5"/>
        <v>0.64861538461538459</v>
      </c>
      <c r="S22" s="25">
        <f t="shared" si="5"/>
        <v>0.52892307692307694</v>
      </c>
      <c r="T22" s="25">
        <f t="shared" si="5"/>
        <v>1.2298461538461538</v>
      </c>
      <c r="U22" s="25">
        <f t="shared" si="5"/>
        <v>0.90738461538461535</v>
      </c>
      <c r="V22" s="25">
        <f t="shared" si="5"/>
        <v>0.7178461538461538</v>
      </c>
      <c r="W22" s="25">
        <f t="shared" si="5"/>
        <v>0.8910769230769231</v>
      </c>
      <c r="X22" s="25">
        <f t="shared" si="5"/>
        <v>1.1378461538461537</v>
      </c>
      <c r="Y22" s="25">
        <f t="shared" si="5"/>
        <v>0.6390769230769231</v>
      </c>
      <c r="Z22" s="104"/>
      <c r="AA22" s="104"/>
    </row>
    <row r="23" spans="2:50" s="1" customFormat="1" ht="12.75">
      <c r="B23" s="23" t="s">
        <v>2</v>
      </c>
      <c r="C23" s="25">
        <f t="shared" si="4"/>
        <v>1</v>
      </c>
      <c r="D23" s="25"/>
      <c r="E23" s="25"/>
      <c r="F23" s="25">
        <f t="shared" ref="F23:Y26" si="6">(F11-$C11)/$C11+1</f>
        <v>0.3119791666666667</v>
      </c>
      <c r="G23" s="25">
        <f t="shared" si="6"/>
        <v>1.0666666666666667</v>
      </c>
      <c r="H23" s="25">
        <f t="shared" si="6"/>
        <v>0.20781249999999996</v>
      </c>
      <c r="I23" s="25">
        <f t="shared" si="6"/>
        <v>0.15625</v>
      </c>
      <c r="J23" s="25">
        <f t="shared" si="6"/>
        <v>0.51979166666666665</v>
      </c>
      <c r="K23" s="25">
        <f t="shared" si="6"/>
        <v>1.1187499999999999</v>
      </c>
      <c r="L23" s="25">
        <f t="shared" si="6"/>
        <v>0.88489583333333333</v>
      </c>
      <c r="M23" s="25">
        <f t="shared" si="6"/>
        <v>0.72864583333333333</v>
      </c>
      <c r="N23" s="25">
        <f t="shared" si="6"/>
        <v>0.3119791666666667</v>
      </c>
      <c r="O23" s="25">
        <f t="shared" si="6"/>
        <v>0.83281249999999996</v>
      </c>
      <c r="P23" s="25">
        <f t="shared" si="6"/>
        <v>0</v>
      </c>
      <c r="Q23" s="25">
        <f t="shared" si="6"/>
        <v>0.57239583333333333</v>
      </c>
      <c r="R23" s="25">
        <f t="shared" si="6"/>
        <v>0.28645833333333337</v>
      </c>
      <c r="S23" s="25">
        <f t="shared" si="6"/>
        <v>2.005208333333333</v>
      </c>
      <c r="T23" s="25">
        <f t="shared" si="6"/>
        <v>0.3119791666666667</v>
      </c>
      <c r="U23" s="25">
        <f t="shared" si="6"/>
        <v>0.94218749999999996</v>
      </c>
      <c r="V23" s="25">
        <f t="shared" si="6"/>
        <v>1.1244791666666667</v>
      </c>
      <c r="W23" s="25">
        <f t="shared" si="6"/>
        <v>1.4567708333333333</v>
      </c>
      <c r="X23" s="25">
        <f t="shared" si="6"/>
        <v>1.1447916666666667</v>
      </c>
      <c r="Y23" s="25">
        <f t="shared" si="6"/>
        <v>1.4052083333333334</v>
      </c>
      <c r="Z23" s="104"/>
      <c r="AA23" s="104"/>
    </row>
    <row r="24" spans="2:50" s="1" customFormat="1" ht="12.75">
      <c r="B24" s="4" t="s">
        <v>99</v>
      </c>
      <c r="C24" s="25">
        <f t="shared" si="4"/>
        <v>1</v>
      </c>
      <c r="D24" s="25"/>
      <c r="E24" s="25"/>
      <c r="F24" s="25">
        <f t="shared" si="6"/>
        <v>0</v>
      </c>
      <c r="G24" s="25">
        <f t="shared" si="6"/>
        <v>0.40449999999999997</v>
      </c>
      <c r="H24" s="25">
        <f t="shared" si="6"/>
        <v>0</v>
      </c>
      <c r="I24" s="25">
        <f t="shared" si="6"/>
        <v>0</v>
      </c>
      <c r="J24" s="25">
        <f t="shared" si="6"/>
        <v>0</v>
      </c>
      <c r="K24" s="25">
        <f t="shared" si="6"/>
        <v>0.68916666666666671</v>
      </c>
      <c r="L24" s="25">
        <f t="shared" si="6"/>
        <v>0</v>
      </c>
      <c r="M24" s="25">
        <f t="shared" si="6"/>
        <v>0</v>
      </c>
      <c r="N24" s="25">
        <f t="shared" si="6"/>
        <v>0</v>
      </c>
      <c r="O24" s="25">
        <f t="shared" si="6"/>
        <v>0</v>
      </c>
      <c r="P24" s="25">
        <f t="shared" si="6"/>
        <v>0</v>
      </c>
      <c r="Q24" s="25">
        <f t="shared" si="6"/>
        <v>0</v>
      </c>
      <c r="R24" s="25">
        <f t="shared" si="6"/>
        <v>0</v>
      </c>
      <c r="S24" s="25">
        <f t="shared" si="6"/>
        <v>0</v>
      </c>
      <c r="T24" s="25">
        <f t="shared" si="6"/>
        <v>0</v>
      </c>
      <c r="U24" s="25">
        <f t="shared" si="6"/>
        <v>0</v>
      </c>
      <c r="V24" s="25">
        <f t="shared" si="6"/>
        <v>0</v>
      </c>
      <c r="W24" s="25">
        <f t="shared" si="6"/>
        <v>1.4991666666666665</v>
      </c>
      <c r="X24" s="25">
        <f t="shared" si="6"/>
        <v>0</v>
      </c>
      <c r="Y24" s="25">
        <f t="shared" si="6"/>
        <v>0</v>
      </c>
      <c r="Z24" s="104"/>
      <c r="AA24" s="104"/>
    </row>
    <row r="25" spans="2:50" s="1" customFormat="1" ht="12.75">
      <c r="B25" s="23" t="s">
        <v>3</v>
      </c>
      <c r="C25" s="27">
        <f t="shared" si="4"/>
        <v>1</v>
      </c>
      <c r="D25" s="27"/>
      <c r="E25" s="27"/>
      <c r="F25" s="27">
        <f t="shared" si="6"/>
        <v>0.45139797739440812</v>
      </c>
      <c r="G25" s="27">
        <f t="shared" si="6"/>
        <v>0.93414634146341458</v>
      </c>
      <c r="H25" s="27">
        <f t="shared" si="6"/>
        <v>0.99708506841165978</v>
      </c>
      <c r="I25" s="27">
        <f t="shared" si="6"/>
        <v>1.2414634146341463</v>
      </c>
      <c r="J25" s="27">
        <f t="shared" si="6"/>
        <v>1.5315288518738845</v>
      </c>
      <c r="K25" s="27">
        <f t="shared" si="6"/>
        <v>0.9554431885782273</v>
      </c>
      <c r="L25" s="27">
        <f t="shared" si="6"/>
        <v>1.0240928019036288</v>
      </c>
      <c r="M25" s="27">
        <f t="shared" si="6"/>
        <v>0.76157049375371799</v>
      </c>
      <c r="N25" s="27">
        <f t="shared" si="6"/>
        <v>0.97239738251041041</v>
      </c>
      <c r="O25" s="27">
        <f t="shared" si="6"/>
        <v>1.0885782272456872</v>
      </c>
      <c r="P25" s="27">
        <f t="shared" si="6"/>
        <v>2.4816775728732896</v>
      </c>
      <c r="Q25" s="27">
        <f t="shared" si="6"/>
        <v>1.0030339083878643</v>
      </c>
      <c r="R25" s="27">
        <f t="shared" si="6"/>
        <v>1.6196311719214753</v>
      </c>
      <c r="S25" s="27">
        <f t="shared" si="6"/>
        <v>1.0129684711481262</v>
      </c>
      <c r="T25" s="27">
        <f t="shared" si="6"/>
        <v>1.0778703152885187</v>
      </c>
      <c r="U25" s="27">
        <f t="shared" si="6"/>
        <v>0.82534205829863172</v>
      </c>
      <c r="V25" s="27">
        <f t="shared" si="6"/>
        <v>0.7922070196311719</v>
      </c>
      <c r="W25" s="27">
        <f t="shared" si="6"/>
        <v>1.0450922070196311</v>
      </c>
      <c r="X25" s="27">
        <f t="shared" si="6"/>
        <v>1.4114217727543128</v>
      </c>
      <c r="Y25" s="27">
        <f t="shared" si="6"/>
        <v>0.99042236763831049</v>
      </c>
      <c r="Z25" s="104"/>
      <c r="AA25" s="104"/>
    </row>
    <row r="26" spans="2:50" s="1" customFormat="1" ht="12.75">
      <c r="B26" s="29" t="s">
        <v>27</v>
      </c>
      <c r="C26" s="25">
        <f t="shared" si="4"/>
        <v>1</v>
      </c>
      <c r="D26" s="25"/>
      <c r="E26" s="25"/>
      <c r="F26" s="25">
        <f>(F14-$C14)/$C14+1</f>
        <v>0.47826600519725959</v>
      </c>
      <c r="G26" s="25">
        <f t="shared" si="6"/>
        <v>0.88843609733049844</v>
      </c>
      <c r="H26" s="25">
        <f t="shared" si="6"/>
        <v>0.58145523269548782</v>
      </c>
      <c r="I26" s="25">
        <f t="shared" si="6"/>
        <v>0.71967871485943768</v>
      </c>
      <c r="J26" s="25">
        <f>(J14-$C14)/$C14+1</f>
        <v>0.96068981809591303</v>
      </c>
      <c r="K26" s="25">
        <f>(K14-$C14)/$C14+1</f>
        <v>0.51878100637845503</v>
      </c>
      <c r="L26" s="25">
        <f>(L14-$C14)/$C14+1</f>
        <v>0.68403023860146472</v>
      </c>
      <c r="M26" s="25">
        <f t="shared" si="6"/>
        <v>0.55128750295298845</v>
      </c>
      <c r="N26" s="25">
        <f t="shared" si="6"/>
        <v>0.51129222773446736</v>
      </c>
      <c r="O26" s="25">
        <f t="shared" si="6"/>
        <v>0.5915898889676352</v>
      </c>
      <c r="P26" s="25">
        <f t="shared" si="6"/>
        <v>0.60721710370895354</v>
      </c>
      <c r="Q26" s="25">
        <f t="shared" si="6"/>
        <v>0.56462319867706112</v>
      </c>
      <c r="R26" s="25">
        <f t="shared" si="6"/>
        <v>0.60522088353413661</v>
      </c>
      <c r="S26" s="25">
        <f>(S14-$C14)/$C14+1</f>
        <v>0.78814079848806995</v>
      </c>
      <c r="T26" s="25">
        <f>(T14-$C14)/$C14+1</f>
        <v>0.69317269076305221</v>
      </c>
      <c r="U26" s="25">
        <f>(U14-$C14)/$C14+1</f>
        <v>0.68254193243562478</v>
      </c>
      <c r="V26" s="25">
        <f>(V14-$C14)/$C14+1</f>
        <v>0.62328136073706597</v>
      </c>
      <c r="W26" s="25">
        <f>(W14-$C14)/$C14+1</f>
        <v>0.77233640444129459</v>
      </c>
      <c r="X26" s="25">
        <f t="shared" si="6"/>
        <v>0.97437987243090007</v>
      </c>
      <c r="Y26" s="25">
        <f t="shared" si="6"/>
        <v>0.60351996220174819</v>
      </c>
      <c r="Z26" s="104"/>
      <c r="AA26" s="104"/>
    </row>
    <row r="27" spans="2:50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03"/>
      <c r="AA27" s="103"/>
      <c r="AX27"/>
    </row>
    <row r="28" spans="2:50">
      <c r="B28" s="9" t="s">
        <v>33</v>
      </c>
      <c r="C28" s="4"/>
      <c r="D28" s="4"/>
      <c r="E28" s="4"/>
      <c r="F28" s="49">
        <f>+F2/$Y$2</f>
        <v>0.05</v>
      </c>
      <c r="G28" s="49">
        <f t="shared" ref="G28:Y28" si="7">+G2/$Y$2</f>
        <v>0.1</v>
      </c>
      <c r="H28" s="49">
        <f t="shared" si="7"/>
        <v>0.15</v>
      </c>
      <c r="I28" s="49">
        <f t="shared" si="7"/>
        <v>0.2</v>
      </c>
      <c r="J28" s="49">
        <f t="shared" si="7"/>
        <v>0.25</v>
      </c>
      <c r="K28" s="49">
        <f t="shared" si="7"/>
        <v>0.3</v>
      </c>
      <c r="L28" s="49">
        <f t="shared" si="7"/>
        <v>0.35</v>
      </c>
      <c r="M28" s="49">
        <f t="shared" si="7"/>
        <v>0.4</v>
      </c>
      <c r="N28" s="49">
        <f t="shared" si="7"/>
        <v>0.45</v>
      </c>
      <c r="O28" s="49">
        <f t="shared" si="7"/>
        <v>0.5</v>
      </c>
      <c r="P28" s="49">
        <f t="shared" si="7"/>
        <v>0.55000000000000004</v>
      </c>
      <c r="Q28" s="49">
        <f t="shared" si="7"/>
        <v>0.6</v>
      </c>
      <c r="R28" s="49">
        <f t="shared" si="7"/>
        <v>0.65</v>
      </c>
      <c r="S28" s="49">
        <f t="shared" si="7"/>
        <v>0.7</v>
      </c>
      <c r="T28" s="49">
        <f t="shared" si="7"/>
        <v>0.75</v>
      </c>
      <c r="U28" s="49">
        <f t="shared" si="7"/>
        <v>0.8</v>
      </c>
      <c r="V28" s="49">
        <f t="shared" si="7"/>
        <v>0.85</v>
      </c>
      <c r="W28" s="49">
        <f t="shared" si="7"/>
        <v>0.9</v>
      </c>
      <c r="X28" s="49">
        <f t="shared" si="7"/>
        <v>0.95</v>
      </c>
      <c r="Y28" s="49">
        <f t="shared" si="7"/>
        <v>1</v>
      </c>
      <c r="Z28" s="105" t="s">
        <v>39</v>
      </c>
      <c r="AA28" s="106" t="s">
        <v>37</v>
      </c>
      <c r="AX28"/>
    </row>
    <row r="29" spans="2:50">
      <c r="B29" s="4"/>
      <c r="C29" s="4"/>
      <c r="D29" s="4"/>
      <c r="E29" s="4"/>
      <c r="F29" s="4" t="str">
        <f t="shared" ref="F29:Y29" si="8">+F18</f>
        <v>Day 1</v>
      </c>
      <c r="G29" s="4" t="str">
        <f t="shared" si="8"/>
        <v>Day 2</v>
      </c>
      <c r="H29" s="4" t="str">
        <f t="shared" si="8"/>
        <v>Day 3</v>
      </c>
      <c r="I29" s="4" t="str">
        <f t="shared" si="8"/>
        <v>Day 4</v>
      </c>
      <c r="J29" s="4" t="str">
        <f t="shared" si="8"/>
        <v>Day 5</v>
      </c>
      <c r="K29" s="4" t="str">
        <f t="shared" si="8"/>
        <v>Day 6</v>
      </c>
      <c r="L29" s="4" t="str">
        <f t="shared" si="8"/>
        <v>Day 7</v>
      </c>
      <c r="M29" s="4" t="str">
        <f t="shared" si="8"/>
        <v>Day 8</v>
      </c>
      <c r="N29" s="4" t="str">
        <f t="shared" si="8"/>
        <v>Day 9</v>
      </c>
      <c r="O29" s="4" t="str">
        <f t="shared" si="8"/>
        <v>Day 10</v>
      </c>
      <c r="P29" s="4" t="str">
        <f t="shared" si="8"/>
        <v>Day 11</v>
      </c>
      <c r="Q29" s="4" t="str">
        <f t="shared" si="8"/>
        <v>Day 12</v>
      </c>
      <c r="R29" s="4" t="str">
        <f t="shared" si="8"/>
        <v>Day 13</v>
      </c>
      <c r="S29" s="4" t="str">
        <f t="shared" si="8"/>
        <v>Day 14</v>
      </c>
      <c r="T29" s="4" t="str">
        <f t="shared" si="8"/>
        <v>Day 15</v>
      </c>
      <c r="U29" s="4" t="str">
        <f t="shared" si="8"/>
        <v>Day 16</v>
      </c>
      <c r="V29" s="4" t="str">
        <f t="shared" si="8"/>
        <v>Day 17</v>
      </c>
      <c r="W29" s="4" t="str">
        <f t="shared" si="8"/>
        <v>Day 18</v>
      </c>
      <c r="X29" s="4" t="str">
        <f t="shared" si="8"/>
        <v>Day 19</v>
      </c>
      <c r="Y29" s="4" t="str">
        <f t="shared" si="8"/>
        <v>Day 20</v>
      </c>
      <c r="Z29" s="107" t="s">
        <v>40</v>
      </c>
      <c r="AA29" s="108" t="s">
        <v>38</v>
      </c>
      <c r="AX29"/>
    </row>
    <row r="30" spans="2:50">
      <c r="B30" s="4" t="str">
        <f>+B19</f>
        <v>San Diego</v>
      </c>
      <c r="C30" s="4"/>
      <c r="D30" s="4"/>
      <c r="E30" s="23"/>
      <c r="F30" s="34">
        <v>32237</v>
      </c>
      <c r="G30" s="34">
        <v>43997</v>
      </c>
      <c r="H30" s="34">
        <v>53167</v>
      </c>
      <c r="I30" s="34">
        <v>68896</v>
      </c>
      <c r="J30" s="34">
        <v>79303</v>
      </c>
      <c r="K30" s="34">
        <v>84347</v>
      </c>
      <c r="L30" s="34">
        <v>87425</v>
      </c>
      <c r="M30" s="34">
        <v>87618</v>
      </c>
      <c r="N30" s="34">
        <v>100568</v>
      </c>
      <c r="O30" s="34">
        <v>106773</v>
      </c>
      <c r="P30" s="34">
        <v>106773</v>
      </c>
      <c r="Q30" s="34">
        <v>117558</v>
      </c>
      <c r="R30" s="34">
        <v>124995</v>
      </c>
      <c r="S30" s="34">
        <v>132756</v>
      </c>
      <c r="T30" s="34">
        <v>146890</v>
      </c>
      <c r="U30" s="34">
        <v>156380</v>
      </c>
      <c r="V30" s="34">
        <v>169055</v>
      </c>
      <c r="W30" s="34">
        <v>173483</v>
      </c>
      <c r="X30" s="34">
        <v>189233</v>
      </c>
      <c r="Y30" s="34">
        <v>198403</v>
      </c>
      <c r="Z30" s="109">
        <f>INDEX(F30:Y30,0,COUNT(F30:Y30))/C53</f>
        <v>0.5511194444444445</v>
      </c>
      <c r="AA30" s="145">
        <f>Z30-((COUNT(F30:Y30)*5)/100)</f>
        <v>-0.4488805555555555</v>
      </c>
      <c r="AX30"/>
    </row>
    <row r="31" spans="2:50">
      <c r="B31" s="4" t="str">
        <f>+B20</f>
        <v>Latin America</v>
      </c>
      <c r="C31" s="4"/>
      <c r="D31" s="4"/>
      <c r="E31" s="23"/>
      <c r="F31" s="34">
        <v>0</v>
      </c>
      <c r="G31" s="34">
        <v>4795</v>
      </c>
      <c r="H31" s="34">
        <v>4795</v>
      </c>
      <c r="I31" s="34">
        <v>4795</v>
      </c>
      <c r="J31" s="34">
        <v>4795</v>
      </c>
      <c r="K31" s="34">
        <v>6745</v>
      </c>
      <c r="L31" s="34">
        <v>15440</v>
      </c>
      <c r="M31" s="34">
        <v>22435</v>
      </c>
      <c r="N31" s="34">
        <v>22435</v>
      </c>
      <c r="O31" s="34">
        <v>22435</v>
      </c>
      <c r="P31" s="34">
        <v>22435</v>
      </c>
      <c r="Q31" s="34">
        <v>22435</v>
      </c>
      <c r="R31" s="34">
        <v>23935</v>
      </c>
      <c r="S31" s="34">
        <v>26630</v>
      </c>
      <c r="T31" s="34">
        <v>26630</v>
      </c>
      <c r="U31" s="34">
        <v>26630</v>
      </c>
      <c r="V31" s="34">
        <v>26630</v>
      </c>
      <c r="W31" s="34">
        <v>29325</v>
      </c>
      <c r="X31" s="34">
        <v>39320</v>
      </c>
      <c r="Y31" s="34">
        <v>39320</v>
      </c>
      <c r="Z31" s="109">
        <f t="shared" ref="Z31:Z37" si="9">INDEX(F31:Y31,0,COUNT(F31:Y31))/C54</f>
        <v>0.21844444444444444</v>
      </c>
      <c r="AA31" s="145">
        <f t="shared" ref="AA31:AA37" si="10">Z31-((COUNT(F31:Y31)*5)/100)</f>
        <v>-0.78155555555555556</v>
      </c>
      <c r="AX31"/>
    </row>
    <row r="32" spans="2:50">
      <c r="B32" s="4" t="str">
        <f>+B21</f>
        <v>Brazil</v>
      </c>
      <c r="C32" s="4"/>
      <c r="D32" s="4"/>
      <c r="E32" s="23"/>
      <c r="F32" s="34">
        <v>2695</v>
      </c>
      <c r="G32" s="34">
        <v>10185</v>
      </c>
      <c r="H32" s="34">
        <v>22040</v>
      </c>
      <c r="I32" s="34">
        <v>28035</v>
      </c>
      <c r="J32" s="34">
        <v>55190</v>
      </c>
      <c r="K32" s="34">
        <v>56885</v>
      </c>
      <c r="L32" s="34">
        <v>56885</v>
      </c>
      <c r="M32" s="34">
        <v>67280</v>
      </c>
      <c r="N32" s="34">
        <v>69975</v>
      </c>
      <c r="O32" s="34">
        <v>69975</v>
      </c>
      <c r="P32" s="34">
        <v>69975</v>
      </c>
      <c r="Q32" s="34">
        <v>72670</v>
      </c>
      <c r="R32" s="34">
        <v>74455</v>
      </c>
      <c r="S32" s="34">
        <v>85850</v>
      </c>
      <c r="T32" s="34">
        <v>85850</v>
      </c>
      <c r="U32" s="34">
        <v>90545</v>
      </c>
      <c r="V32" s="34">
        <v>93240</v>
      </c>
      <c r="W32" s="34">
        <v>93240</v>
      </c>
      <c r="X32" s="34">
        <v>96240</v>
      </c>
      <c r="Y32" s="34">
        <v>96240</v>
      </c>
      <c r="Z32" s="109">
        <f t="shared" si="9"/>
        <v>0.53466666666666662</v>
      </c>
      <c r="AA32" s="145">
        <f t="shared" si="10"/>
        <v>-0.46533333333333338</v>
      </c>
      <c r="AX32"/>
    </row>
    <row r="33" spans="2:50">
      <c r="B33" s="4" t="str">
        <f>+B22</f>
        <v>Boston</v>
      </c>
      <c r="C33" s="4"/>
      <c r="D33" s="4"/>
      <c r="E33" s="23"/>
      <c r="F33" s="34">
        <v>46155</v>
      </c>
      <c r="G33" s="34">
        <v>59645</v>
      </c>
      <c r="H33" s="34">
        <v>70440</v>
      </c>
      <c r="I33" s="34">
        <v>85725</v>
      </c>
      <c r="J33" s="34">
        <v>90720</v>
      </c>
      <c r="K33" s="34">
        <v>95015</v>
      </c>
      <c r="L33" s="34">
        <v>104555</v>
      </c>
      <c r="M33" s="34">
        <v>110805</v>
      </c>
      <c r="N33" s="34">
        <v>119105</v>
      </c>
      <c r="O33" s="34">
        <v>136690</v>
      </c>
      <c r="P33" s="34">
        <v>134690</v>
      </c>
      <c r="Q33" s="34">
        <v>143360</v>
      </c>
      <c r="R33" s="34">
        <v>154350</v>
      </c>
      <c r="S33" s="34">
        <v>160300</v>
      </c>
      <c r="T33" s="34">
        <v>176785</v>
      </c>
      <c r="U33" s="34">
        <v>192035</v>
      </c>
      <c r="V33" s="34">
        <v>202200</v>
      </c>
      <c r="W33" s="34">
        <v>199200</v>
      </c>
      <c r="X33" s="34">
        <v>220685</v>
      </c>
      <c r="Y33" s="34">
        <v>228075</v>
      </c>
      <c r="Z33" s="109">
        <f t="shared" si="9"/>
        <v>0.70176923076923081</v>
      </c>
      <c r="AA33" s="145">
        <f t="shared" si="10"/>
        <v>-0.29823076923076919</v>
      </c>
      <c r="AX33"/>
    </row>
    <row r="34" spans="2:50" s="4" customFormat="1" ht="12.75">
      <c r="B34" s="4" t="str">
        <f>+B23</f>
        <v>Canada</v>
      </c>
      <c r="E34" s="23"/>
      <c r="F34" s="34">
        <v>25125</v>
      </c>
      <c r="G34" s="34">
        <v>29875</v>
      </c>
      <c r="H34" s="34">
        <v>37365</v>
      </c>
      <c r="I34" s="34">
        <v>37365</v>
      </c>
      <c r="J34" s="34">
        <v>40360</v>
      </c>
      <c r="K34" s="34">
        <v>49850</v>
      </c>
      <c r="L34" s="34">
        <v>54100</v>
      </c>
      <c r="M34" s="34">
        <v>70085</v>
      </c>
      <c r="N34" s="34">
        <v>70085</v>
      </c>
      <c r="O34" s="34">
        <v>81075</v>
      </c>
      <c r="P34" s="34">
        <v>81075</v>
      </c>
      <c r="Q34" s="34">
        <v>81075</v>
      </c>
      <c r="R34" s="34">
        <v>83825</v>
      </c>
      <c r="S34" s="34">
        <v>100060</v>
      </c>
      <c r="T34" s="34">
        <v>103055</v>
      </c>
      <c r="U34" s="34">
        <v>115095</v>
      </c>
      <c r="V34" s="34">
        <v>125890</v>
      </c>
      <c r="W34" s="34">
        <v>134380</v>
      </c>
      <c r="X34" s="34">
        <v>145370</v>
      </c>
      <c r="Y34" s="34">
        <v>150865</v>
      </c>
      <c r="Z34" s="109">
        <f t="shared" si="9"/>
        <v>0.78575520833333334</v>
      </c>
      <c r="AA34" s="145">
        <f t="shared" si="10"/>
        <v>-0.21424479166666666</v>
      </c>
    </row>
    <row r="35" spans="2:50" s="4" customFormat="1" ht="12.75">
      <c r="B35" s="4" t="s">
        <v>99</v>
      </c>
      <c r="E35" s="23"/>
      <c r="F35" s="34">
        <v>0</v>
      </c>
      <c r="G35" s="34">
        <v>2427</v>
      </c>
      <c r="H35" s="34">
        <v>2427</v>
      </c>
      <c r="I35" s="34">
        <v>2427</v>
      </c>
      <c r="J35" s="34">
        <v>0</v>
      </c>
      <c r="K35" s="34">
        <v>6562</v>
      </c>
      <c r="L35" s="34">
        <v>2427</v>
      </c>
      <c r="M35" s="34">
        <v>6562</v>
      </c>
      <c r="N35" s="34">
        <v>6562</v>
      </c>
      <c r="O35" s="34">
        <v>6562</v>
      </c>
      <c r="P35" s="34">
        <v>6562</v>
      </c>
      <c r="Q35" s="34">
        <v>6562</v>
      </c>
      <c r="R35" s="34">
        <v>6562</v>
      </c>
      <c r="S35" s="34">
        <v>6562</v>
      </c>
      <c r="T35" s="34">
        <v>6562</v>
      </c>
      <c r="U35" s="34">
        <v>6562</v>
      </c>
      <c r="V35" s="34">
        <v>6562</v>
      </c>
      <c r="W35" s="34">
        <v>15557</v>
      </c>
      <c r="X35" s="34">
        <v>15557</v>
      </c>
      <c r="Y35" s="34">
        <v>15557</v>
      </c>
      <c r="Z35" s="109">
        <f t="shared" si="9"/>
        <v>0.12964166666666666</v>
      </c>
      <c r="AA35" s="145">
        <f t="shared" si="10"/>
        <v>-0.87035833333333334</v>
      </c>
    </row>
    <row r="36" spans="2:50">
      <c r="B36" s="5" t="str">
        <f>+B25</f>
        <v>Norwich</v>
      </c>
      <c r="C36" s="19"/>
      <c r="D36" s="19"/>
      <c r="E36" s="35"/>
      <c r="F36" s="35">
        <v>38643</v>
      </c>
      <c r="G36" s="35">
        <v>39317</v>
      </c>
      <c r="H36" s="35">
        <v>58600</v>
      </c>
      <c r="I36" s="35">
        <v>74008</v>
      </c>
      <c r="J36" s="35">
        <v>99753</v>
      </c>
      <c r="K36" s="35">
        <v>114584</v>
      </c>
      <c r="L36" s="35">
        <v>133029</v>
      </c>
      <c r="M36" s="35">
        <v>142675</v>
      </c>
      <c r="N36" s="35">
        <v>152158</v>
      </c>
      <c r="O36" s="35">
        <v>160743</v>
      </c>
      <c r="P36" s="35">
        <v>198350</v>
      </c>
      <c r="Q36" s="35">
        <v>215211</v>
      </c>
      <c r="R36" s="35">
        <v>242436</v>
      </c>
      <c r="S36" s="35">
        <v>259464</v>
      </c>
      <c r="T36" s="35">
        <v>277585</v>
      </c>
      <c r="U36" s="35">
        <v>291459</v>
      </c>
      <c r="V36" s="35">
        <v>304776</v>
      </c>
      <c r="W36" s="35">
        <v>314619</v>
      </c>
      <c r="X36" s="35">
        <v>329027</v>
      </c>
      <c r="Y36" s="35">
        <v>345676</v>
      </c>
      <c r="Z36" s="109">
        <f t="shared" si="9"/>
        <v>1.0281856038072577</v>
      </c>
      <c r="AA36" s="145">
        <f t="shared" si="10"/>
        <v>2.8185603807257653E-2</v>
      </c>
      <c r="AX36"/>
    </row>
    <row r="37" spans="2:50">
      <c r="B37" s="4" t="str">
        <f>+B26</f>
        <v>Group</v>
      </c>
      <c r="C37" s="4"/>
      <c r="D37" s="4"/>
      <c r="E37" s="4"/>
      <c r="F37" s="4">
        <v>144855</v>
      </c>
      <c r="G37" s="4">
        <v>190241</v>
      </c>
      <c r="H37" s="4">
        <v>248834</v>
      </c>
      <c r="I37" s="4">
        <v>301251</v>
      </c>
      <c r="J37" s="4">
        <v>370121</v>
      </c>
      <c r="K37" s="4">
        <v>413988</v>
      </c>
      <c r="L37" s="4">
        <v>453861</v>
      </c>
      <c r="M37" s="4">
        <v>507460</v>
      </c>
      <c r="N37" s="4">
        <v>540888</v>
      </c>
      <c r="O37" s="4">
        <v>584253</v>
      </c>
      <c r="P37" s="4">
        <v>619860</v>
      </c>
      <c r="Q37" s="4">
        <v>658871</v>
      </c>
      <c r="R37" s="4">
        <v>710558</v>
      </c>
      <c r="S37" s="4">
        <v>771622</v>
      </c>
      <c r="T37" s="4">
        <v>823357</v>
      </c>
      <c r="U37" s="4">
        <v>878706</v>
      </c>
      <c r="V37" s="4">
        <v>928353</v>
      </c>
      <c r="W37" s="4">
        <v>959804</v>
      </c>
      <c r="X37" s="4">
        <v>1035432</v>
      </c>
      <c r="Y37" s="4">
        <v>1074136</v>
      </c>
      <c r="Z37" s="109">
        <f t="shared" si="9"/>
        <v>0.63438223482163947</v>
      </c>
      <c r="AA37" s="145">
        <f t="shared" si="10"/>
        <v>-0.36561776517836053</v>
      </c>
      <c r="AX37"/>
    </row>
    <row r="38" spans="2:50" s="1" customFormat="1" ht="11.25">
      <c r="B38" s="1" t="s">
        <v>34</v>
      </c>
      <c r="E38" s="30"/>
      <c r="F38" s="30">
        <f t="shared" ref="F38:N38" si="11">+F37/$C$60</f>
        <v>8.5551027639971647E-2</v>
      </c>
      <c r="G38" s="30">
        <f t="shared" si="11"/>
        <v>0.11235589416489487</v>
      </c>
      <c r="H38" s="30">
        <f t="shared" si="11"/>
        <v>0.1469607843137255</v>
      </c>
      <c r="I38" s="30">
        <f t="shared" si="11"/>
        <v>0.17791814316087881</v>
      </c>
      <c r="J38" s="30">
        <f t="shared" si="11"/>
        <v>0.21859260571698558</v>
      </c>
      <c r="K38" s="30">
        <f t="shared" si="11"/>
        <v>0.24450035435861092</v>
      </c>
      <c r="L38" s="30">
        <f t="shared" si="11"/>
        <v>0.26804925584691708</v>
      </c>
      <c r="M38" s="30">
        <f t="shared" si="11"/>
        <v>0.29970470115757147</v>
      </c>
      <c r="N38" s="30">
        <f t="shared" si="11"/>
        <v>0.31944720056697379</v>
      </c>
      <c r="O38" s="30">
        <f>+O37/$C$60</f>
        <v>0.34505846917080085</v>
      </c>
      <c r="P38" s="30">
        <f t="shared" ref="P38:Y38" si="12">+P37/$C$60</f>
        <v>0.36608788093550676</v>
      </c>
      <c r="Q38" s="30">
        <f t="shared" si="12"/>
        <v>0.38912768721946611</v>
      </c>
      <c r="R38" s="30">
        <f t="shared" si="12"/>
        <v>0.41965390975667377</v>
      </c>
      <c r="S38" s="30">
        <f t="shared" si="12"/>
        <v>0.45571816678478622</v>
      </c>
      <c r="T38" s="30">
        <f t="shared" si="12"/>
        <v>0.48627273801086701</v>
      </c>
      <c r="U38" s="30">
        <f t="shared" si="12"/>
        <v>0.51896172927002127</v>
      </c>
      <c r="V38" s="30">
        <f t="shared" si="12"/>
        <v>0.54828313253012051</v>
      </c>
      <c r="W38" s="30">
        <f t="shared" si="12"/>
        <v>0.56685802031656041</v>
      </c>
      <c r="X38" s="30">
        <f t="shared" si="12"/>
        <v>0.61152374202693127</v>
      </c>
      <c r="Y38" s="30">
        <f t="shared" si="12"/>
        <v>0.63438223482163947</v>
      </c>
    </row>
    <row r="39" spans="2:50" s="1" customFormat="1" ht="11.25"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2:50">
      <c r="B40" s="9" t="s">
        <v>25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X40"/>
    </row>
    <row r="41" spans="2:50">
      <c r="B41" s="4"/>
      <c r="C41" s="4"/>
      <c r="D41" s="4"/>
      <c r="E41" s="4"/>
      <c r="F41" s="4" t="str">
        <f>+F18</f>
        <v>Day 1</v>
      </c>
      <c r="G41" s="4" t="str">
        <f t="shared" ref="G41:Y41" si="13">+G18</f>
        <v>Day 2</v>
      </c>
      <c r="H41" s="4" t="str">
        <f t="shared" si="13"/>
        <v>Day 3</v>
      </c>
      <c r="I41" s="4" t="str">
        <f t="shared" si="13"/>
        <v>Day 4</v>
      </c>
      <c r="J41" s="4" t="str">
        <f t="shared" si="13"/>
        <v>Day 5</v>
      </c>
      <c r="K41" s="4" t="str">
        <f t="shared" si="13"/>
        <v>Day 6</v>
      </c>
      <c r="L41" s="4" t="str">
        <f t="shared" si="13"/>
        <v>Day 7</v>
      </c>
      <c r="M41" s="4" t="str">
        <f t="shared" si="13"/>
        <v>Day 8</v>
      </c>
      <c r="N41" s="4" t="str">
        <f t="shared" si="13"/>
        <v>Day 9</v>
      </c>
      <c r="O41" s="4" t="str">
        <f t="shared" si="13"/>
        <v>Day 10</v>
      </c>
      <c r="P41" s="4" t="str">
        <f t="shared" si="13"/>
        <v>Day 11</v>
      </c>
      <c r="Q41" s="4" t="str">
        <f t="shared" si="13"/>
        <v>Day 12</v>
      </c>
      <c r="R41" s="4" t="str">
        <f t="shared" si="13"/>
        <v>Day 13</v>
      </c>
      <c r="S41" s="4" t="str">
        <f t="shared" si="13"/>
        <v>Day 14</v>
      </c>
      <c r="T41" s="4" t="str">
        <f t="shared" si="13"/>
        <v>Day 15</v>
      </c>
      <c r="U41" s="4" t="str">
        <f t="shared" si="13"/>
        <v>Day 16</v>
      </c>
      <c r="V41" s="4" t="str">
        <f t="shared" si="13"/>
        <v>Day 17</v>
      </c>
      <c r="W41" s="4" t="str">
        <f t="shared" si="13"/>
        <v>Day 18</v>
      </c>
      <c r="X41" s="4" t="str">
        <f t="shared" si="13"/>
        <v>Day 19</v>
      </c>
      <c r="Y41" s="4" t="str">
        <f t="shared" si="13"/>
        <v>Day 20</v>
      </c>
      <c r="Z41" s="181" t="s">
        <v>68</v>
      </c>
      <c r="AA41" s="182"/>
      <c r="AX41"/>
    </row>
    <row r="42" spans="2:50">
      <c r="B42" s="4" t="s">
        <v>0</v>
      </c>
      <c r="C42" s="17"/>
      <c r="D42" s="17"/>
      <c r="E42" s="17"/>
      <c r="F42" s="17">
        <f>(F53/$C$53)</f>
        <v>1.7909444444444444</v>
      </c>
      <c r="G42" s="17">
        <f t="shared" ref="G42:Y42" si="14">(G53/$C$53)</f>
        <v>1.2221388888888889</v>
      </c>
      <c r="H42" s="17">
        <f t="shared" si="14"/>
        <v>0.98457407407407393</v>
      </c>
      <c r="I42" s="17">
        <f t="shared" si="14"/>
        <v>0.9568888888888889</v>
      </c>
      <c r="J42" s="17">
        <f t="shared" si="14"/>
        <v>0.8811444444444444</v>
      </c>
      <c r="K42" s="17">
        <f t="shared" si="14"/>
        <v>0.78099074074074082</v>
      </c>
      <c r="L42" s="17">
        <f t="shared" si="14"/>
        <v>0.69384920634920633</v>
      </c>
      <c r="M42" s="17">
        <f t="shared" si="14"/>
        <v>0.60845833333333332</v>
      </c>
      <c r="N42" s="17">
        <f t="shared" si="14"/>
        <v>0.62079012345679008</v>
      </c>
      <c r="O42" s="17">
        <f t="shared" si="14"/>
        <v>0.59318333333333328</v>
      </c>
      <c r="P42" s="17">
        <f t="shared" si="14"/>
        <v>0.53925757575757582</v>
      </c>
      <c r="Q42" s="17">
        <f t="shared" si="14"/>
        <v>0.54425000000000001</v>
      </c>
      <c r="R42" s="17">
        <f t="shared" si="14"/>
        <v>0.53416666666666668</v>
      </c>
      <c r="S42" s="17">
        <f t="shared" si="14"/>
        <v>0.52680952380952384</v>
      </c>
      <c r="T42" s="17">
        <f t="shared" si="14"/>
        <v>0.54403703703703699</v>
      </c>
      <c r="U42" s="17">
        <f t="shared" si="14"/>
        <v>0.54298611111111106</v>
      </c>
      <c r="V42" s="17">
        <f t="shared" si="14"/>
        <v>0.55246732026143797</v>
      </c>
      <c r="W42" s="17">
        <f t="shared" si="14"/>
        <v>0.53544135802469139</v>
      </c>
      <c r="X42" s="17">
        <f t="shared" si="14"/>
        <v>0.55331286549707603</v>
      </c>
      <c r="Y42" s="17">
        <f t="shared" si="14"/>
        <v>0.5511194444444445</v>
      </c>
      <c r="Z42" s="158" t="s">
        <v>71</v>
      </c>
      <c r="AA42" s="138">
        <v>235000</v>
      </c>
      <c r="AX42"/>
    </row>
    <row r="43" spans="2:50">
      <c r="B43" s="4" t="s">
        <v>64</v>
      </c>
      <c r="C43" s="17"/>
      <c r="D43" s="17"/>
      <c r="E43" s="17"/>
      <c r="F43" s="17">
        <f>(F54/$C$54)</f>
        <v>0</v>
      </c>
      <c r="G43" s="17">
        <f t="shared" ref="G43:Y43" si="15">(G54/$C$54)</f>
        <v>0.2663888888888889</v>
      </c>
      <c r="H43" s="17">
        <f t="shared" si="15"/>
        <v>0.17759259259259258</v>
      </c>
      <c r="I43" s="17">
        <f t="shared" si="15"/>
        <v>0.13319444444444445</v>
      </c>
      <c r="J43" s="17">
        <f t="shared" si="15"/>
        <v>0.10655555555555556</v>
      </c>
      <c r="K43" s="17">
        <f t="shared" si="15"/>
        <v>0.12490740740740743</v>
      </c>
      <c r="L43" s="17">
        <f t="shared" si="15"/>
        <v>0.24507936507936509</v>
      </c>
      <c r="M43" s="17">
        <f t="shared" si="15"/>
        <v>0.31159722222222225</v>
      </c>
      <c r="N43" s="17">
        <f t="shared" si="15"/>
        <v>0.27697530864197528</v>
      </c>
      <c r="O43" s="17">
        <f t="shared" si="15"/>
        <v>0.24927777777777776</v>
      </c>
      <c r="P43" s="17">
        <f t="shared" si="15"/>
        <v>0.2266161616161616</v>
      </c>
      <c r="Q43" s="17">
        <f t="shared" si="15"/>
        <v>0.20773148148148146</v>
      </c>
      <c r="R43" s="17">
        <f t="shared" si="15"/>
        <v>0.20457264957264956</v>
      </c>
      <c r="S43" s="17">
        <f t="shared" si="15"/>
        <v>0.21134920634920637</v>
      </c>
      <c r="T43" s="17">
        <f t="shared" si="15"/>
        <v>0.19725925925925925</v>
      </c>
      <c r="U43" s="17">
        <f t="shared" si="15"/>
        <v>0.18493055555555554</v>
      </c>
      <c r="V43" s="17">
        <f t="shared" si="15"/>
        <v>0.17405228758169933</v>
      </c>
      <c r="W43" s="17">
        <f t="shared" si="15"/>
        <v>0.18101851851851852</v>
      </c>
      <c r="X43" s="17">
        <f t="shared" si="15"/>
        <v>0.22994152046783625</v>
      </c>
      <c r="Y43" s="17">
        <f t="shared" si="15"/>
        <v>0.21844444444444444</v>
      </c>
      <c r="Z43" s="158" t="s">
        <v>72</v>
      </c>
      <c r="AA43" s="138">
        <v>60000</v>
      </c>
      <c r="AX43"/>
    </row>
    <row r="44" spans="2:50">
      <c r="B44" s="4" t="str">
        <f>+B32</f>
        <v>Brazil</v>
      </c>
      <c r="C44" s="17"/>
      <c r="D44" s="17"/>
      <c r="E44" s="17"/>
      <c r="F44" s="17">
        <f t="shared" ref="F44:Y44" si="16">(F55/$C$55)</f>
        <v>0.29944444444444446</v>
      </c>
      <c r="G44" s="17">
        <f t="shared" si="16"/>
        <v>0.5658333333333333</v>
      </c>
      <c r="H44" s="17">
        <f t="shared" si="16"/>
        <v>0.8162962962962963</v>
      </c>
      <c r="I44" s="17">
        <f t="shared" si="16"/>
        <v>0.77875000000000005</v>
      </c>
      <c r="J44" s="17">
        <f t="shared" si="16"/>
        <v>1.2264444444444444</v>
      </c>
      <c r="K44" s="17">
        <f t="shared" si="16"/>
        <v>1.053425925925926</v>
      </c>
      <c r="L44" s="17">
        <f t="shared" si="16"/>
        <v>0.90293650793650793</v>
      </c>
      <c r="M44" s="17">
        <f t="shared" si="16"/>
        <v>0.93444444444444441</v>
      </c>
      <c r="N44" s="17">
        <f t="shared" si="16"/>
        <v>0.86388888888888893</v>
      </c>
      <c r="O44" s="17">
        <f t="shared" si="16"/>
        <v>0.77749999999999997</v>
      </c>
      <c r="P44" s="17">
        <f t="shared" si="16"/>
        <v>0.70681818181818179</v>
      </c>
      <c r="Q44" s="17">
        <f t="shared" si="16"/>
        <v>0.67287037037037034</v>
      </c>
      <c r="R44" s="17">
        <f t="shared" si="16"/>
        <v>0.63636752136752139</v>
      </c>
      <c r="S44" s="17">
        <f t="shared" si="16"/>
        <v>0.68134920634920626</v>
      </c>
      <c r="T44" s="17">
        <f t="shared" si="16"/>
        <v>0.63592592592592589</v>
      </c>
      <c r="U44" s="17">
        <f t="shared" si="16"/>
        <v>0.62878472222222226</v>
      </c>
      <c r="V44" s="17">
        <f t="shared" si="16"/>
        <v>0.60941176470588232</v>
      </c>
      <c r="W44" s="17">
        <f t="shared" si="16"/>
        <v>0.5755555555555556</v>
      </c>
      <c r="X44" s="17">
        <f t="shared" si="16"/>
        <v>0.56280701754385964</v>
      </c>
      <c r="Y44" s="17">
        <f t="shared" si="16"/>
        <v>0.53466666666666662</v>
      </c>
      <c r="Z44" s="158" t="s">
        <v>94</v>
      </c>
      <c r="AA44" s="158">
        <v>115000</v>
      </c>
      <c r="AX44"/>
    </row>
    <row r="45" spans="2:50">
      <c r="B45" s="4" t="str">
        <f>+B33</f>
        <v>Boston</v>
      </c>
      <c r="C45" s="17"/>
      <c r="D45" s="17"/>
      <c r="E45" s="17"/>
      <c r="F45" s="17">
        <f>(F56/$C$56)</f>
        <v>2.8403076923076922</v>
      </c>
      <c r="G45" s="17">
        <f t="shared" ref="G45:Y45" si="17">(G56/$C$56)</f>
        <v>1.8352307692307692</v>
      </c>
      <c r="H45" s="17">
        <f t="shared" si="17"/>
        <v>1.444923076923077</v>
      </c>
      <c r="I45" s="17">
        <f t="shared" si="17"/>
        <v>1.3188461538461538</v>
      </c>
      <c r="J45" s="17">
        <f t="shared" si="17"/>
        <v>1.1165538461538462</v>
      </c>
      <c r="K45" s="17">
        <f t="shared" si="17"/>
        <v>0.97451282051282062</v>
      </c>
      <c r="L45" s="17">
        <f t="shared" si="17"/>
        <v>0.91916483516483516</v>
      </c>
      <c r="M45" s="17">
        <f t="shared" si="17"/>
        <v>0.85234615384615386</v>
      </c>
      <c r="N45" s="17">
        <f t="shared" si="17"/>
        <v>0.81439316239316228</v>
      </c>
      <c r="O45" s="17">
        <f t="shared" si="17"/>
        <v>0.84116923076923078</v>
      </c>
      <c r="P45" s="17">
        <f t="shared" si="17"/>
        <v>0.75351048951048949</v>
      </c>
      <c r="Q45" s="17">
        <f t="shared" si="17"/>
        <v>0.73517948717948711</v>
      </c>
      <c r="R45" s="17">
        <f t="shared" si="17"/>
        <v>0.73065088757396457</v>
      </c>
      <c r="S45" s="17">
        <f t="shared" si="17"/>
        <v>0.70461538461538464</v>
      </c>
      <c r="T45" s="17">
        <f t="shared" si="17"/>
        <v>0.72527179487179483</v>
      </c>
      <c r="U45" s="17">
        <f t="shared" si="17"/>
        <v>0.73859615384615385</v>
      </c>
      <c r="V45" s="17">
        <f t="shared" si="17"/>
        <v>0.73194570135746606</v>
      </c>
      <c r="W45" s="17">
        <f t="shared" si="17"/>
        <v>0.681025641025641</v>
      </c>
      <c r="X45" s="17">
        <f t="shared" si="17"/>
        <v>0.71476923076923082</v>
      </c>
      <c r="Y45" s="17">
        <f t="shared" si="17"/>
        <v>0.70176923076923081</v>
      </c>
      <c r="Z45" s="160" t="s">
        <v>73</v>
      </c>
      <c r="AA45" s="138">
        <v>250000</v>
      </c>
      <c r="AX45"/>
    </row>
    <row r="46" spans="2:50">
      <c r="B46" s="4" t="s">
        <v>2</v>
      </c>
      <c r="C46" s="17"/>
      <c r="D46" s="17"/>
      <c r="E46" s="17"/>
      <c r="F46" s="17">
        <f t="shared" ref="F46:Y47" si="18">(F57/$C$57)</f>
        <v>2.6171875</v>
      </c>
      <c r="G46" s="17">
        <f t="shared" si="18"/>
        <v>1.5559895833333333</v>
      </c>
      <c r="H46" s="17">
        <f t="shared" si="18"/>
        <v>1.2973958333333333</v>
      </c>
      <c r="I46" s="17">
        <f t="shared" si="18"/>
        <v>0.97304687499999998</v>
      </c>
      <c r="J46" s="17">
        <f t="shared" si="18"/>
        <v>0.84083333333333332</v>
      </c>
      <c r="K46" s="17">
        <f t="shared" si="18"/>
        <v>0.86545138888888895</v>
      </c>
      <c r="L46" s="17">
        <f t="shared" si="18"/>
        <v>0.80505952380952384</v>
      </c>
      <c r="M46" s="17">
        <f t="shared" si="18"/>
        <v>0.9125651041666667</v>
      </c>
      <c r="N46" s="17">
        <f t="shared" si="18"/>
        <v>0.81116898148148142</v>
      </c>
      <c r="O46" s="17">
        <f t="shared" si="18"/>
        <v>0.84453124999999996</v>
      </c>
      <c r="P46" s="17">
        <f t="shared" si="18"/>
        <v>0.76775568181818188</v>
      </c>
      <c r="Q46" s="17">
        <f t="shared" si="18"/>
        <v>0.70377604166666663</v>
      </c>
      <c r="R46" s="17">
        <f t="shared" si="18"/>
        <v>0.6716746794871794</v>
      </c>
      <c r="S46" s="17">
        <f t="shared" si="18"/>
        <v>0.74449404761904758</v>
      </c>
      <c r="T46" s="17">
        <f t="shared" si="18"/>
        <v>0.71565972222222218</v>
      </c>
      <c r="U46" s="17">
        <f t="shared" si="18"/>
        <v>0.74931640624999996</v>
      </c>
      <c r="V46" s="17">
        <f t="shared" si="18"/>
        <v>0.77138480392156861</v>
      </c>
      <c r="W46" s="17">
        <f t="shared" si="18"/>
        <v>0.77766203703703707</v>
      </c>
      <c r="X46" s="17">
        <f t="shared" si="18"/>
        <v>0.79698464912280709</v>
      </c>
      <c r="Y46" s="17">
        <f t="shared" si="18"/>
        <v>0.78575520833333334</v>
      </c>
      <c r="Z46" s="160" t="s">
        <v>74</v>
      </c>
      <c r="AA46" s="138">
        <v>130000</v>
      </c>
      <c r="AX46"/>
    </row>
    <row r="47" spans="2:50">
      <c r="B47" s="4" t="s">
        <v>99</v>
      </c>
      <c r="C47" s="17"/>
      <c r="D47" s="17"/>
      <c r="E47" s="17"/>
      <c r="F47" s="17">
        <f t="shared" si="18"/>
        <v>0</v>
      </c>
      <c r="G47" s="17">
        <f t="shared" si="18"/>
        <v>0.12640625</v>
      </c>
      <c r="H47" s="17">
        <f t="shared" si="18"/>
        <v>8.4270833333333336E-2</v>
      </c>
      <c r="I47" s="17">
        <f t="shared" si="18"/>
        <v>6.3203124999999999E-2</v>
      </c>
      <c r="J47" s="17">
        <f t="shared" si="18"/>
        <v>0</v>
      </c>
      <c r="K47" s="17">
        <f t="shared" si="18"/>
        <v>0.11392361111111113</v>
      </c>
      <c r="L47" s="17">
        <f t="shared" si="18"/>
        <v>3.6116071428571428E-2</v>
      </c>
      <c r="M47" s="17">
        <f t="shared" si="18"/>
        <v>8.5442708333333339E-2</v>
      </c>
      <c r="N47" s="17">
        <f t="shared" si="18"/>
        <v>7.5949074074074072E-2</v>
      </c>
      <c r="O47" s="17">
        <f t="shared" si="18"/>
        <v>6.835416666666666E-2</v>
      </c>
      <c r="P47" s="17">
        <f t="shared" si="18"/>
        <v>6.2140151515151509E-2</v>
      </c>
      <c r="Q47" s="17">
        <f t="shared" si="18"/>
        <v>5.6961805555555564E-2</v>
      </c>
      <c r="R47" s="17">
        <f t="shared" si="18"/>
        <v>5.2580128205128203E-2</v>
      </c>
      <c r="S47" s="17">
        <f t="shared" si="18"/>
        <v>4.8824404761904756E-2</v>
      </c>
      <c r="T47" s="17">
        <f t="shared" si="18"/>
        <v>4.556944444444444E-2</v>
      </c>
      <c r="U47" s="17">
        <f t="shared" si="18"/>
        <v>4.272135416666667E-2</v>
      </c>
      <c r="V47" s="17">
        <f t="shared" si="18"/>
        <v>4.0208333333333332E-2</v>
      </c>
      <c r="W47" s="17">
        <f t="shared" si="18"/>
        <v>9.0028935185185177E-2</v>
      </c>
      <c r="X47" s="17">
        <f t="shared" si="18"/>
        <v>8.529057017543859E-2</v>
      </c>
      <c r="Y47" s="17">
        <f t="shared" si="18"/>
        <v>8.1026041666666673E-2</v>
      </c>
      <c r="Z47" s="160" t="s">
        <v>99</v>
      </c>
      <c r="AA47" s="138">
        <v>15000</v>
      </c>
      <c r="AX47"/>
    </row>
    <row r="48" spans="2:50">
      <c r="B48" s="4" t="s">
        <v>3</v>
      </c>
      <c r="C48" s="18"/>
      <c r="D48" s="18"/>
      <c r="E48" s="18"/>
      <c r="F48" s="18">
        <f t="shared" ref="F48:Y48" si="19">(F59/$C$59)</f>
        <v>2.298810232004759</v>
      </c>
      <c r="G48" s="18">
        <f t="shared" si="19"/>
        <v>1.1694527067221892</v>
      </c>
      <c r="H48" s="18">
        <f t="shared" si="19"/>
        <v>1.1620067420186395</v>
      </c>
      <c r="I48" s="18">
        <f t="shared" si="19"/>
        <v>1.1006543723973825</v>
      </c>
      <c r="J48" s="18">
        <f t="shared" si="19"/>
        <v>1.1868292682926829</v>
      </c>
      <c r="K48" s="18">
        <f t="shared" si="19"/>
        <v>1.1360697997223874</v>
      </c>
      <c r="L48" s="18">
        <f t="shared" si="19"/>
        <v>1.130526047420753</v>
      </c>
      <c r="M48" s="18">
        <f t="shared" si="19"/>
        <v>1.0609384295062463</v>
      </c>
      <c r="N48" s="18">
        <f t="shared" si="19"/>
        <v>1.0057373256659397</v>
      </c>
      <c r="O48" s="18">
        <f t="shared" si="19"/>
        <v>0.95623438429506247</v>
      </c>
      <c r="P48" s="18">
        <f t="shared" si="19"/>
        <v>1.0726840084365366</v>
      </c>
      <c r="Q48" s="18">
        <f t="shared" si="19"/>
        <v>1.0668798334324807</v>
      </c>
      <c r="R48" s="18">
        <f t="shared" si="19"/>
        <v>1.1093945911316525</v>
      </c>
      <c r="S48" s="18">
        <f t="shared" si="19"/>
        <v>1.1025070111328292</v>
      </c>
      <c r="T48" s="18">
        <f t="shared" si="19"/>
        <v>1.1008724965298435</v>
      </c>
      <c r="U48" s="18">
        <f t="shared" si="19"/>
        <v>1.0836518441403926</v>
      </c>
      <c r="V48" s="18">
        <f t="shared" si="19"/>
        <v>1.0665080309339678</v>
      </c>
      <c r="W48" s="18">
        <f t="shared" si="19"/>
        <v>1.0397878247075152</v>
      </c>
      <c r="X48" s="18">
        <f t="shared" si="19"/>
        <v>1.0301731425529916</v>
      </c>
      <c r="Y48" s="18">
        <f t="shared" si="19"/>
        <v>1.0281856038072577</v>
      </c>
      <c r="Z48" s="159" t="s">
        <v>76</v>
      </c>
      <c r="AA48" s="138">
        <v>345000</v>
      </c>
      <c r="AX48"/>
    </row>
    <row r="49" spans="2:50">
      <c r="B49" s="14" t="s">
        <v>27</v>
      </c>
      <c r="C49" s="17"/>
      <c r="D49" s="17"/>
      <c r="E49" s="17"/>
      <c r="F49" s="17">
        <f t="shared" ref="F49:Y49" si="20">(F60/$C$60)</f>
        <v>1.7110205527994331</v>
      </c>
      <c r="G49" s="17">
        <f t="shared" si="20"/>
        <v>1.1235589416489487</v>
      </c>
      <c r="H49" s="17">
        <f t="shared" si="20"/>
        <v>0.97973856209150312</v>
      </c>
      <c r="I49" s="17">
        <f t="shared" si="20"/>
        <v>0.88959071580439408</v>
      </c>
      <c r="J49" s="17">
        <f t="shared" si="20"/>
        <v>0.87437042286794231</v>
      </c>
      <c r="K49" s="17">
        <f t="shared" si="20"/>
        <v>0.81500118119536968</v>
      </c>
      <c r="L49" s="17">
        <f t="shared" si="20"/>
        <v>0.76585501670547729</v>
      </c>
      <c r="M49" s="17">
        <f t="shared" si="20"/>
        <v>0.7492617528939286</v>
      </c>
      <c r="N49" s="17">
        <f t="shared" si="20"/>
        <v>0.70988266792660848</v>
      </c>
      <c r="O49" s="17">
        <f t="shared" si="20"/>
        <v>0.6901169383416017</v>
      </c>
      <c r="P49" s="17">
        <f t="shared" si="20"/>
        <v>0.66561432897364869</v>
      </c>
      <c r="Q49" s="17">
        <f t="shared" si="20"/>
        <v>0.64854614536577682</v>
      </c>
      <c r="R49" s="17">
        <f t="shared" si="20"/>
        <v>0.64562139962565201</v>
      </c>
      <c r="S49" s="17">
        <f t="shared" si="20"/>
        <v>0.65102595254969453</v>
      </c>
      <c r="T49" s="17">
        <f t="shared" si="20"/>
        <v>0.64836365068115609</v>
      </c>
      <c r="U49" s="17">
        <f t="shared" si="20"/>
        <v>0.64870216158752658</v>
      </c>
      <c r="V49" s="17">
        <f t="shared" si="20"/>
        <v>0.64503897944720057</v>
      </c>
      <c r="W49" s="17">
        <f t="shared" si="20"/>
        <v>0.62984224479617812</v>
      </c>
      <c r="X49" s="17">
        <f t="shared" si="20"/>
        <v>0.64370920213361182</v>
      </c>
      <c r="Y49" s="17">
        <f t="shared" si="20"/>
        <v>0.63438223482163947</v>
      </c>
      <c r="AA49" s="139">
        <f>SUM(AA42:AA48)</f>
        <v>1150000</v>
      </c>
      <c r="AX49"/>
    </row>
    <row r="50" spans="2: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X50"/>
    </row>
    <row r="51" spans="2:50">
      <c r="B51" s="9" t="s">
        <v>26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X51"/>
    </row>
    <row r="52" spans="2:50">
      <c r="B52" s="4"/>
      <c r="C52" s="4"/>
      <c r="D52" s="4"/>
      <c r="E52" s="4"/>
      <c r="F52" s="4" t="str">
        <f>+F41</f>
        <v>Day 1</v>
      </c>
      <c r="G52" s="4" t="str">
        <f t="shared" ref="G52:Y52" si="21">+G41</f>
        <v>Day 2</v>
      </c>
      <c r="H52" s="4" t="str">
        <f t="shared" si="21"/>
        <v>Day 3</v>
      </c>
      <c r="I52" s="4" t="str">
        <f t="shared" si="21"/>
        <v>Day 4</v>
      </c>
      <c r="J52" s="4" t="str">
        <f t="shared" si="21"/>
        <v>Day 5</v>
      </c>
      <c r="K52" s="4" t="str">
        <f t="shared" si="21"/>
        <v>Day 6</v>
      </c>
      <c r="L52" s="4" t="str">
        <f t="shared" si="21"/>
        <v>Day 7</v>
      </c>
      <c r="M52" s="4" t="str">
        <f t="shared" si="21"/>
        <v>Day 8</v>
      </c>
      <c r="N52" s="4" t="str">
        <f t="shared" si="21"/>
        <v>Day 9</v>
      </c>
      <c r="O52" s="4" t="str">
        <f t="shared" si="21"/>
        <v>Day 10</v>
      </c>
      <c r="P52" s="4" t="str">
        <f t="shared" si="21"/>
        <v>Day 11</v>
      </c>
      <c r="Q52" s="4" t="str">
        <f t="shared" si="21"/>
        <v>Day 12</v>
      </c>
      <c r="R52" s="4" t="str">
        <f t="shared" si="21"/>
        <v>Day 13</v>
      </c>
      <c r="S52" s="4" t="str">
        <f t="shared" si="21"/>
        <v>Day 14</v>
      </c>
      <c r="T52" s="4" t="str">
        <f t="shared" si="21"/>
        <v>Day 15</v>
      </c>
      <c r="U52" s="4" t="str">
        <f t="shared" si="21"/>
        <v>Day 16</v>
      </c>
      <c r="V52" s="4" t="str">
        <f t="shared" si="21"/>
        <v>Day 17</v>
      </c>
      <c r="W52" s="4" t="str">
        <f t="shared" si="21"/>
        <v>Day 18</v>
      </c>
      <c r="X52" s="4" t="str">
        <f t="shared" si="21"/>
        <v>Day 19</v>
      </c>
      <c r="Y52" s="4" t="str">
        <f t="shared" si="21"/>
        <v>Day 20</v>
      </c>
      <c r="AX52"/>
    </row>
    <row r="53" spans="2:50">
      <c r="B53" s="4" t="s">
        <v>0</v>
      </c>
      <c r="C53" s="149">
        <v>360000</v>
      </c>
      <c r="D53" s="4"/>
      <c r="E53" s="4"/>
      <c r="F53" s="55">
        <f t="shared" ref="F53:Y59" si="22">(F30)/F$2*$Y$2</f>
        <v>644740</v>
      </c>
      <c r="G53" s="55">
        <f t="shared" si="22"/>
        <v>439970</v>
      </c>
      <c r="H53" s="55">
        <f t="shared" si="22"/>
        <v>354446.66666666663</v>
      </c>
      <c r="I53" s="55">
        <f t="shared" si="22"/>
        <v>344480</v>
      </c>
      <c r="J53" s="55">
        <f t="shared" si="22"/>
        <v>317212</v>
      </c>
      <c r="K53" s="55">
        <f t="shared" si="22"/>
        <v>281156.66666666669</v>
      </c>
      <c r="L53" s="55">
        <f t="shared" si="22"/>
        <v>249785.71428571426</v>
      </c>
      <c r="M53" s="55">
        <f t="shared" si="22"/>
        <v>219045</v>
      </c>
      <c r="N53" s="55">
        <f t="shared" si="22"/>
        <v>223484.44444444444</v>
      </c>
      <c r="O53" s="55">
        <f t="shared" si="22"/>
        <v>213546</v>
      </c>
      <c r="P53" s="55">
        <f t="shared" si="22"/>
        <v>194132.72727272729</v>
      </c>
      <c r="Q53" s="55">
        <f t="shared" si="22"/>
        <v>195930</v>
      </c>
      <c r="R53" s="55">
        <f t="shared" si="22"/>
        <v>192300</v>
      </c>
      <c r="S53" s="55">
        <f t="shared" si="22"/>
        <v>189651.42857142858</v>
      </c>
      <c r="T53" s="55">
        <f t="shared" si="22"/>
        <v>195853.33333333331</v>
      </c>
      <c r="U53" s="55">
        <f t="shared" si="22"/>
        <v>195475</v>
      </c>
      <c r="V53" s="55">
        <f t="shared" si="22"/>
        <v>198888.23529411765</v>
      </c>
      <c r="W53" s="55">
        <f t="shared" si="22"/>
        <v>192758.88888888891</v>
      </c>
      <c r="X53" s="55">
        <f t="shared" si="22"/>
        <v>199192.63157894736</v>
      </c>
      <c r="Y53" s="55">
        <f t="shared" si="22"/>
        <v>198403</v>
      </c>
      <c r="AX53"/>
    </row>
    <row r="54" spans="2:50">
      <c r="B54" s="4" t="s">
        <v>64</v>
      </c>
      <c r="C54" s="149">
        <v>180000</v>
      </c>
      <c r="D54" s="4"/>
      <c r="E54" s="4"/>
      <c r="F54" s="55">
        <f t="shared" si="22"/>
        <v>0</v>
      </c>
      <c r="G54" s="55">
        <f t="shared" si="22"/>
        <v>47950</v>
      </c>
      <c r="H54" s="55">
        <f t="shared" si="22"/>
        <v>31966.666666666664</v>
      </c>
      <c r="I54" s="55">
        <f t="shared" si="22"/>
        <v>23975</v>
      </c>
      <c r="J54" s="55">
        <f t="shared" si="22"/>
        <v>19180</v>
      </c>
      <c r="K54" s="55">
        <f t="shared" si="22"/>
        <v>22483.333333333336</v>
      </c>
      <c r="L54" s="55">
        <f t="shared" si="22"/>
        <v>44114.285714285717</v>
      </c>
      <c r="M54" s="55">
        <f t="shared" si="22"/>
        <v>56087.5</v>
      </c>
      <c r="N54" s="55">
        <f t="shared" si="22"/>
        <v>49855.555555555555</v>
      </c>
      <c r="O54" s="55">
        <f t="shared" si="22"/>
        <v>44870</v>
      </c>
      <c r="P54" s="55">
        <f t="shared" si="22"/>
        <v>40790.909090909088</v>
      </c>
      <c r="Q54" s="55">
        <f t="shared" si="22"/>
        <v>37391.666666666664</v>
      </c>
      <c r="R54" s="55">
        <f t="shared" si="22"/>
        <v>36823.076923076922</v>
      </c>
      <c r="S54" s="55">
        <f t="shared" si="22"/>
        <v>38042.857142857145</v>
      </c>
      <c r="T54" s="55">
        <f t="shared" si="22"/>
        <v>35506.666666666664</v>
      </c>
      <c r="U54" s="55">
        <f t="shared" si="22"/>
        <v>33287.5</v>
      </c>
      <c r="V54" s="55">
        <f t="shared" si="22"/>
        <v>31329.411764705881</v>
      </c>
      <c r="W54" s="55">
        <f t="shared" si="22"/>
        <v>32583.333333333336</v>
      </c>
      <c r="X54" s="55">
        <f t="shared" si="22"/>
        <v>41389.473684210527</v>
      </c>
      <c r="Y54" s="55">
        <f t="shared" si="22"/>
        <v>39320</v>
      </c>
      <c r="AX54"/>
    </row>
    <row r="55" spans="2:50">
      <c r="B55" s="4" t="str">
        <f>+B44</f>
        <v>Brazil</v>
      </c>
      <c r="C55" s="149">
        <v>180000</v>
      </c>
      <c r="D55" s="4"/>
      <c r="E55" s="4"/>
      <c r="F55" s="55">
        <f t="shared" si="22"/>
        <v>53900</v>
      </c>
      <c r="G55" s="55">
        <f t="shared" si="22"/>
        <v>101850</v>
      </c>
      <c r="H55" s="55">
        <f t="shared" si="22"/>
        <v>146933.33333333334</v>
      </c>
      <c r="I55" s="55">
        <f t="shared" si="22"/>
        <v>140175</v>
      </c>
      <c r="J55" s="55">
        <f t="shared" si="22"/>
        <v>220760</v>
      </c>
      <c r="K55" s="55">
        <f t="shared" si="22"/>
        <v>189616.66666666669</v>
      </c>
      <c r="L55" s="55">
        <f t="shared" si="22"/>
        <v>162528.57142857142</v>
      </c>
      <c r="M55" s="55">
        <f t="shared" si="22"/>
        <v>168200</v>
      </c>
      <c r="N55" s="55">
        <f t="shared" si="22"/>
        <v>155500</v>
      </c>
      <c r="O55" s="55">
        <f t="shared" si="22"/>
        <v>139950</v>
      </c>
      <c r="P55" s="55">
        <f t="shared" si="22"/>
        <v>127227.27272727272</v>
      </c>
      <c r="Q55" s="55">
        <f t="shared" si="22"/>
        <v>121116.66666666666</v>
      </c>
      <c r="R55" s="55">
        <f t="shared" si="22"/>
        <v>114546.15384615384</v>
      </c>
      <c r="S55" s="55">
        <f t="shared" si="22"/>
        <v>122642.85714285713</v>
      </c>
      <c r="T55" s="55">
        <f t="shared" si="22"/>
        <v>114466.66666666666</v>
      </c>
      <c r="U55" s="55">
        <f t="shared" si="22"/>
        <v>113181.25</v>
      </c>
      <c r="V55" s="55">
        <f t="shared" si="22"/>
        <v>109694.11764705883</v>
      </c>
      <c r="W55" s="55">
        <f t="shared" si="22"/>
        <v>103600</v>
      </c>
      <c r="X55" s="55">
        <f t="shared" si="22"/>
        <v>101305.26315789473</v>
      </c>
      <c r="Y55" s="55">
        <f t="shared" si="22"/>
        <v>96240</v>
      </c>
      <c r="AX55"/>
    </row>
    <row r="56" spans="2:50">
      <c r="B56" s="4" t="str">
        <f>+B45</f>
        <v>Boston</v>
      </c>
      <c r="C56" s="149">
        <v>325000</v>
      </c>
      <c r="D56" s="4"/>
      <c r="E56" s="4"/>
      <c r="F56" s="55">
        <f>(F33)/F$2*$Y$2</f>
        <v>923100</v>
      </c>
      <c r="G56" s="55">
        <f>(G33)/G$2*$Y$2</f>
        <v>596450</v>
      </c>
      <c r="H56" s="55">
        <f t="shared" si="22"/>
        <v>469600</v>
      </c>
      <c r="I56" s="55">
        <f t="shared" si="22"/>
        <v>428625</v>
      </c>
      <c r="J56" s="55">
        <f t="shared" si="22"/>
        <v>362880</v>
      </c>
      <c r="K56" s="55">
        <f t="shared" si="22"/>
        <v>316716.66666666669</v>
      </c>
      <c r="L56" s="55">
        <f t="shared" si="22"/>
        <v>298728.57142857142</v>
      </c>
      <c r="M56" s="55">
        <f t="shared" si="22"/>
        <v>277012.5</v>
      </c>
      <c r="N56" s="55">
        <f t="shared" si="22"/>
        <v>264677.77777777775</v>
      </c>
      <c r="O56" s="55">
        <f t="shared" si="22"/>
        <v>273380</v>
      </c>
      <c r="P56" s="55">
        <f t="shared" si="22"/>
        <v>244890.90909090909</v>
      </c>
      <c r="Q56" s="55">
        <f t="shared" si="22"/>
        <v>238933.33333333331</v>
      </c>
      <c r="R56" s="55">
        <f t="shared" si="22"/>
        <v>237461.53846153847</v>
      </c>
      <c r="S56" s="55">
        <f t="shared" si="22"/>
        <v>229000</v>
      </c>
      <c r="T56" s="55">
        <f t="shared" si="22"/>
        <v>235713.33333333331</v>
      </c>
      <c r="U56" s="55">
        <f t="shared" si="22"/>
        <v>240043.75</v>
      </c>
      <c r="V56" s="55">
        <f t="shared" si="22"/>
        <v>237882.35294117648</v>
      </c>
      <c r="W56" s="55">
        <f t="shared" si="22"/>
        <v>221333.33333333331</v>
      </c>
      <c r="X56" s="55">
        <f t="shared" si="22"/>
        <v>232300</v>
      </c>
      <c r="Y56" s="55">
        <f t="shared" si="22"/>
        <v>228075</v>
      </c>
      <c r="AX56"/>
    </row>
    <row r="57" spans="2:50">
      <c r="B57" s="4" t="s">
        <v>2</v>
      </c>
      <c r="C57" s="149">
        <v>192000</v>
      </c>
      <c r="D57" s="4"/>
      <c r="E57" s="4"/>
      <c r="F57" s="55">
        <f t="shared" ref="F57:U59" si="23">(F34)/F$2*$Y$2</f>
        <v>502500</v>
      </c>
      <c r="G57" s="55">
        <f t="shared" si="23"/>
        <v>298750</v>
      </c>
      <c r="H57" s="55">
        <f t="shared" si="23"/>
        <v>249100</v>
      </c>
      <c r="I57" s="55">
        <f t="shared" si="23"/>
        <v>186825</v>
      </c>
      <c r="J57" s="55">
        <f t="shared" si="23"/>
        <v>161440</v>
      </c>
      <c r="K57" s="55">
        <f t="shared" si="23"/>
        <v>166166.66666666669</v>
      </c>
      <c r="L57" s="55">
        <f t="shared" si="23"/>
        <v>154571.42857142858</v>
      </c>
      <c r="M57" s="55">
        <f t="shared" si="23"/>
        <v>175212.5</v>
      </c>
      <c r="N57" s="55">
        <f t="shared" si="23"/>
        <v>155744.44444444444</v>
      </c>
      <c r="O57" s="55">
        <f t="shared" si="23"/>
        <v>162150</v>
      </c>
      <c r="P57" s="55">
        <f t="shared" si="23"/>
        <v>147409.09090909091</v>
      </c>
      <c r="Q57" s="55">
        <f t="shared" si="23"/>
        <v>135125</v>
      </c>
      <c r="R57" s="55">
        <f t="shared" si="23"/>
        <v>128961.53846153845</v>
      </c>
      <c r="S57" s="55">
        <f t="shared" si="23"/>
        <v>142942.85714285713</v>
      </c>
      <c r="T57" s="55">
        <f t="shared" si="23"/>
        <v>137406.66666666666</v>
      </c>
      <c r="U57" s="55">
        <f t="shared" si="23"/>
        <v>143868.75</v>
      </c>
      <c r="V57" s="55">
        <f t="shared" si="22"/>
        <v>148105.88235294117</v>
      </c>
      <c r="W57" s="55">
        <f t="shared" si="22"/>
        <v>149311.11111111112</v>
      </c>
      <c r="X57" s="55">
        <f t="shared" si="22"/>
        <v>153021.05263157896</v>
      </c>
      <c r="Y57" s="55">
        <f t="shared" si="22"/>
        <v>150865</v>
      </c>
      <c r="AA57" s="48"/>
    </row>
    <row r="58" spans="2:50">
      <c r="B58" s="4" t="s">
        <v>99</v>
      </c>
      <c r="C58" s="149">
        <v>120000</v>
      </c>
      <c r="D58" s="4"/>
      <c r="E58" s="4"/>
      <c r="F58" s="55">
        <f t="shared" si="23"/>
        <v>0</v>
      </c>
      <c r="G58" s="55">
        <f t="shared" si="23"/>
        <v>24270</v>
      </c>
      <c r="H58" s="55">
        <f t="shared" si="23"/>
        <v>16180</v>
      </c>
      <c r="I58" s="55">
        <f t="shared" si="23"/>
        <v>12135</v>
      </c>
      <c r="J58" s="55">
        <f t="shared" si="23"/>
        <v>0</v>
      </c>
      <c r="K58" s="55">
        <f t="shared" si="23"/>
        <v>21873.333333333336</v>
      </c>
      <c r="L58" s="55">
        <f t="shared" si="23"/>
        <v>6934.2857142857147</v>
      </c>
      <c r="M58" s="55">
        <f t="shared" si="23"/>
        <v>16405</v>
      </c>
      <c r="N58" s="55">
        <f t="shared" si="23"/>
        <v>14582.222222222223</v>
      </c>
      <c r="O58" s="55">
        <f t="shared" si="23"/>
        <v>13124</v>
      </c>
      <c r="P58" s="55">
        <f t="shared" si="23"/>
        <v>11930.90909090909</v>
      </c>
      <c r="Q58" s="55">
        <f t="shared" si="23"/>
        <v>10936.666666666668</v>
      </c>
      <c r="R58" s="55">
        <f t="shared" si="23"/>
        <v>10095.384615384615</v>
      </c>
      <c r="S58" s="55">
        <f t="shared" si="23"/>
        <v>9374.2857142857138</v>
      </c>
      <c r="T58" s="55">
        <f t="shared" si="23"/>
        <v>8749.3333333333321</v>
      </c>
      <c r="U58" s="55">
        <f t="shared" si="23"/>
        <v>8202.5</v>
      </c>
      <c r="V58" s="55">
        <f t="shared" si="22"/>
        <v>7720</v>
      </c>
      <c r="W58" s="55">
        <f t="shared" si="22"/>
        <v>17285.555555555555</v>
      </c>
      <c r="X58" s="55">
        <f t="shared" si="22"/>
        <v>16375.78947368421</v>
      </c>
      <c r="Y58" s="55">
        <f t="shared" si="22"/>
        <v>15557</v>
      </c>
      <c r="AA58" s="48"/>
    </row>
    <row r="59" spans="2:50">
      <c r="B59" s="4" t="s">
        <v>3</v>
      </c>
      <c r="C59" s="150">
        <v>336200</v>
      </c>
      <c r="D59" s="19"/>
      <c r="E59" s="19"/>
      <c r="F59" s="98">
        <f t="shared" si="23"/>
        <v>772860</v>
      </c>
      <c r="G59" s="98">
        <f t="shared" si="23"/>
        <v>393170</v>
      </c>
      <c r="H59" s="98">
        <f t="shared" si="23"/>
        <v>390666.66666666663</v>
      </c>
      <c r="I59" s="98">
        <f t="shared" si="23"/>
        <v>370040</v>
      </c>
      <c r="J59" s="98">
        <f t="shared" si="23"/>
        <v>399012</v>
      </c>
      <c r="K59" s="98">
        <f t="shared" si="23"/>
        <v>381946.66666666663</v>
      </c>
      <c r="L59" s="98">
        <f t="shared" si="23"/>
        <v>380082.85714285716</v>
      </c>
      <c r="M59" s="98">
        <f t="shared" si="23"/>
        <v>356687.5</v>
      </c>
      <c r="N59" s="98">
        <f t="shared" si="23"/>
        <v>338128.88888888888</v>
      </c>
      <c r="O59" s="98">
        <f t="shared" si="23"/>
        <v>321486</v>
      </c>
      <c r="P59" s="98">
        <f t="shared" si="23"/>
        <v>360636.36363636359</v>
      </c>
      <c r="Q59" s="98">
        <f t="shared" si="23"/>
        <v>358685</v>
      </c>
      <c r="R59" s="98">
        <f t="shared" si="23"/>
        <v>372978.46153846156</v>
      </c>
      <c r="S59" s="98">
        <f t="shared" si="23"/>
        <v>370662.85714285716</v>
      </c>
      <c r="T59" s="98">
        <f t="shared" si="23"/>
        <v>370113.33333333337</v>
      </c>
      <c r="U59" s="98">
        <f t="shared" si="23"/>
        <v>364323.75</v>
      </c>
      <c r="V59" s="98">
        <f t="shared" si="22"/>
        <v>358560</v>
      </c>
      <c r="W59" s="98">
        <f t="shared" si="22"/>
        <v>349576.66666666663</v>
      </c>
      <c r="X59" s="98">
        <f t="shared" si="22"/>
        <v>346344.21052631579</v>
      </c>
      <c r="Y59" s="98">
        <f t="shared" si="22"/>
        <v>345676</v>
      </c>
    </row>
    <row r="60" spans="2:50">
      <c r="B60" s="153" t="s">
        <v>27</v>
      </c>
      <c r="C60" s="151">
        <f>SUM(C53:C59)</f>
        <v>1693200</v>
      </c>
      <c r="D60" s="10">
        <f>SUM(D53:D59)</f>
        <v>0</v>
      </c>
      <c r="E60" s="10"/>
      <c r="F60" s="10">
        <f t="shared" ref="F60:Y60" si="24">SUM(F53:F59)</f>
        <v>2897100</v>
      </c>
      <c r="G60" s="10">
        <f t="shared" si="24"/>
        <v>1902410</v>
      </c>
      <c r="H60" s="10">
        <f t="shared" si="24"/>
        <v>1658893.333333333</v>
      </c>
      <c r="I60" s="10">
        <f t="shared" si="24"/>
        <v>1506255</v>
      </c>
      <c r="J60" s="10">
        <f t="shared" si="24"/>
        <v>1480484</v>
      </c>
      <c r="K60" s="10">
        <f t="shared" si="24"/>
        <v>1379960</v>
      </c>
      <c r="L60" s="10">
        <f t="shared" si="24"/>
        <v>1296745.7142857141</v>
      </c>
      <c r="M60" s="10">
        <f t="shared" si="24"/>
        <v>1268650</v>
      </c>
      <c r="N60" s="10">
        <f t="shared" si="24"/>
        <v>1201973.3333333335</v>
      </c>
      <c r="O60" s="10">
        <f t="shared" si="24"/>
        <v>1168506</v>
      </c>
      <c r="P60" s="10">
        <f t="shared" si="24"/>
        <v>1127018.1818181819</v>
      </c>
      <c r="Q60" s="10">
        <f t="shared" si="24"/>
        <v>1098118.3333333333</v>
      </c>
      <c r="R60" s="10">
        <f t="shared" si="24"/>
        <v>1093166.153846154</v>
      </c>
      <c r="S60" s="10">
        <f t="shared" si="24"/>
        <v>1102317.1428571427</v>
      </c>
      <c r="T60" s="10">
        <f t="shared" si="24"/>
        <v>1097809.3333333335</v>
      </c>
      <c r="U60" s="10">
        <f t="shared" si="24"/>
        <v>1098382.5</v>
      </c>
      <c r="V60" s="10">
        <f t="shared" si="24"/>
        <v>1092180</v>
      </c>
      <c r="W60" s="10">
        <f t="shared" si="24"/>
        <v>1066448.8888888888</v>
      </c>
      <c r="X60" s="10">
        <f t="shared" si="24"/>
        <v>1089928.4210526315</v>
      </c>
      <c r="Y60" s="10">
        <f t="shared" si="24"/>
        <v>1074136</v>
      </c>
    </row>
    <row r="61" spans="2:50">
      <c r="B61" s="5"/>
      <c r="C61" s="152" t="s">
        <v>28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50">
      <c r="B62" s="1"/>
      <c r="J62" s="28"/>
      <c r="K62" s="28"/>
      <c r="L62" s="28"/>
    </row>
    <row r="63" spans="2:50">
      <c r="B63" s="1"/>
      <c r="C63" s="28"/>
      <c r="E63" s="3" t="str">
        <f>+B14</f>
        <v>Group</v>
      </c>
      <c r="F63" s="144">
        <f>+$C$14*F2</f>
        <v>84660</v>
      </c>
      <c r="G63" s="144">
        <f t="shared" ref="G63:Y63" si="25">+$C$14*G2</f>
        <v>169320</v>
      </c>
      <c r="H63" s="144">
        <f t="shared" si="25"/>
        <v>253980</v>
      </c>
      <c r="I63" s="144">
        <f t="shared" si="25"/>
        <v>338640</v>
      </c>
      <c r="J63" s="144">
        <f t="shared" si="25"/>
        <v>423300</v>
      </c>
      <c r="K63" s="144">
        <f t="shared" si="25"/>
        <v>507960</v>
      </c>
      <c r="L63" s="144">
        <f t="shared" si="25"/>
        <v>592620</v>
      </c>
      <c r="M63" s="144">
        <f t="shared" si="25"/>
        <v>677280</v>
      </c>
      <c r="N63" s="144">
        <f t="shared" si="25"/>
        <v>761940</v>
      </c>
      <c r="O63" s="144">
        <f t="shared" si="25"/>
        <v>846600</v>
      </c>
      <c r="P63" s="144">
        <f t="shared" si="25"/>
        <v>931260</v>
      </c>
      <c r="Q63" s="144">
        <f t="shared" si="25"/>
        <v>1015920</v>
      </c>
      <c r="R63" s="144">
        <f t="shared" si="25"/>
        <v>1100580</v>
      </c>
      <c r="S63" s="144">
        <f t="shared" si="25"/>
        <v>1185240</v>
      </c>
      <c r="T63" s="144">
        <f t="shared" si="25"/>
        <v>1269900</v>
      </c>
      <c r="U63" s="144">
        <f t="shared" si="25"/>
        <v>1354560</v>
      </c>
      <c r="V63" s="144">
        <f t="shared" si="25"/>
        <v>1439220</v>
      </c>
      <c r="W63" s="144">
        <f t="shared" si="25"/>
        <v>1523880</v>
      </c>
      <c r="X63" s="144">
        <f t="shared" si="25"/>
        <v>1608540</v>
      </c>
      <c r="Y63" s="144">
        <f t="shared" si="25"/>
        <v>1693200</v>
      </c>
    </row>
    <row r="64" spans="2:50">
      <c r="B64" s="1"/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>
      <c r="B69" s="1"/>
      <c r="E69" s="3"/>
      <c r="F69" s="14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>
      <c r="E70" s="143"/>
      <c r="F70" s="144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</row>
    <row r="71" spans="2:25">
      <c r="B71" s="1"/>
      <c r="E71" s="143"/>
      <c r="F71" s="143"/>
    </row>
    <row r="72" spans="2:25">
      <c r="B72" s="1"/>
      <c r="E72" s="143"/>
      <c r="F72" s="143"/>
    </row>
    <row r="73" spans="2:25">
      <c r="B73" s="1"/>
      <c r="E73" s="3"/>
      <c r="F73" s="143"/>
    </row>
    <row r="74" spans="2:25">
      <c r="E74" s="143"/>
      <c r="F74" s="143"/>
    </row>
    <row r="75" spans="2:25">
      <c r="B75" s="1"/>
      <c r="E75" s="1"/>
      <c r="F75" s="1"/>
    </row>
    <row r="76" spans="2:25">
      <c r="B76" s="1"/>
      <c r="E76" s="1"/>
      <c r="F76" s="1"/>
    </row>
    <row r="77" spans="2:25">
      <c r="B77" s="1"/>
      <c r="F77" s="1"/>
    </row>
    <row r="78" spans="2:25">
      <c r="B78" s="1"/>
      <c r="E78" s="1"/>
      <c r="F78" s="1"/>
    </row>
    <row r="79" spans="2:25">
      <c r="E79" s="1"/>
      <c r="F79" s="1"/>
    </row>
    <row r="80" spans="2:25">
      <c r="E80" s="1"/>
      <c r="F80" s="1"/>
    </row>
    <row r="81" spans="5:6">
      <c r="E81" s="1"/>
      <c r="F81" s="1"/>
    </row>
  </sheetData>
  <mergeCells count="1">
    <mergeCell ref="Z41:AA41"/>
  </mergeCells>
  <conditionalFormatting sqref="Z15">
    <cfRule type="cellIs" dxfId="32" priority="8" stopIfTrue="1" operator="lessThan">
      <formula>$C$14</formula>
    </cfRule>
    <cfRule type="cellIs" dxfId="31" priority="9" stopIfTrue="1" operator="lessThan">
      <formula>$C$14</formula>
    </cfRule>
    <cfRule type="cellIs" dxfId="30" priority="10" stopIfTrue="1" operator="greaterThan">
      <formula>$C$14</formula>
    </cfRule>
    <cfRule type="cellIs" dxfId="29" priority="11" stopIfTrue="1" operator="greaterThan">
      <formula>$C$14</formula>
    </cfRule>
  </conditionalFormatting>
  <conditionalFormatting sqref="AA30:AA37">
    <cfRule type="cellIs" dxfId="28" priority="4" stopIfTrue="1" operator="lessThan">
      <formula>0</formula>
    </cfRule>
    <cfRule type="cellIs" dxfId="27" priority="5" stopIfTrue="1" operator="greaterThan">
      <formula>0</formula>
    </cfRule>
    <cfRule type="cellIs" dxfId="26" priority="6" stopIfTrue="1" operator="lessThan">
      <formula>0</formula>
    </cfRule>
    <cfRule type="cellIs" dxfId="25" priority="7" stopIfTrue="1" operator="greaterThan">
      <formula>0</formula>
    </cfRule>
  </conditionalFormatting>
  <conditionalFormatting sqref="Z7:Z13">
    <cfRule type="cellIs" dxfId="24" priority="2" stopIfTrue="1" operator="lessThan">
      <formula>$C$7</formula>
    </cfRule>
    <cfRule type="cellIs" dxfId="23" priority="3" stopIfTrue="1" operator="greaterThan">
      <formula>$C$7</formula>
    </cfRule>
  </conditionalFormatting>
  <conditionalFormatting sqref="Z7:Z13">
    <cfRule type="cellIs" dxfId="22" priority="1" stopIfTrue="1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C81"/>
  <sheetViews>
    <sheetView topLeftCell="A2" workbookViewId="0">
      <selection activeCell="A2" sqref="A2"/>
    </sheetView>
  </sheetViews>
  <sheetFormatPr defaultColWidth="8.85546875" defaultRowHeight="15"/>
  <cols>
    <col min="1" max="1" width="2.7109375" customWidth="1"/>
    <col min="2" max="2" width="12.7109375" customWidth="1"/>
    <col min="3" max="3" width="9.140625" customWidth="1"/>
    <col min="4" max="4" width="0.42578125" customWidth="1"/>
    <col min="5" max="5" width="8.28515625" customWidth="1"/>
    <col min="6" max="6" width="9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8.28515625" customWidth="1"/>
    <col min="16" max="16" width="8.85546875" customWidth="1"/>
    <col min="17" max="17" width="8.85546875" bestFit="1" customWidth="1"/>
    <col min="18" max="18" width="10.2851562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30" width="9.28515625" customWidth="1"/>
    <col min="31" max="31" width="7.28515625" bestFit="1" customWidth="1"/>
    <col min="32" max="32" width="10.42578125" customWidth="1"/>
    <col min="55" max="55" width="9.140625" style="6" customWidth="1"/>
  </cols>
  <sheetData>
    <row r="1" spans="1:55" ht="21.75" hidden="1" customHeight="1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3">
        <v>1</v>
      </c>
      <c r="AG1" s="3">
        <v>1</v>
      </c>
    </row>
    <row r="2" spans="1:55">
      <c r="A2" s="3">
        <v>1</v>
      </c>
      <c r="B2" s="3">
        <v>1</v>
      </c>
      <c r="C2" s="3">
        <v>1</v>
      </c>
      <c r="D2" s="3">
        <v>2</v>
      </c>
      <c r="E2" s="3">
        <v>3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</row>
    <row r="3" spans="1:55" ht="18.75">
      <c r="B3" s="2" t="s">
        <v>109</v>
      </c>
      <c r="M3" s="93" t="s">
        <v>45</v>
      </c>
      <c r="O3" s="28"/>
      <c r="P3" s="28"/>
      <c r="Q3" s="28"/>
      <c r="R3" s="28"/>
    </row>
    <row r="4" spans="1:55">
      <c r="F4" s="28"/>
    </row>
    <row r="5" spans="1:55" ht="15.75" thickBot="1">
      <c r="B5" s="9" t="s">
        <v>24</v>
      </c>
      <c r="C5" s="4"/>
      <c r="D5" s="4"/>
      <c r="E5" s="4"/>
      <c r="G5" s="4"/>
      <c r="H5" s="4"/>
      <c r="I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8"/>
      <c r="AA5" s="8"/>
      <c r="AB5" s="8"/>
      <c r="AC5" s="8"/>
      <c r="AD5" s="8"/>
    </row>
    <row r="6" spans="1:55">
      <c r="B6" s="4"/>
      <c r="C6" s="16" t="s">
        <v>32</v>
      </c>
      <c r="D6" s="4"/>
      <c r="E6" s="7" t="s">
        <v>70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 t="s">
        <v>14</v>
      </c>
      <c r="Q6" s="4" t="s">
        <v>15</v>
      </c>
      <c r="R6" s="4" t="s">
        <v>16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103</v>
      </c>
      <c r="AA6" s="4" t="s">
        <v>104</v>
      </c>
      <c r="AB6" s="4" t="s">
        <v>105</v>
      </c>
      <c r="AC6" s="4" t="s">
        <v>106</v>
      </c>
      <c r="AD6" s="4" t="s">
        <v>107</v>
      </c>
      <c r="AE6" s="76" t="s">
        <v>43</v>
      </c>
      <c r="BC6"/>
    </row>
    <row r="7" spans="1:55">
      <c r="B7" s="4" t="s">
        <v>0</v>
      </c>
      <c r="C7" s="20">
        <f t="shared" ref="C7:C13" si="0">+C53/20</f>
        <v>17000</v>
      </c>
      <c r="D7" s="10"/>
      <c r="E7" s="11"/>
      <c r="F7" s="34">
        <v>18885</v>
      </c>
      <c r="G7" s="34">
        <v>14030</v>
      </c>
      <c r="H7" s="34">
        <v>9165</v>
      </c>
      <c r="I7" s="34">
        <v>16235</v>
      </c>
      <c r="J7" s="34">
        <v>22980</v>
      </c>
      <c r="K7" s="34">
        <v>9520</v>
      </c>
      <c r="L7" s="34">
        <v>13325</v>
      </c>
      <c r="M7" s="34">
        <v>19805</v>
      </c>
      <c r="N7" s="34">
        <v>20505</v>
      </c>
      <c r="O7" s="34">
        <v>18345</v>
      </c>
      <c r="P7" s="34">
        <v>24280</v>
      </c>
      <c r="Q7" s="34">
        <v>8249</v>
      </c>
      <c r="R7" s="34">
        <v>12940</v>
      </c>
      <c r="S7" s="34">
        <v>23035</v>
      </c>
      <c r="T7" s="34">
        <v>14885</v>
      </c>
      <c r="U7" s="34">
        <v>32150</v>
      </c>
      <c r="V7" s="34">
        <v>16175</v>
      </c>
      <c r="W7" s="34">
        <v>15640</v>
      </c>
      <c r="X7" s="34">
        <v>10952</v>
      </c>
      <c r="Y7" s="34">
        <v>10952</v>
      </c>
      <c r="Z7" s="34">
        <v>13810</v>
      </c>
      <c r="AA7" s="34">
        <v>15105</v>
      </c>
      <c r="AB7" s="34">
        <v>15105</v>
      </c>
      <c r="AC7" s="34">
        <v>11275</v>
      </c>
      <c r="AD7" s="34">
        <v>0</v>
      </c>
      <c r="AE7" s="69">
        <f t="shared" ref="AE7:AE14" si="1">IFERROR((SUM(F7:AD7)/(COUNT(F7:AD7))),0)</f>
        <v>15493.92</v>
      </c>
      <c r="AF7" s="103"/>
      <c r="BC7"/>
    </row>
    <row r="8" spans="1:55">
      <c r="B8" s="4" t="s">
        <v>64</v>
      </c>
      <c r="C8" s="20">
        <f t="shared" si="0"/>
        <v>9000</v>
      </c>
      <c r="D8" s="10"/>
      <c r="E8" s="11"/>
      <c r="F8" s="34">
        <v>2695</v>
      </c>
      <c r="G8" s="34">
        <v>2290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2695</v>
      </c>
      <c r="Q8" s="34">
        <v>2695</v>
      </c>
      <c r="R8" s="34">
        <v>0</v>
      </c>
      <c r="S8" s="34">
        <v>0</v>
      </c>
      <c r="T8" s="34">
        <v>0</v>
      </c>
      <c r="U8" s="34">
        <v>2290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69">
        <f t="shared" si="1"/>
        <v>506.6</v>
      </c>
      <c r="AF8" s="103"/>
      <c r="BC8"/>
    </row>
    <row r="9" spans="1:55">
      <c r="B9" s="4" t="s">
        <v>77</v>
      </c>
      <c r="C9" s="20">
        <f t="shared" si="0"/>
        <v>9000</v>
      </c>
      <c r="D9" s="10"/>
      <c r="E9" s="11"/>
      <c r="F9" s="34">
        <v>6295</v>
      </c>
      <c r="G9" s="34">
        <v>2400</v>
      </c>
      <c r="H9" s="34">
        <v>0</v>
      </c>
      <c r="I9" s="34">
        <v>4795</v>
      </c>
      <c r="J9" s="34">
        <v>2400</v>
      </c>
      <c r="K9" s="34">
        <v>1500</v>
      </c>
      <c r="L9" s="34">
        <v>0</v>
      </c>
      <c r="M9" s="34">
        <v>4310</v>
      </c>
      <c r="N9" s="34">
        <v>4000</v>
      </c>
      <c r="O9" s="34">
        <v>0</v>
      </c>
      <c r="P9" s="34">
        <v>2695</v>
      </c>
      <c r="Q9" s="34">
        <v>0</v>
      </c>
      <c r="R9" s="34">
        <v>0</v>
      </c>
      <c r="S9" s="34">
        <v>0</v>
      </c>
      <c r="T9" s="34">
        <v>2695</v>
      </c>
      <c r="U9" s="34">
        <v>0</v>
      </c>
      <c r="V9" s="34">
        <v>1500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4795</v>
      </c>
      <c r="AD9" s="34">
        <v>2295</v>
      </c>
      <c r="AE9" s="69">
        <f t="shared" si="1"/>
        <v>1587.2</v>
      </c>
      <c r="AF9" s="103"/>
      <c r="BC9"/>
    </row>
    <row r="10" spans="1:55">
      <c r="B10" s="4" t="s">
        <v>1</v>
      </c>
      <c r="C10" s="20">
        <f t="shared" si="0"/>
        <v>13750</v>
      </c>
      <c r="D10" s="10"/>
      <c r="E10" s="11"/>
      <c r="F10" s="34">
        <v>12995</v>
      </c>
      <c r="G10" s="34">
        <v>10245</v>
      </c>
      <c r="H10" s="34">
        <v>4250</v>
      </c>
      <c r="I10" s="34">
        <v>14995</v>
      </c>
      <c r="J10" s="34">
        <v>12500</v>
      </c>
      <c r="K10" s="34">
        <v>0</v>
      </c>
      <c r="L10" s="34">
        <v>20985</v>
      </c>
      <c r="M10" s="34">
        <v>11245</v>
      </c>
      <c r="N10" s="34">
        <v>7750</v>
      </c>
      <c r="O10" s="34">
        <v>13485</v>
      </c>
      <c r="P10" s="34">
        <v>13485</v>
      </c>
      <c r="Q10" s="34">
        <v>7495</v>
      </c>
      <c r="R10" s="34">
        <v>16485</v>
      </c>
      <c r="S10" s="34">
        <v>11990</v>
      </c>
      <c r="T10" s="34">
        <v>11995</v>
      </c>
      <c r="U10" s="34">
        <v>17480</v>
      </c>
      <c r="V10" s="34">
        <v>12995</v>
      </c>
      <c r="W10" s="34">
        <v>10995</v>
      </c>
      <c r="X10" s="34">
        <v>7000</v>
      </c>
      <c r="Y10" s="34">
        <v>7000</v>
      </c>
      <c r="Z10" s="34">
        <v>14495</v>
      </c>
      <c r="AA10" s="34">
        <v>17745</v>
      </c>
      <c r="AB10" s="34">
        <v>17745</v>
      </c>
      <c r="AC10" s="34">
        <v>0</v>
      </c>
      <c r="AD10" s="34">
        <v>0</v>
      </c>
      <c r="AE10" s="69">
        <f t="shared" si="1"/>
        <v>11014.2</v>
      </c>
      <c r="AF10" s="103"/>
      <c r="BC10"/>
    </row>
    <row r="11" spans="1:55">
      <c r="B11" s="4" t="s">
        <v>2</v>
      </c>
      <c r="C11" s="20">
        <f t="shared" si="0"/>
        <v>9600</v>
      </c>
      <c r="D11" s="10"/>
      <c r="E11" s="11"/>
      <c r="F11" s="34">
        <v>12490</v>
      </c>
      <c r="G11" s="34">
        <v>2995</v>
      </c>
      <c r="H11" s="34">
        <v>5990</v>
      </c>
      <c r="I11" s="34">
        <v>5990</v>
      </c>
      <c r="J11" s="34">
        <v>12985</v>
      </c>
      <c r="K11" s="34">
        <v>6545</v>
      </c>
      <c r="L11" s="34">
        <v>5495</v>
      </c>
      <c r="M11" s="34">
        <v>7740</v>
      </c>
      <c r="N11" s="34">
        <v>2995</v>
      </c>
      <c r="O11" s="34">
        <v>4745</v>
      </c>
      <c r="P11" s="34">
        <v>3950</v>
      </c>
      <c r="Q11" s="34">
        <v>8550</v>
      </c>
      <c r="R11" s="34">
        <v>5990</v>
      </c>
      <c r="S11" s="34">
        <v>6000</v>
      </c>
      <c r="T11" s="34">
        <v>7995</v>
      </c>
      <c r="U11" s="34">
        <v>4745</v>
      </c>
      <c r="V11" s="34">
        <v>5990</v>
      </c>
      <c r="W11" s="34">
        <v>5990</v>
      </c>
      <c r="X11" s="34">
        <v>7891</v>
      </c>
      <c r="Y11" s="34">
        <v>7891</v>
      </c>
      <c r="Z11" s="34">
        <v>4495</v>
      </c>
      <c r="AA11" s="34">
        <v>4500</v>
      </c>
      <c r="AB11" s="34">
        <v>4500</v>
      </c>
      <c r="AC11" s="34">
        <v>2995</v>
      </c>
      <c r="AD11" s="34">
        <v>2995</v>
      </c>
      <c r="AE11" s="69">
        <f t="shared" si="1"/>
        <v>6097.88</v>
      </c>
      <c r="AF11" s="103"/>
      <c r="BC11"/>
    </row>
    <row r="12" spans="1:55">
      <c r="B12" s="4" t="s">
        <v>99</v>
      </c>
      <c r="C12" s="20">
        <f t="shared" si="0"/>
        <v>4250</v>
      </c>
      <c r="D12" s="10"/>
      <c r="E12" s="11"/>
      <c r="F12" s="34">
        <v>0</v>
      </c>
      <c r="G12" s="34">
        <v>4135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1455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69">
        <f t="shared" si="1"/>
        <v>223.6</v>
      </c>
      <c r="AF12" s="103"/>
      <c r="BC12"/>
    </row>
    <row r="13" spans="1:55">
      <c r="B13" s="4" t="s">
        <v>3</v>
      </c>
      <c r="C13" s="21">
        <f t="shared" si="0"/>
        <v>17630</v>
      </c>
      <c r="D13" s="13"/>
      <c r="E13" s="40"/>
      <c r="F13" s="35">
        <v>18511</v>
      </c>
      <c r="G13" s="35">
        <v>19951</v>
      </c>
      <c r="H13" s="35">
        <v>17961</v>
      </c>
      <c r="I13" s="35">
        <v>32124</v>
      </c>
      <c r="J13" s="35">
        <v>22110</v>
      </c>
      <c r="K13" s="35">
        <v>17509</v>
      </c>
      <c r="L13" s="35">
        <v>18752</v>
      </c>
      <c r="M13" s="35">
        <v>12531</v>
      </c>
      <c r="N13" s="35">
        <v>9825</v>
      </c>
      <c r="O13" s="35">
        <v>10794</v>
      </c>
      <c r="P13" s="35">
        <v>11378</v>
      </c>
      <c r="Q13" s="35">
        <v>17038</v>
      </c>
      <c r="R13" s="35">
        <v>15452</v>
      </c>
      <c r="S13" s="35">
        <v>16695</v>
      </c>
      <c r="T13" s="35">
        <v>13304</v>
      </c>
      <c r="U13" s="35">
        <v>13122</v>
      </c>
      <c r="V13" s="35">
        <v>10089</v>
      </c>
      <c r="W13" s="35">
        <v>20495</v>
      </c>
      <c r="X13" s="35">
        <v>13863</v>
      </c>
      <c r="Y13" s="35">
        <v>13863</v>
      </c>
      <c r="Z13" s="35">
        <v>20152</v>
      </c>
      <c r="AA13" s="35">
        <v>14234</v>
      </c>
      <c r="AB13" s="35">
        <v>14234</v>
      </c>
      <c r="AC13" s="35">
        <v>16725</v>
      </c>
      <c r="AD13" s="35">
        <v>19524</v>
      </c>
      <c r="AE13" s="69">
        <f t="shared" si="1"/>
        <v>16409.439999999999</v>
      </c>
      <c r="AF13" s="103"/>
      <c r="BC13"/>
    </row>
    <row r="14" spans="1:55" ht="15.75" thickBot="1">
      <c r="B14" s="14" t="s">
        <v>27</v>
      </c>
      <c r="C14" s="20">
        <f>SUM(C7:C13)</f>
        <v>80230</v>
      </c>
      <c r="D14" s="20">
        <f t="shared" ref="D14:E14" si="2">SUM(D7:D13)</f>
        <v>0</v>
      </c>
      <c r="E14" s="11">
        <f t="shared" si="2"/>
        <v>0</v>
      </c>
      <c r="F14" s="127">
        <v>71871</v>
      </c>
      <c r="G14" s="127">
        <v>56046</v>
      </c>
      <c r="H14" s="127">
        <v>37366</v>
      </c>
      <c r="I14" s="127">
        <v>74139</v>
      </c>
      <c r="J14" s="127">
        <v>72975</v>
      </c>
      <c r="K14" s="127">
        <v>35074</v>
      </c>
      <c r="L14" s="127">
        <v>58557</v>
      </c>
      <c r="M14" s="127">
        <v>55631</v>
      </c>
      <c r="N14" s="127">
        <v>45075</v>
      </c>
      <c r="O14" s="127">
        <v>47369</v>
      </c>
      <c r="P14" s="127">
        <v>58483</v>
      </c>
      <c r="Q14" s="127">
        <v>44027</v>
      </c>
      <c r="R14" s="127">
        <v>50867</v>
      </c>
      <c r="S14" s="127">
        <v>57720</v>
      </c>
      <c r="T14" s="127">
        <v>50874</v>
      </c>
      <c r="U14" s="127">
        <v>69787</v>
      </c>
      <c r="V14" s="127">
        <v>46749</v>
      </c>
      <c r="W14" s="127">
        <v>54575</v>
      </c>
      <c r="X14" s="127">
        <v>39706</v>
      </c>
      <c r="Y14" s="127">
        <v>39706</v>
      </c>
      <c r="Z14" s="127">
        <v>52952</v>
      </c>
      <c r="AA14" s="127">
        <v>51584</v>
      </c>
      <c r="AB14" s="127">
        <v>51584</v>
      </c>
      <c r="AC14" s="127">
        <v>35790</v>
      </c>
      <c r="AD14" s="127">
        <v>24814</v>
      </c>
      <c r="AE14" s="67">
        <f t="shared" si="1"/>
        <v>51332.84</v>
      </c>
      <c r="AF14" s="103"/>
      <c r="BC14"/>
    </row>
    <row r="15" spans="1:55" s="1" customFormat="1" ht="13.5" thickBot="1">
      <c r="B15" s="14"/>
      <c r="C15" s="20"/>
      <c r="D15" s="12"/>
      <c r="E15" s="41"/>
      <c r="F15" s="12"/>
      <c r="G15" s="12"/>
      <c r="H15" s="12"/>
      <c r="I15" s="12"/>
      <c r="J15" s="7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Z15" s="43"/>
      <c r="AA15" s="43"/>
      <c r="AB15" s="43"/>
      <c r="AC15" s="43"/>
      <c r="AD15" s="43" t="s">
        <v>36</v>
      </c>
      <c r="AE15" s="58">
        <f>(SUM(F14:AD14)/(COUNT(F14:AD14)))</f>
        <v>51332.84</v>
      </c>
      <c r="AF15" s="104"/>
    </row>
    <row r="16" spans="1:55" s="1" customFormat="1" ht="12.75">
      <c r="B16" s="14"/>
      <c r="C16" s="14"/>
      <c r="D16" s="14"/>
      <c r="E16" s="12"/>
      <c r="F16" s="12"/>
      <c r="G16" s="12"/>
      <c r="H16" s="12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4"/>
      <c r="AF16" s="104"/>
    </row>
    <row r="17" spans="2:55" s="1" customFormat="1" ht="12.75">
      <c r="B17" s="22" t="s">
        <v>29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104"/>
      <c r="AF17" s="104"/>
    </row>
    <row r="18" spans="2:55" s="1" customFormat="1" ht="12.75">
      <c r="B18" s="23"/>
      <c r="C18" s="23"/>
      <c r="D18" s="23"/>
      <c r="E18" s="23"/>
      <c r="F18" s="23" t="str">
        <f>+F6</f>
        <v>Day 1</v>
      </c>
      <c r="G18" s="23" t="str">
        <f t="shared" ref="G18:AD18" si="3">+G6</f>
        <v>Day 2</v>
      </c>
      <c r="H18" s="23" t="str">
        <f t="shared" si="3"/>
        <v>Day 3</v>
      </c>
      <c r="I18" s="23" t="str">
        <f t="shared" si="3"/>
        <v>Day 4</v>
      </c>
      <c r="J18" s="23" t="str">
        <f t="shared" si="3"/>
        <v>Day 5</v>
      </c>
      <c r="K18" s="23" t="str">
        <f t="shared" si="3"/>
        <v>Day 6</v>
      </c>
      <c r="L18" s="23" t="str">
        <f t="shared" si="3"/>
        <v>Day 7</v>
      </c>
      <c r="M18" s="23" t="str">
        <f t="shared" si="3"/>
        <v>Day 8</v>
      </c>
      <c r="N18" s="23" t="str">
        <f t="shared" si="3"/>
        <v>Day 9</v>
      </c>
      <c r="O18" s="23" t="str">
        <f t="shared" si="3"/>
        <v>Day 10</v>
      </c>
      <c r="P18" s="23" t="str">
        <f t="shared" si="3"/>
        <v>Day 11</v>
      </c>
      <c r="Q18" s="23" t="str">
        <f t="shared" si="3"/>
        <v>Day 12</v>
      </c>
      <c r="R18" s="23" t="str">
        <f t="shared" si="3"/>
        <v>Day 13</v>
      </c>
      <c r="S18" s="23" t="str">
        <f t="shared" si="3"/>
        <v>Day 14</v>
      </c>
      <c r="T18" s="23" t="str">
        <f t="shared" si="3"/>
        <v>Day 15</v>
      </c>
      <c r="U18" s="23" t="str">
        <f t="shared" si="3"/>
        <v>Day 16</v>
      </c>
      <c r="V18" s="23" t="str">
        <f t="shared" si="3"/>
        <v>Day 17</v>
      </c>
      <c r="W18" s="23" t="str">
        <f t="shared" si="3"/>
        <v>Day 18</v>
      </c>
      <c r="X18" s="23" t="str">
        <f t="shared" si="3"/>
        <v>Day 19</v>
      </c>
      <c r="Y18" s="23" t="str">
        <f t="shared" si="3"/>
        <v>Day 20</v>
      </c>
      <c r="Z18" s="23" t="str">
        <f t="shared" si="3"/>
        <v>Day 21</v>
      </c>
      <c r="AA18" s="23" t="str">
        <f t="shared" si="3"/>
        <v>Day 22</v>
      </c>
      <c r="AB18" s="23" t="str">
        <f t="shared" si="3"/>
        <v>Day 23</v>
      </c>
      <c r="AC18" s="23" t="str">
        <f t="shared" si="3"/>
        <v>Day 24</v>
      </c>
      <c r="AD18" s="23" t="str">
        <f t="shared" si="3"/>
        <v>Day 25</v>
      </c>
      <c r="AE18" s="104"/>
      <c r="AF18" s="104"/>
    </row>
    <row r="19" spans="2:55" s="1" customFormat="1" ht="12.75">
      <c r="B19" s="23" t="s">
        <v>0</v>
      </c>
      <c r="C19" s="25">
        <f t="shared" ref="C19:C26" si="4">(C7-$C7)/$C7+1</f>
        <v>1</v>
      </c>
      <c r="D19" s="25"/>
      <c r="E19" s="25"/>
      <c r="F19" s="25">
        <f t="shared" ref="F19:Y22" si="5">(F7-$C7)/$C7+1</f>
        <v>1.1108823529411764</v>
      </c>
      <c r="G19" s="25">
        <f t="shared" si="5"/>
        <v>0.82529411764705884</v>
      </c>
      <c r="H19" s="25">
        <f t="shared" si="5"/>
        <v>0.53911764705882348</v>
      </c>
      <c r="I19" s="25">
        <f t="shared" si="5"/>
        <v>0.95499999999999996</v>
      </c>
      <c r="J19" s="25">
        <f t="shared" si="5"/>
        <v>1.351764705882353</v>
      </c>
      <c r="K19" s="25">
        <f t="shared" si="5"/>
        <v>0.56000000000000005</v>
      </c>
      <c r="L19" s="25">
        <f t="shared" si="5"/>
        <v>0.7838235294117647</v>
      </c>
      <c r="M19" s="25">
        <f t="shared" si="5"/>
        <v>1.165</v>
      </c>
      <c r="N19" s="25">
        <f t="shared" si="5"/>
        <v>1.2061764705882352</v>
      </c>
      <c r="O19" s="25">
        <f t="shared" si="5"/>
        <v>1.0791176470588235</v>
      </c>
      <c r="P19" s="25">
        <f t="shared" si="5"/>
        <v>1.428235294117647</v>
      </c>
      <c r="Q19" s="25">
        <f t="shared" si="5"/>
        <v>0.4852352941176471</v>
      </c>
      <c r="R19" s="25">
        <f t="shared" si="5"/>
        <v>0.76117647058823534</v>
      </c>
      <c r="S19" s="25">
        <f t="shared" si="5"/>
        <v>1.355</v>
      </c>
      <c r="T19" s="25">
        <f t="shared" si="5"/>
        <v>0.87558823529411767</v>
      </c>
      <c r="U19" s="25">
        <f t="shared" si="5"/>
        <v>1.8911764705882352</v>
      </c>
      <c r="V19" s="25">
        <f t="shared" ref="V19:X26" si="6">(V7-$C7)/$C7+1</f>
        <v>0.95147058823529407</v>
      </c>
      <c r="W19" s="25">
        <f t="shared" si="6"/>
        <v>0.92</v>
      </c>
      <c r="X19" s="25">
        <f t="shared" si="6"/>
        <v>0.64423529411764702</v>
      </c>
      <c r="Y19" s="25">
        <f t="shared" si="5"/>
        <v>0.64423529411764702</v>
      </c>
      <c r="Z19" s="25">
        <f t="shared" ref="Z19:AD19" si="7">(Z7-$C7)/$C7+1</f>
        <v>0.81235294117647061</v>
      </c>
      <c r="AA19" s="25">
        <f t="shared" si="7"/>
        <v>0.8885294117647059</v>
      </c>
      <c r="AB19" s="25">
        <f t="shared" si="7"/>
        <v>0.8885294117647059</v>
      </c>
      <c r="AC19" s="25">
        <f t="shared" si="7"/>
        <v>0.66323529411764703</v>
      </c>
      <c r="AD19" s="25">
        <f t="shared" si="7"/>
        <v>0</v>
      </c>
      <c r="AE19" s="104"/>
      <c r="AF19" s="104"/>
    </row>
    <row r="20" spans="2:55" s="1" customFormat="1" ht="12.75">
      <c r="B20" s="23" t="s">
        <v>64</v>
      </c>
      <c r="C20" s="25">
        <f t="shared" si="4"/>
        <v>1</v>
      </c>
      <c r="D20" s="25"/>
      <c r="E20" s="25"/>
      <c r="F20" s="25">
        <f t="shared" si="5"/>
        <v>0.2994444444444444</v>
      </c>
      <c r="G20" s="25">
        <f t="shared" si="5"/>
        <v>0.25444444444444447</v>
      </c>
      <c r="H20" s="25">
        <f t="shared" si="5"/>
        <v>0</v>
      </c>
      <c r="I20" s="25">
        <f t="shared" si="5"/>
        <v>0</v>
      </c>
      <c r="J20" s="25">
        <f t="shared" si="5"/>
        <v>0</v>
      </c>
      <c r="K20" s="25">
        <f t="shared" si="5"/>
        <v>0</v>
      </c>
      <c r="L20" s="25">
        <f t="shared" si="5"/>
        <v>0</v>
      </c>
      <c r="M20" s="25">
        <f t="shared" si="5"/>
        <v>0</v>
      </c>
      <c r="N20" s="25">
        <f t="shared" si="5"/>
        <v>0</v>
      </c>
      <c r="O20" s="25">
        <f t="shared" si="5"/>
        <v>0</v>
      </c>
      <c r="P20" s="25">
        <f t="shared" si="5"/>
        <v>0.2994444444444444</v>
      </c>
      <c r="Q20" s="25">
        <f t="shared" si="5"/>
        <v>0.2994444444444444</v>
      </c>
      <c r="R20" s="25">
        <f t="shared" si="5"/>
        <v>0</v>
      </c>
      <c r="S20" s="25">
        <f t="shared" si="5"/>
        <v>0</v>
      </c>
      <c r="T20" s="25">
        <f t="shared" si="5"/>
        <v>0</v>
      </c>
      <c r="U20" s="25">
        <f t="shared" si="5"/>
        <v>0.25444444444444447</v>
      </c>
      <c r="V20" s="25">
        <f t="shared" si="6"/>
        <v>0</v>
      </c>
      <c r="W20" s="25">
        <f t="shared" si="6"/>
        <v>0</v>
      </c>
      <c r="X20" s="25">
        <f t="shared" si="6"/>
        <v>0</v>
      </c>
      <c r="Y20" s="25">
        <f t="shared" si="5"/>
        <v>0</v>
      </c>
      <c r="Z20" s="25">
        <f t="shared" ref="Z20:AD20" si="8">(Z8-$C8)/$C8+1</f>
        <v>0</v>
      </c>
      <c r="AA20" s="25">
        <f t="shared" si="8"/>
        <v>0</v>
      </c>
      <c r="AB20" s="25">
        <f t="shared" si="8"/>
        <v>0</v>
      </c>
      <c r="AC20" s="25">
        <f t="shared" si="8"/>
        <v>0</v>
      </c>
      <c r="AD20" s="25">
        <f t="shared" si="8"/>
        <v>0</v>
      </c>
      <c r="AE20" s="104"/>
      <c r="AF20" s="104"/>
    </row>
    <row r="21" spans="2:55" s="1" customFormat="1" ht="12.75">
      <c r="B21" s="4" t="s">
        <v>77</v>
      </c>
      <c r="C21" s="25">
        <f t="shared" si="4"/>
        <v>1</v>
      </c>
      <c r="D21" s="25"/>
      <c r="E21" s="25"/>
      <c r="F21" s="25">
        <f t="shared" si="5"/>
        <v>0.69944444444444442</v>
      </c>
      <c r="G21" s="25">
        <f t="shared" si="5"/>
        <v>0.26666666666666672</v>
      </c>
      <c r="H21" s="25">
        <f t="shared" si="5"/>
        <v>0</v>
      </c>
      <c r="I21" s="25">
        <f t="shared" si="5"/>
        <v>0.53277777777777779</v>
      </c>
      <c r="J21" s="25">
        <f t="shared" si="5"/>
        <v>0.26666666666666672</v>
      </c>
      <c r="K21" s="25">
        <f t="shared" si="5"/>
        <v>0.16666666666666663</v>
      </c>
      <c r="L21" s="25">
        <f t="shared" si="5"/>
        <v>0</v>
      </c>
      <c r="M21" s="25">
        <f t="shared" si="5"/>
        <v>0.47888888888888892</v>
      </c>
      <c r="N21" s="25">
        <f t="shared" si="5"/>
        <v>0.44444444444444442</v>
      </c>
      <c r="O21" s="25">
        <f t="shared" si="5"/>
        <v>0</v>
      </c>
      <c r="P21" s="25">
        <f t="shared" si="5"/>
        <v>0.2994444444444444</v>
      </c>
      <c r="Q21" s="25">
        <f t="shared" si="5"/>
        <v>0</v>
      </c>
      <c r="R21" s="25">
        <f t="shared" si="5"/>
        <v>0</v>
      </c>
      <c r="S21" s="25">
        <f t="shared" si="5"/>
        <v>0</v>
      </c>
      <c r="T21" s="25">
        <f t="shared" si="5"/>
        <v>0.2994444444444444</v>
      </c>
      <c r="U21" s="25">
        <f t="shared" si="5"/>
        <v>0</v>
      </c>
      <c r="V21" s="25">
        <f t="shared" si="6"/>
        <v>0.16666666666666663</v>
      </c>
      <c r="W21" s="25">
        <f t="shared" si="6"/>
        <v>0</v>
      </c>
      <c r="X21" s="25">
        <f t="shared" si="6"/>
        <v>0</v>
      </c>
      <c r="Y21" s="25">
        <f t="shared" si="5"/>
        <v>0</v>
      </c>
      <c r="Z21" s="25">
        <f t="shared" ref="Z21:AD21" si="9">(Z9-$C9)/$C9+1</f>
        <v>0</v>
      </c>
      <c r="AA21" s="25">
        <f t="shared" si="9"/>
        <v>0</v>
      </c>
      <c r="AB21" s="25">
        <f t="shared" si="9"/>
        <v>0</v>
      </c>
      <c r="AC21" s="25">
        <f t="shared" si="9"/>
        <v>0.53277777777777779</v>
      </c>
      <c r="AD21" s="25">
        <f t="shared" si="9"/>
        <v>0.255</v>
      </c>
      <c r="AE21" s="104"/>
      <c r="AF21" s="104"/>
    </row>
    <row r="22" spans="2:55" s="1" customFormat="1" ht="12.75">
      <c r="B22" s="4" t="str">
        <f>+B10</f>
        <v>Boston</v>
      </c>
      <c r="C22" s="25">
        <f t="shared" si="4"/>
        <v>1</v>
      </c>
      <c r="D22" s="25"/>
      <c r="E22" s="25"/>
      <c r="F22" s="25">
        <f>(F10-$C10)/$C10+1</f>
        <v>0.94509090909090909</v>
      </c>
      <c r="G22" s="25">
        <f t="shared" si="5"/>
        <v>0.74509090909090903</v>
      </c>
      <c r="H22" s="25">
        <f t="shared" si="5"/>
        <v>0.30909090909090908</v>
      </c>
      <c r="I22" s="25">
        <f t="shared" si="5"/>
        <v>1.0905454545454545</v>
      </c>
      <c r="J22" s="25">
        <f t="shared" si="5"/>
        <v>0.90909090909090906</v>
      </c>
      <c r="K22" s="25">
        <f t="shared" si="5"/>
        <v>0</v>
      </c>
      <c r="L22" s="25">
        <f t="shared" si="5"/>
        <v>1.5261818181818181</v>
      </c>
      <c r="M22" s="25">
        <f t="shared" si="5"/>
        <v>0.81781818181818178</v>
      </c>
      <c r="N22" s="25">
        <f t="shared" si="5"/>
        <v>0.56363636363636371</v>
      </c>
      <c r="O22" s="25">
        <f t="shared" si="5"/>
        <v>0.98072727272727278</v>
      </c>
      <c r="P22" s="25">
        <f t="shared" si="5"/>
        <v>0.98072727272727278</v>
      </c>
      <c r="Q22" s="25">
        <f t="shared" si="5"/>
        <v>0.54509090909090907</v>
      </c>
      <c r="R22" s="25">
        <f t="shared" si="5"/>
        <v>1.1989090909090909</v>
      </c>
      <c r="S22" s="25">
        <f t="shared" si="5"/>
        <v>0.872</v>
      </c>
      <c r="T22" s="25">
        <f t="shared" si="5"/>
        <v>0.87236363636363634</v>
      </c>
      <c r="U22" s="25">
        <f t="shared" si="5"/>
        <v>1.2712727272727273</v>
      </c>
      <c r="V22" s="25">
        <f t="shared" si="6"/>
        <v>0.94509090909090909</v>
      </c>
      <c r="W22" s="25">
        <f t="shared" si="6"/>
        <v>0.7996363636363637</v>
      </c>
      <c r="X22" s="25">
        <f t="shared" si="6"/>
        <v>0.50909090909090904</v>
      </c>
      <c r="Y22" s="25">
        <f t="shared" si="5"/>
        <v>0.50909090909090904</v>
      </c>
      <c r="Z22" s="25">
        <f t="shared" ref="Z22:AD22" si="10">(Z10-$C10)/$C10+1</f>
        <v>1.0541818181818181</v>
      </c>
      <c r="AA22" s="25">
        <f t="shared" si="10"/>
        <v>1.2905454545454544</v>
      </c>
      <c r="AB22" s="25">
        <f t="shared" si="10"/>
        <v>1.2905454545454544</v>
      </c>
      <c r="AC22" s="25">
        <f t="shared" si="10"/>
        <v>0</v>
      </c>
      <c r="AD22" s="25">
        <f t="shared" si="10"/>
        <v>0</v>
      </c>
      <c r="AE22" s="104"/>
      <c r="AF22" s="104"/>
    </row>
    <row r="23" spans="2:55" s="1" customFormat="1" ht="12.75">
      <c r="B23" s="23" t="s">
        <v>2</v>
      </c>
      <c r="C23" s="25">
        <f t="shared" si="4"/>
        <v>1</v>
      </c>
      <c r="D23" s="25"/>
      <c r="E23" s="25"/>
      <c r="F23" s="25">
        <f t="shared" ref="F23:Y26" si="11">(F11-$C11)/$C11+1</f>
        <v>1.3010416666666667</v>
      </c>
      <c r="G23" s="25">
        <f t="shared" si="11"/>
        <v>0.3119791666666667</v>
      </c>
      <c r="H23" s="25">
        <f t="shared" si="11"/>
        <v>0.62395833333333339</v>
      </c>
      <c r="I23" s="25">
        <f t="shared" si="11"/>
        <v>0.62395833333333339</v>
      </c>
      <c r="J23" s="25">
        <f t="shared" si="11"/>
        <v>1.3526041666666666</v>
      </c>
      <c r="K23" s="25">
        <f t="shared" si="11"/>
        <v>0.68177083333333333</v>
      </c>
      <c r="L23" s="25">
        <f t="shared" si="11"/>
        <v>0.57239583333333333</v>
      </c>
      <c r="M23" s="25">
        <f t="shared" si="11"/>
        <v>0.80625000000000002</v>
      </c>
      <c r="N23" s="25">
        <f t="shared" si="11"/>
        <v>0.3119791666666667</v>
      </c>
      <c r="O23" s="25">
        <f t="shared" si="11"/>
        <v>0.49427083333333333</v>
      </c>
      <c r="P23" s="25">
        <f t="shared" si="11"/>
        <v>0.41145833333333337</v>
      </c>
      <c r="Q23" s="25">
        <f t="shared" si="11"/>
        <v>0.890625</v>
      </c>
      <c r="R23" s="25">
        <f t="shared" si="11"/>
        <v>0.62395833333333339</v>
      </c>
      <c r="S23" s="25">
        <f t="shared" si="11"/>
        <v>0.625</v>
      </c>
      <c r="T23" s="25">
        <f t="shared" si="11"/>
        <v>0.83281249999999996</v>
      </c>
      <c r="U23" s="25">
        <f t="shared" si="11"/>
        <v>0.49427083333333333</v>
      </c>
      <c r="V23" s="25">
        <f t="shared" si="6"/>
        <v>0.62395833333333339</v>
      </c>
      <c r="W23" s="25">
        <f t="shared" si="6"/>
        <v>0.62395833333333339</v>
      </c>
      <c r="X23" s="25">
        <f t="shared" si="6"/>
        <v>0.82197916666666671</v>
      </c>
      <c r="Y23" s="25">
        <f t="shared" si="11"/>
        <v>0.82197916666666671</v>
      </c>
      <c r="Z23" s="25">
        <f t="shared" ref="Z23:AD23" si="12">(Z11-$C11)/$C11+1</f>
        <v>0.4682291666666667</v>
      </c>
      <c r="AA23" s="25">
        <f t="shared" si="12"/>
        <v>0.46875</v>
      </c>
      <c r="AB23" s="25">
        <f t="shared" si="12"/>
        <v>0.46875</v>
      </c>
      <c r="AC23" s="25">
        <f t="shared" si="12"/>
        <v>0.3119791666666667</v>
      </c>
      <c r="AD23" s="25">
        <f t="shared" si="12"/>
        <v>0.3119791666666667</v>
      </c>
      <c r="AE23" s="104"/>
      <c r="AF23" s="104"/>
    </row>
    <row r="24" spans="2:55" s="1" customFormat="1" ht="12.75">
      <c r="B24" s="4" t="s">
        <v>99</v>
      </c>
      <c r="C24" s="25">
        <f t="shared" si="4"/>
        <v>1</v>
      </c>
      <c r="D24" s="25"/>
      <c r="E24" s="25"/>
      <c r="F24" s="25">
        <f t="shared" si="11"/>
        <v>0</v>
      </c>
      <c r="G24" s="25">
        <f t="shared" si="11"/>
        <v>0.9729411764705882</v>
      </c>
      <c r="H24" s="25">
        <f t="shared" si="11"/>
        <v>0</v>
      </c>
      <c r="I24" s="25">
        <f t="shared" si="11"/>
        <v>0</v>
      </c>
      <c r="J24" s="25">
        <f t="shared" si="11"/>
        <v>0</v>
      </c>
      <c r="K24" s="25">
        <f t="shared" si="11"/>
        <v>0</v>
      </c>
      <c r="L24" s="25">
        <f t="shared" si="11"/>
        <v>0</v>
      </c>
      <c r="M24" s="25">
        <f t="shared" si="11"/>
        <v>0</v>
      </c>
      <c r="N24" s="25">
        <f t="shared" si="11"/>
        <v>0</v>
      </c>
      <c r="O24" s="25">
        <f t="shared" si="11"/>
        <v>0</v>
      </c>
      <c r="P24" s="25">
        <f t="shared" si="11"/>
        <v>0</v>
      </c>
      <c r="Q24" s="25">
        <f t="shared" si="11"/>
        <v>0</v>
      </c>
      <c r="R24" s="25">
        <f t="shared" si="11"/>
        <v>0</v>
      </c>
      <c r="S24" s="25">
        <f t="shared" si="11"/>
        <v>0</v>
      </c>
      <c r="T24" s="25">
        <f t="shared" si="11"/>
        <v>0</v>
      </c>
      <c r="U24" s="25">
        <f t="shared" si="11"/>
        <v>0</v>
      </c>
      <c r="V24" s="25">
        <f t="shared" si="6"/>
        <v>0</v>
      </c>
      <c r="W24" s="25">
        <f t="shared" si="6"/>
        <v>0.34235294117647064</v>
      </c>
      <c r="X24" s="25">
        <f t="shared" si="6"/>
        <v>0</v>
      </c>
      <c r="Y24" s="25">
        <f t="shared" si="11"/>
        <v>0</v>
      </c>
      <c r="Z24" s="25">
        <f t="shared" ref="Z24:AD24" si="13">(Z12-$C12)/$C12+1</f>
        <v>0</v>
      </c>
      <c r="AA24" s="25">
        <f t="shared" si="13"/>
        <v>0</v>
      </c>
      <c r="AB24" s="25">
        <f t="shared" si="13"/>
        <v>0</v>
      </c>
      <c r="AC24" s="25">
        <f t="shared" si="13"/>
        <v>0</v>
      </c>
      <c r="AD24" s="25">
        <f t="shared" si="13"/>
        <v>0</v>
      </c>
      <c r="AE24" s="104"/>
      <c r="AF24" s="104"/>
    </row>
    <row r="25" spans="2:55" s="1" customFormat="1" ht="12.75">
      <c r="B25" s="23" t="s">
        <v>3</v>
      </c>
      <c r="C25" s="27">
        <f t="shared" si="4"/>
        <v>1</v>
      </c>
      <c r="D25" s="27"/>
      <c r="E25" s="27"/>
      <c r="F25" s="27">
        <f t="shared" si="11"/>
        <v>1.0499716392512761</v>
      </c>
      <c r="G25" s="27">
        <f t="shared" si="11"/>
        <v>1.1316505955757232</v>
      </c>
      <c r="H25" s="27">
        <f t="shared" si="11"/>
        <v>1.0187748156551333</v>
      </c>
      <c r="I25" s="27">
        <f t="shared" si="11"/>
        <v>1.8221213840045376</v>
      </c>
      <c r="J25" s="27">
        <f t="shared" si="11"/>
        <v>1.2541123085649462</v>
      </c>
      <c r="K25" s="27">
        <f t="shared" si="11"/>
        <v>0.99313669880884858</v>
      </c>
      <c r="L25" s="27">
        <f t="shared" si="11"/>
        <v>1.0636415201361316</v>
      </c>
      <c r="M25" s="27">
        <f t="shared" si="11"/>
        <v>0.71077708451503119</v>
      </c>
      <c r="N25" s="27">
        <f t="shared" si="11"/>
        <v>0.55728871242200795</v>
      </c>
      <c r="O25" s="27">
        <f t="shared" si="11"/>
        <v>0.61225184344866701</v>
      </c>
      <c r="P25" s="27">
        <f t="shared" si="11"/>
        <v>0.64537719795802606</v>
      </c>
      <c r="Q25" s="27">
        <f t="shared" si="11"/>
        <v>0.96642087351106065</v>
      </c>
      <c r="R25" s="27">
        <f t="shared" si="11"/>
        <v>0.87646057855927395</v>
      </c>
      <c r="S25" s="27">
        <f t="shared" si="11"/>
        <v>0.94696539988655704</v>
      </c>
      <c r="T25" s="27">
        <f t="shared" si="11"/>
        <v>0.75462280204197385</v>
      </c>
      <c r="U25" s="27">
        <f t="shared" si="11"/>
        <v>0.74429948950652292</v>
      </c>
      <c r="V25" s="27">
        <f t="shared" si="6"/>
        <v>0.57226318774815654</v>
      </c>
      <c r="W25" s="27">
        <f t="shared" si="6"/>
        <v>1.162507090187181</v>
      </c>
      <c r="X25" s="27">
        <f t="shared" si="6"/>
        <v>0.78633011911514461</v>
      </c>
      <c r="Y25" s="27">
        <f t="shared" si="11"/>
        <v>0.78633011911514461</v>
      </c>
      <c r="Z25" s="27">
        <f t="shared" ref="Z25:AD25" si="14">(Z13-$C13)/$C13+1</f>
        <v>1.1430516165626772</v>
      </c>
      <c r="AA25" s="27">
        <f t="shared" si="14"/>
        <v>0.80737379466817927</v>
      </c>
      <c r="AB25" s="27">
        <f t="shared" si="14"/>
        <v>0.80737379466817927</v>
      </c>
      <c r="AC25" s="27">
        <f t="shared" si="14"/>
        <v>0.94866704480998298</v>
      </c>
      <c r="AD25" s="27">
        <f t="shared" si="14"/>
        <v>1.1074305161656268</v>
      </c>
      <c r="AE25" s="104"/>
      <c r="AF25" s="104"/>
    </row>
    <row r="26" spans="2:55" s="1" customFormat="1" ht="12.75">
      <c r="B26" s="29" t="s">
        <v>27</v>
      </c>
      <c r="C26" s="25">
        <f t="shared" si="4"/>
        <v>1</v>
      </c>
      <c r="D26" s="25"/>
      <c r="E26" s="25"/>
      <c r="F26" s="25">
        <f>(F14-$C14)/$C14+1</f>
        <v>0.89581204038389628</v>
      </c>
      <c r="G26" s="25">
        <f t="shared" si="11"/>
        <v>0.69856662096472644</v>
      </c>
      <c r="H26" s="25">
        <f t="shared" si="11"/>
        <v>0.4657360089741992</v>
      </c>
      <c r="I26" s="25">
        <f t="shared" si="11"/>
        <v>0.92408076779259629</v>
      </c>
      <c r="J26" s="25">
        <f>(J14-$C14)/$C14+1</f>
        <v>0.9095724791225227</v>
      </c>
      <c r="K26" s="25">
        <f>(K14-$C14)/$C14+1</f>
        <v>0.43716814159292039</v>
      </c>
      <c r="L26" s="25">
        <f>(L14-$C14)/$C14+1</f>
        <v>0.72986414059578708</v>
      </c>
      <c r="M26" s="25">
        <f t="shared" si="11"/>
        <v>0.69339399227221743</v>
      </c>
      <c r="N26" s="25">
        <f t="shared" si="11"/>
        <v>0.56182226099962607</v>
      </c>
      <c r="O26" s="25">
        <f t="shared" si="11"/>
        <v>0.59041505671195316</v>
      </c>
      <c r="P26" s="25">
        <f t="shared" si="11"/>
        <v>0.72894179234700229</v>
      </c>
      <c r="Q26" s="25">
        <f t="shared" si="11"/>
        <v>0.54875981553035025</v>
      </c>
      <c r="R26" s="25">
        <f t="shared" si="11"/>
        <v>0.63401470771531843</v>
      </c>
      <c r="S26" s="25">
        <f>(S14-$C14)/$C14+1</f>
        <v>0.7194316340521002</v>
      </c>
      <c r="T26" s="25">
        <f>(T14-$C14)/$C14+1</f>
        <v>0.63410195687398729</v>
      </c>
      <c r="U26" s="25">
        <f>(U14-$C14)/$C14+1</f>
        <v>0.8698367194316341</v>
      </c>
      <c r="V26" s="25">
        <f t="shared" si="6"/>
        <v>0.58268727408699994</v>
      </c>
      <c r="W26" s="25">
        <f t="shared" si="6"/>
        <v>0.6802318334787486</v>
      </c>
      <c r="X26" s="25">
        <f t="shared" si="6"/>
        <v>0.49490215630063572</v>
      </c>
      <c r="Y26" s="25">
        <f t="shared" si="11"/>
        <v>0.49490215630063572</v>
      </c>
      <c r="Z26" s="25">
        <f t="shared" ref="Z26:AD26" si="15">(Z14-$C14)/$C14+1</f>
        <v>0.66000249283310475</v>
      </c>
      <c r="AA26" s="25">
        <f t="shared" si="15"/>
        <v>0.6429515143961112</v>
      </c>
      <c r="AB26" s="25">
        <f t="shared" si="15"/>
        <v>0.6429515143961112</v>
      </c>
      <c r="AC26" s="25">
        <f t="shared" si="15"/>
        <v>0.44609248410818891</v>
      </c>
      <c r="AD26" s="25">
        <f t="shared" si="15"/>
        <v>0.30928580331546807</v>
      </c>
      <c r="AE26" s="104"/>
      <c r="AF26" s="104"/>
    </row>
    <row r="27" spans="2:5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03"/>
      <c r="AF27" s="103"/>
      <c r="BC27"/>
    </row>
    <row r="28" spans="2:55">
      <c r="B28" s="9" t="s">
        <v>33</v>
      </c>
      <c r="C28" s="4"/>
      <c r="D28" s="4"/>
      <c r="E28" s="4"/>
      <c r="F28" s="49">
        <f>+F2/$Y$2</f>
        <v>0.05</v>
      </c>
      <c r="G28" s="49">
        <f t="shared" ref="G28:AD28" si="16">+G2/$Y$2</f>
        <v>0.1</v>
      </c>
      <c r="H28" s="49">
        <f t="shared" si="16"/>
        <v>0.15</v>
      </c>
      <c r="I28" s="49">
        <f t="shared" si="16"/>
        <v>0.2</v>
      </c>
      <c r="J28" s="49">
        <f t="shared" si="16"/>
        <v>0.25</v>
      </c>
      <c r="K28" s="49">
        <f t="shared" si="16"/>
        <v>0.3</v>
      </c>
      <c r="L28" s="49">
        <f t="shared" si="16"/>
        <v>0.35</v>
      </c>
      <c r="M28" s="49">
        <f t="shared" si="16"/>
        <v>0.4</v>
      </c>
      <c r="N28" s="49">
        <f t="shared" si="16"/>
        <v>0.45</v>
      </c>
      <c r="O28" s="49">
        <f t="shared" si="16"/>
        <v>0.5</v>
      </c>
      <c r="P28" s="49">
        <f t="shared" si="16"/>
        <v>0.55000000000000004</v>
      </c>
      <c r="Q28" s="49">
        <f t="shared" si="16"/>
        <v>0.6</v>
      </c>
      <c r="R28" s="49">
        <f t="shared" si="16"/>
        <v>0.65</v>
      </c>
      <c r="S28" s="49">
        <f t="shared" si="16"/>
        <v>0.7</v>
      </c>
      <c r="T28" s="49">
        <f t="shared" si="16"/>
        <v>0.75</v>
      </c>
      <c r="U28" s="49">
        <f t="shared" si="16"/>
        <v>0.8</v>
      </c>
      <c r="V28" s="49">
        <f t="shared" si="16"/>
        <v>0.85</v>
      </c>
      <c r="W28" s="49">
        <f t="shared" si="16"/>
        <v>0.9</v>
      </c>
      <c r="X28" s="49">
        <f t="shared" si="16"/>
        <v>0.95</v>
      </c>
      <c r="Y28" s="49">
        <f t="shared" si="16"/>
        <v>1</v>
      </c>
      <c r="Z28" s="49">
        <f t="shared" si="16"/>
        <v>1.05</v>
      </c>
      <c r="AA28" s="49">
        <f t="shared" si="16"/>
        <v>1.1000000000000001</v>
      </c>
      <c r="AB28" s="49">
        <f t="shared" si="16"/>
        <v>1.1499999999999999</v>
      </c>
      <c r="AC28" s="49">
        <f t="shared" si="16"/>
        <v>1.2</v>
      </c>
      <c r="AD28" s="49">
        <f t="shared" si="16"/>
        <v>1.25</v>
      </c>
      <c r="AE28" s="105" t="s">
        <v>39</v>
      </c>
      <c r="AF28" s="106" t="s">
        <v>37</v>
      </c>
      <c r="BC28"/>
    </row>
    <row r="29" spans="2:55">
      <c r="B29" s="4"/>
      <c r="C29" s="4"/>
      <c r="D29" s="4"/>
      <c r="E29" s="4"/>
      <c r="F29" s="4" t="str">
        <f t="shared" ref="F29:AD29" si="17">+F18</f>
        <v>Day 1</v>
      </c>
      <c r="G29" s="4" t="str">
        <f t="shared" si="17"/>
        <v>Day 2</v>
      </c>
      <c r="H29" s="4" t="str">
        <f t="shared" si="17"/>
        <v>Day 3</v>
      </c>
      <c r="I29" s="4" t="str">
        <f t="shared" si="17"/>
        <v>Day 4</v>
      </c>
      <c r="J29" s="4" t="str">
        <f t="shared" si="17"/>
        <v>Day 5</v>
      </c>
      <c r="K29" s="4" t="str">
        <f t="shared" si="17"/>
        <v>Day 6</v>
      </c>
      <c r="L29" s="4" t="str">
        <f t="shared" si="17"/>
        <v>Day 7</v>
      </c>
      <c r="M29" s="4" t="str">
        <f t="shared" si="17"/>
        <v>Day 8</v>
      </c>
      <c r="N29" s="4" t="str">
        <f t="shared" si="17"/>
        <v>Day 9</v>
      </c>
      <c r="O29" s="4" t="str">
        <f t="shared" si="17"/>
        <v>Day 10</v>
      </c>
      <c r="P29" s="4" t="str">
        <f t="shared" si="17"/>
        <v>Day 11</v>
      </c>
      <c r="Q29" s="4" t="str">
        <f t="shared" si="17"/>
        <v>Day 12</v>
      </c>
      <c r="R29" s="4" t="str">
        <f t="shared" si="17"/>
        <v>Day 13</v>
      </c>
      <c r="S29" s="4" t="str">
        <f t="shared" si="17"/>
        <v>Day 14</v>
      </c>
      <c r="T29" s="4" t="str">
        <f t="shared" si="17"/>
        <v>Day 15</v>
      </c>
      <c r="U29" s="4" t="str">
        <f t="shared" si="17"/>
        <v>Day 16</v>
      </c>
      <c r="V29" s="4" t="str">
        <f t="shared" si="17"/>
        <v>Day 17</v>
      </c>
      <c r="W29" s="4" t="str">
        <f t="shared" si="17"/>
        <v>Day 18</v>
      </c>
      <c r="X29" s="4" t="str">
        <f t="shared" si="17"/>
        <v>Day 19</v>
      </c>
      <c r="Y29" s="4" t="str">
        <f t="shared" si="17"/>
        <v>Day 20</v>
      </c>
      <c r="Z29" s="4" t="str">
        <f t="shared" si="17"/>
        <v>Day 21</v>
      </c>
      <c r="AA29" s="4" t="str">
        <f t="shared" si="17"/>
        <v>Day 22</v>
      </c>
      <c r="AB29" s="4" t="str">
        <f t="shared" si="17"/>
        <v>Day 23</v>
      </c>
      <c r="AC29" s="4" t="str">
        <f t="shared" si="17"/>
        <v>Day 24</v>
      </c>
      <c r="AD29" s="4" t="str">
        <f t="shared" si="17"/>
        <v>Day 25</v>
      </c>
      <c r="AE29" s="107" t="s">
        <v>40</v>
      </c>
      <c r="AF29" s="108" t="s">
        <v>38</v>
      </c>
      <c r="BC29"/>
    </row>
    <row r="30" spans="2:55">
      <c r="B30" s="4" t="str">
        <f>+B19</f>
        <v>San Diego</v>
      </c>
      <c r="C30" s="4"/>
      <c r="D30" s="4"/>
      <c r="E30" s="23"/>
      <c r="F30" s="34">
        <v>7335</v>
      </c>
      <c r="G30" s="34">
        <v>21365</v>
      </c>
      <c r="H30" s="34">
        <v>30530</v>
      </c>
      <c r="I30" s="34">
        <v>46765</v>
      </c>
      <c r="J30" s="34">
        <v>69745</v>
      </c>
      <c r="K30" s="34">
        <v>76030</v>
      </c>
      <c r="L30" s="34">
        <v>85940</v>
      </c>
      <c r="M30" s="34">
        <v>103045</v>
      </c>
      <c r="N30" s="34">
        <v>139145</v>
      </c>
      <c r="O30" s="34">
        <v>139145</v>
      </c>
      <c r="P30" s="34">
        <v>163425</v>
      </c>
      <c r="Q30" s="34">
        <v>171674</v>
      </c>
      <c r="R30" s="34">
        <v>184614</v>
      </c>
      <c r="S30" s="34">
        <v>203874</v>
      </c>
      <c r="T30" s="34">
        <v>241954</v>
      </c>
      <c r="U30" s="34">
        <v>272264</v>
      </c>
      <c r="V30" s="34">
        <v>285204</v>
      </c>
      <c r="W30" s="34">
        <v>300844</v>
      </c>
      <c r="X30" s="34">
        <v>334241</v>
      </c>
      <c r="Y30" s="34">
        <v>334241</v>
      </c>
      <c r="Z30" s="34">
        <v>334241</v>
      </c>
      <c r="AA30" s="34">
        <v>334241</v>
      </c>
      <c r="AB30" s="34">
        <v>357171</v>
      </c>
      <c r="AC30" s="34">
        <v>368446</v>
      </c>
      <c r="AD30" s="34">
        <v>368446</v>
      </c>
      <c r="AE30" s="109">
        <f>INDEX(F30:Y30,0,COUNT(F30:Y30))/C53</f>
        <v>0.98306176470588236</v>
      </c>
      <c r="AF30" s="145">
        <f>AE30-((COUNT(F30:Y30)*5)/100)</f>
        <v>-1.6938235294117643E-2</v>
      </c>
      <c r="BC30"/>
    </row>
    <row r="31" spans="2:55">
      <c r="B31" s="4" t="str">
        <f>+B20</f>
        <v>Latin America</v>
      </c>
      <c r="C31" s="4"/>
      <c r="D31" s="4"/>
      <c r="E31" s="23"/>
      <c r="F31" s="34">
        <v>0</v>
      </c>
      <c r="G31" s="34">
        <v>2290</v>
      </c>
      <c r="H31" s="34">
        <v>2290</v>
      </c>
      <c r="I31" s="34">
        <v>2290</v>
      </c>
      <c r="J31" s="34">
        <v>2290</v>
      </c>
      <c r="K31" s="34">
        <v>2290</v>
      </c>
      <c r="L31" s="34">
        <v>2290</v>
      </c>
      <c r="M31" s="34">
        <v>2290</v>
      </c>
      <c r="N31" s="34">
        <v>2290</v>
      </c>
      <c r="O31" s="34">
        <v>2290</v>
      </c>
      <c r="P31" s="34">
        <v>4985</v>
      </c>
      <c r="Q31" s="34">
        <v>7680</v>
      </c>
      <c r="R31" s="34">
        <v>7680</v>
      </c>
      <c r="S31" s="34">
        <v>7680</v>
      </c>
      <c r="T31" s="34">
        <v>7680</v>
      </c>
      <c r="U31" s="34">
        <v>9970</v>
      </c>
      <c r="V31" s="34">
        <v>9970</v>
      </c>
      <c r="W31" s="34">
        <v>9970</v>
      </c>
      <c r="X31" s="34">
        <v>9970</v>
      </c>
      <c r="Y31" s="34">
        <v>9970</v>
      </c>
      <c r="Z31" s="34">
        <v>9970</v>
      </c>
      <c r="AA31" s="34">
        <v>9970</v>
      </c>
      <c r="AB31" s="34">
        <v>9970</v>
      </c>
      <c r="AC31" s="34">
        <v>9970</v>
      </c>
      <c r="AD31" s="34">
        <v>9970</v>
      </c>
      <c r="AE31" s="109">
        <f t="shared" ref="AE31:AE37" si="18">INDEX(F31:Y31,0,COUNT(F31:Y31))/C54</f>
        <v>5.538888888888889E-2</v>
      </c>
      <c r="AF31" s="145">
        <f t="shared" ref="AF31:AF37" si="19">AE31-((COUNT(F31:Y31)*5)/100)</f>
        <v>-0.94461111111111107</v>
      </c>
      <c r="BC31"/>
    </row>
    <row r="32" spans="2:55">
      <c r="B32" s="4" t="str">
        <f>+B21</f>
        <v>Brazil</v>
      </c>
      <c r="C32" s="4"/>
      <c r="D32" s="4"/>
      <c r="E32" s="23"/>
      <c r="F32" s="34">
        <v>0</v>
      </c>
      <c r="G32" s="34">
        <v>2400</v>
      </c>
      <c r="H32" s="34">
        <v>2400</v>
      </c>
      <c r="I32" s="34">
        <v>2400</v>
      </c>
      <c r="J32" s="34">
        <v>9595</v>
      </c>
      <c r="K32" s="34">
        <v>11095</v>
      </c>
      <c r="L32" s="34">
        <v>11095</v>
      </c>
      <c r="M32" s="34">
        <v>15405</v>
      </c>
      <c r="N32" s="34">
        <v>19405</v>
      </c>
      <c r="O32" s="34">
        <v>24900</v>
      </c>
      <c r="P32" s="34">
        <v>27595</v>
      </c>
      <c r="Q32" s="34">
        <v>27595</v>
      </c>
      <c r="R32" s="34">
        <v>28050</v>
      </c>
      <c r="S32" s="34">
        <v>27990</v>
      </c>
      <c r="T32" s="34">
        <v>33085</v>
      </c>
      <c r="U32" s="34">
        <v>33085</v>
      </c>
      <c r="V32" s="34">
        <v>33085</v>
      </c>
      <c r="W32" s="34">
        <v>34585</v>
      </c>
      <c r="X32" s="34">
        <v>34585</v>
      </c>
      <c r="Y32" s="34">
        <v>34585</v>
      </c>
      <c r="Z32" s="34">
        <v>34585</v>
      </c>
      <c r="AA32" s="34">
        <v>34585</v>
      </c>
      <c r="AB32" s="34">
        <v>34585</v>
      </c>
      <c r="AC32" s="34">
        <v>39380</v>
      </c>
      <c r="AD32" s="34">
        <v>41675</v>
      </c>
      <c r="AE32" s="109">
        <f t="shared" si="18"/>
        <v>0.19213888888888889</v>
      </c>
      <c r="AF32" s="145">
        <f t="shared" si="19"/>
        <v>-0.80786111111111114</v>
      </c>
      <c r="BC32"/>
    </row>
    <row r="33" spans="2:55">
      <c r="B33" s="4" t="str">
        <f>+B22</f>
        <v>Boston</v>
      </c>
      <c r="C33" s="4"/>
      <c r="D33" s="4"/>
      <c r="E33" s="23"/>
      <c r="F33" s="34">
        <v>0</v>
      </c>
      <c r="G33" s="34">
        <v>2000</v>
      </c>
      <c r="H33" s="34">
        <v>12995</v>
      </c>
      <c r="I33" s="34">
        <v>19995</v>
      </c>
      <c r="J33" s="34">
        <v>36990</v>
      </c>
      <c r="K33" s="34">
        <v>48980</v>
      </c>
      <c r="L33" s="34">
        <v>57975</v>
      </c>
      <c r="M33" s="34">
        <v>55975</v>
      </c>
      <c r="N33" s="34">
        <v>67975</v>
      </c>
      <c r="O33" s="34">
        <v>72970</v>
      </c>
      <c r="P33" s="34">
        <v>82455</v>
      </c>
      <c r="Q33" s="34">
        <v>85455</v>
      </c>
      <c r="R33" s="34">
        <v>104935</v>
      </c>
      <c r="S33" s="34">
        <v>114925</v>
      </c>
      <c r="T33" s="34">
        <v>131420</v>
      </c>
      <c r="U33" s="34">
        <v>147400</v>
      </c>
      <c r="V33" s="34">
        <v>153150</v>
      </c>
      <c r="W33" s="34">
        <v>159400</v>
      </c>
      <c r="X33" s="34">
        <v>175390</v>
      </c>
      <c r="Y33" s="34">
        <v>175390</v>
      </c>
      <c r="Z33" s="34">
        <v>175390</v>
      </c>
      <c r="AA33" s="34">
        <v>175390</v>
      </c>
      <c r="AB33" s="34">
        <v>196130</v>
      </c>
      <c r="AC33" s="34">
        <v>196130</v>
      </c>
      <c r="AD33" s="34">
        <v>196130</v>
      </c>
      <c r="AE33" s="109">
        <f t="shared" si="18"/>
        <v>0.63778181818181823</v>
      </c>
      <c r="AF33" s="145">
        <f t="shared" si="19"/>
        <v>-0.36221818181818177</v>
      </c>
      <c r="BC33"/>
    </row>
    <row r="34" spans="2:55" s="4" customFormat="1" ht="12.75">
      <c r="B34" s="4" t="str">
        <f>+B23</f>
        <v>Canada</v>
      </c>
      <c r="E34" s="23"/>
      <c r="F34" s="34">
        <v>20485</v>
      </c>
      <c r="G34" s="34">
        <v>23480</v>
      </c>
      <c r="H34" s="34">
        <v>26475</v>
      </c>
      <c r="I34" s="34">
        <v>32465</v>
      </c>
      <c r="J34" s="34">
        <v>45450</v>
      </c>
      <c r="K34" s="34">
        <v>48445</v>
      </c>
      <c r="L34" s="34">
        <v>53940</v>
      </c>
      <c r="M34" s="34">
        <v>61680</v>
      </c>
      <c r="N34" s="34">
        <v>68225</v>
      </c>
      <c r="O34" s="34">
        <v>68225</v>
      </c>
      <c r="P34" s="34">
        <v>68925</v>
      </c>
      <c r="Q34" s="34">
        <v>80470</v>
      </c>
      <c r="R34" s="34">
        <v>86460</v>
      </c>
      <c r="S34" s="34">
        <v>92460</v>
      </c>
      <c r="T34" s="34">
        <v>95455</v>
      </c>
      <c r="U34" s="34">
        <v>105200</v>
      </c>
      <c r="V34" s="34">
        <v>114185</v>
      </c>
      <c r="W34" s="34">
        <v>117180</v>
      </c>
      <c r="X34" s="34">
        <v>132606</v>
      </c>
      <c r="Y34" s="34">
        <v>132606</v>
      </c>
      <c r="Z34" s="34">
        <v>132606</v>
      </c>
      <c r="AA34" s="34">
        <v>132606</v>
      </c>
      <c r="AB34" s="34">
        <v>141601</v>
      </c>
      <c r="AC34" s="34">
        <v>141601</v>
      </c>
      <c r="AD34" s="34">
        <v>144596</v>
      </c>
      <c r="AE34" s="109">
        <f t="shared" si="18"/>
        <v>0.69065624999999997</v>
      </c>
      <c r="AF34" s="145">
        <f t="shared" si="19"/>
        <v>-0.30934375000000003</v>
      </c>
    </row>
    <row r="35" spans="2:55" s="4" customFormat="1" ht="12.75">
      <c r="B35" s="4" t="s">
        <v>99</v>
      </c>
      <c r="E35" s="23"/>
      <c r="F35" s="34">
        <v>0</v>
      </c>
      <c r="G35" s="34">
        <v>4135</v>
      </c>
      <c r="H35" s="34">
        <v>4135</v>
      </c>
      <c r="I35" s="34">
        <v>4135</v>
      </c>
      <c r="J35" s="34">
        <v>4135</v>
      </c>
      <c r="K35" s="34">
        <v>4135</v>
      </c>
      <c r="L35" s="34">
        <v>4135</v>
      </c>
      <c r="M35" s="34">
        <v>4135</v>
      </c>
      <c r="N35" s="34">
        <v>4135</v>
      </c>
      <c r="O35" s="34">
        <v>4135</v>
      </c>
      <c r="P35" s="34">
        <v>4135</v>
      </c>
      <c r="Q35" s="34">
        <v>4135</v>
      </c>
      <c r="R35" s="34">
        <v>4135</v>
      </c>
      <c r="S35" s="34">
        <v>4135</v>
      </c>
      <c r="T35" s="34">
        <v>4135</v>
      </c>
      <c r="U35" s="34">
        <v>4135</v>
      </c>
      <c r="V35" s="34">
        <v>5590</v>
      </c>
      <c r="W35" s="34">
        <v>5590</v>
      </c>
      <c r="X35" s="34">
        <v>5590</v>
      </c>
      <c r="Y35" s="34">
        <v>5590</v>
      </c>
      <c r="Z35" s="34">
        <v>5590</v>
      </c>
      <c r="AA35" s="34">
        <v>5590</v>
      </c>
      <c r="AB35" s="34">
        <v>5590</v>
      </c>
      <c r="AC35" s="34">
        <v>5590</v>
      </c>
      <c r="AD35" s="34">
        <v>5590</v>
      </c>
      <c r="AE35" s="109">
        <f t="shared" si="18"/>
        <v>6.5764705882352947E-2</v>
      </c>
      <c r="AF35" s="145">
        <f t="shared" si="19"/>
        <v>-0.93423529411764705</v>
      </c>
    </row>
    <row r="36" spans="2:55">
      <c r="B36" s="5" t="str">
        <f>+B25</f>
        <v>Norwich</v>
      </c>
      <c r="C36" s="19"/>
      <c r="D36" s="19"/>
      <c r="E36" s="35"/>
      <c r="F36" s="35">
        <v>12623</v>
      </c>
      <c r="G36" s="35">
        <v>35839</v>
      </c>
      <c r="H36" s="35">
        <v>52173</v>
      </c>
      <c r="I36" s="35">
        <v>84285</v>
      </c>
      <c r="J36" s="35">
        <v>106395</v>
      </c>
      <c r="K36" s="35">
        <v>123904</v>
      </c>
      <c r="L36" s="35">
        <v>135077</v>
      </c>
      <c r="M36" s="35">
        <v>153821</v>
      </c>
      <c r="N36" s="35">
        <v>162511</v>
      </c>
      <c r="O36" s="35">
        <v>169143</v>
      </c>
      <c r="P36" s="35">
        <v>173976</v>
      </c>
      <c r="Q36" s="35">
        <v>191014</v>
      </c>
      <c r="R36" s="35">
        <v>206466</v>
      </c>
      <c r="S36" s="35">
        <v>220008</v>
      </c>
      <c r="T36" s="35">
        <v>250425</v>
      </c>
      <c r="U36" s="35">
        <v>263546</v>
      </c>
      <c r="V36" s="35">
        <v>267330</v>
      </c>
      <c r="W36" s="35">
        <v>284041</v>
      </c>
      <c r="X36" s="35">
        <v>191230</v>
      </c>
      <c r="Y36" s="35">
        <v>191230</v>
      </c>
      <c r="Z36" s="35">
        <v>191230</v>
      </c>
      <c r="AA36" s="35">
        <v>191230</v>
      </c>
      <c r="AB36" s="35">
        <v>326296</v>
      </c>
      <c r="AC36" s="35">
        <v>341507</v>
      </c>
      <c r="AD36" s="35">
        <v>343703</v>
      </c>
      <c r="AE36" s="109">
        <f t="shared" si="18"/>
        <v>0.54234259784458305</v>
      </c>
      <c r="AF36" s="145">
        <f t="shared" si="19"/>
        <v>-0.45765740215541695</v>
      </c>
      <c r="BC36"/>
    </row>
    <row r="37" spans="2:55">
      <c r="B37" s="4" t="str">
        <f>+B26</f>
        <v>Group</v>
      </c>
      <c r="C37" s="4"/>
      <c r="D37" s="4"/>
      <c r="E37" s="4"/>
      <c r="F37" s="4">
        <v>40443</v>
      </c>
      <c r="G37" s="4">
        <v>91509</v>
      </c>
      <c r="H37" s="4">
        <v>130998</v>
      </c>
      <c r="I37" s="4">
        <v>192335</v>
      </c>
      <c r="J37" s="4">
        <v>274600</v>
      </c>
      <c r="K37" s="4">
        <v>314879</v>
      </c>
      <c r="L37" s="4">
        <v>350452</v>
      </c>
      <c r="M37" s="4">
        <v>396351</v>
      </c>
      <c r="N37" s="4">
        <v>463686</v>
      </c>
      <c r="O37" s="4">
        <v>480808</v>
      </c>
      <c r="P37" s="4">
        <v>525496</v>
      </c>
      <c r="Q37" s="4">
        <v>568023</v>
      </c>
      <c r="R37" s="4">
        <v>622340</v>
      </c>
      <c r="S37" s="4">
        <v>671072</v>
      </c>
      <c r="T37" s="4">
        <v>764154</v>
      </c>
      <c r="U37" s="4">
        <v>835600</v>
      </c>
      <c r="V37" s="4">
        <v>868514</v>
      </c>
      <c r="W37" s="4">
        <v>911610</v>
      </c>
      <c r="X37" s="4">
        <v>883612</v>
      </c>
      <c r="Y37" s="4">
        <v>883612</v>
      </c>
      <c r="Z37" s="4">
        <v>883612</v>
      </c>
      <c r="AA37" s="4">
        <v>883612</v>
      </c>
      <c r="AB37" s="4">
        <v>1071343</v>
      </c>
      <c r="AC37" s="4">
        <v>1102624</v>
      </c>
      <c r="AD37" s="4">
        <v>1110110</v>
      </c>
      <c r="AE37" s="109">
        <f t="shared" si="18"/>
        <v>0.55067431135485478</v>
      </c>
      <c r="AF37" s="145">
        <f t="shared" si="19"/>
        <v>-0.44932568864514522</v>
      </c>
      <c r="BC37"/>
    </row>
    <row r="38" spans="2:55" s="1" customFormat="1" ht="11.25">
      <c r="B38" s="1" t="s">
        <v>34</v>
      </c>
      <c r="E38" s="30"/>
      <c r="F38" s="30">
        <f t="shared" ref="F38:N38" si="20">+F37/$C$60</f>
        <v>2.520441231459554E-2</v>
      </c>
      <c r="G38" s="30">
        <f t="shared" si="20"/>
        <v>5.7029166147326435E-2</v>
      </c>
      <c r="H38" s="30">
        <f t="shared" si="20"/>
        <v>8.1639037766421535E-2</v>
      </c>
      <c r="I38" s="30">
        <f t="shared" si="20"/>
        <v>0.11986476380406332</v>
      </c>
      <c r="J38" s="30">
        <f t="shared" si="20"/>
        <v>0.17113299264614235</v>
      </c>
      <c r="K38" s="30">
        <f t="shared" si="20"/>
        <v>0.19623519880344012</v>
      </c>
      <c r="L38" s="30">
        <f t="shared" si="20"/>
        <v>0.21840458681291289</v>
      </c>
      <c r="M38" s="30">
        <f t="shared" si="20"/>
        <v>0.24700922348248786</v>
      </c>
      <c r="N38" s="30">
        <f t="shared" si="20"/>
        <v>0.28897295276081264</v>
      </c>
      <c r="O38" s="30">
        <f>+O37/$C$60</f>
        <v>0.2996435248660102</v>
      </c>
      <c r="P38" s="30">
        <f t="shared" ref="P38:Y38" si="21">+P37/$C$60</f>
        <v>0.32749345631309984</v>
      </c>
      <c r="Q38" s="30">
        <f t="shared" si="21"/>
        <v>0.35399663467530851</v>
      </c>
      <c r="R38" s="30">
        <f t="shared" si="21"/>
        <v>0.3878474386139848</v>
      </c>
      <c r="S38" s="30">
        <f t="shared" si="21"/>
        <v>0.41821762433005111</v>
      </c>
      <c r="T38" s="30">
        <f t="shared" si="21"/>
        <v>0.47622709709584943</v>
      </c>
      <c r="U38" s="30">
        <f t="shared" si="21"/>
        <v>0.52075283559765673</v>
      </c>
      <c r="V38" s="30">
        <f t="shared" si="21"/>
        <v>0.541265112800698</v>
      </c>
      <c r="W38" s="30">
        <f t="shared" si="21"/>
        <v>0.56812289667206783</v>
      </c>
      <c r="X38" s="30">
        <f t="shared" si="21"/>
        <v>0.55067431135485478</v>
      </c>
      <c r="Y38" s="30">
        <f t="shared" si="21"/>
        <v>0.55067431135485478</v>
      </c>
      <c r="Z38" s="30">
        <f t="shared" ref="Z38:AD38" si="22">+Z37/$C$60</f>
        <v>0.55067431135485478</v>
      </c>
      <c r="AA38" s="30">
        <f t="shared" si="22"/>
        <v>0.55067431135485478</v>
      </c>
      <c r="AB38" s="30">
        <f t="shared" si="22"/>
        <v>0.66766982425526611</v>
      </c>
      <c r="AC38" s="30">
        <f t="shared" si="22"/>
        <v>0.68716440234326315</v>
      </c>
      <c r="AD38" s="30">
        <f t="shared" si="22"/>
        <v>0.69182973949894055</v>
      </c>
    </row>
    <row r="39" spans="2:55" s="1" customFormat="1" ht="11.25"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55">
      <c r="B40" s="9" t="s">
        <v>25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BC40"/>
    </row>
    <row r="41" spans="2:55">
      <c r="B41" s="4"/>
      <c r="C41" s="4"/>
      <c r="D41" s="4"/>
      <c r="E41" s="4"/>
      <c r="F41" s="4" t="str">
        <f>+F18</f>
        <v>Day 1</v>
      </c>
      <c r="G41" s="4" t="str">
        <f t="shared" ref="G41:AD41" si="23">+G18</f>
        <v>Day 2</v>
      </c>
      <c r="H41" s="4" t="str">
        <f t="shared" si="23"/>
        <v>Day 3</v>
      </c>
      <c r="I41" s="4" t="str">
        <f t="shared" si="23"/>
        <v>Day 4</v>
      </c>
      <c r="J41" s="4" t="str">
        <f t="shared" si="23"/>
        <v>Day 5</v>
      </c>
      <c r="K41" s="4" t="str">
        <f t="shared" si="23"/>
        <v>Day 6</v>
      </c>
      <c r="L41" s="4" t="str">
        <f t="shared" si="23"/>
        <v>Day 7</v>
      </c>
      <c r="M41" s="4" t="str">
        <f t="shared" si="23"/>
        <v>Day 8</v>
      </c>
      <c r="N41" s="4" t="str">
        <f t="shared" si="23"/>
        <v>Day 9</v>
      </c>
      <c r="O41" s="4" t="str">
        <f t="shared" si="23"/>
        <v>Day 10</v>
      </c>
      <c r="P41" s="4" t="str">
        <f t="shared" si="23"/>
        <v>Day 11</v>
      </c>
      <c r="Q41" s="4" t="str">
        <f t="shared" si="23"/>
        <v>Day 12</v>
      </c>
      <c r="R41" s="4" t="str">
        <f t="shared" si="23"/>
        <v>Day 13</v>
      </c>
      <c r="S41" s="4" t="str">
        <f t="shared" si="23"/>
        <v>Day 14</v>
      </c>
      <c r="T41" s="4" t="str">
        <f t="shared" si="23"/>
        <v>Day 15</v>
      </c>
      <c r="U41" s="4" t="str">
        <f t="shared" si="23"/>
        <v>Day 16</v>
      </c>
      <c r="V41" s="4" t="str">
        <f t="shared" si="23"/>
        <v>Day 17</v>
      </c>
      <c r="W41" s="4" t="str">
        <f t="shared" si="23"/>
        <v>Day 18</v>
      </c>
      <c r="X41" s="4" t="str">
        <f t="shared" si="23"/>
        <v>Day 19</v>
      </c>
      <c r="Y41" s="4" t="str">
        <f t="shared" si="23"/>
        <v>Day 20</v>
      </c>
      <c r="Z41" s="4" t="str">
        <f t="shared" si="23"/>
        <v>Day 21</v>
      </c>
      <c r="AA41" s="4" t="str">
        <f t="shared" si="23"/>
        <v>Day 22</v>
      </c>
      <c r="AB41" s="4" t="str">
        <f t="shared" si="23"/>
        <v>Day 23</v>
      </c>
      <c r="AC41" s="4" t="str">
        <f t="shared" si="23"/>
        <v>Day 24</v>
      </c>
      <c r="AD41" s="4" t="str">
        <f t="shared" si="23"/>
        <v>Day 25</v>
      </c>
      <c r="AE41" s="181" t="s">
        <v>68</v>
      </c>
      <c r="AF41" s="182"/>
      <c r="BC41"/>
    </row>
    <row r="42" spans="2:55">
      <c r="B42" s="4" t="s">
        <v>0</v>
      </c>
      <c r="C42" s="17"/>
      <c r="D42" s="17"/>
      <c r="E42" s="17"/>
      <c r="F42" s="17">
        <f>(F53/$C$53)</f>
        <v>0.43147058823529411</v>
      </c>
      <c r="G42" s="17">
        <f t="shared" ref="G42:Y42" si="24">(G53/$C$53)</f>
        <v>0.6283823529411765</v>
      </c>
      <c r="H42" s="17">
        <f t="shared" si="24"/>
        <v>0.59862745098039205</v>
      </c>
      <c r="I42" s="17">
        <f t="shared" si="24"/>
        <v>0.68772058823529414</v>
      </c>
      <c r="J42" s="17">
        <f t="shared" si="24"/>
        <v>0.82052941176470584</v>
      </c>
      <c r="K42" s="17">
        <f t="shared" si="24"/>
        <v>0.74539215686274507</v>
      </c>
      <c r="L42" s="17">
        <f t="shared" si="24"/>
        <v>0.72218487394957975</v>
      </c>
      <c r="M42" s="17">
        <f t="shared" si="24"/>
        <v>0.75768382352941177</v>
      </c>
      <c r="N42" s="17">
        <f t="shared" si="24"/>
        <v>0.9094444444444445</v>
      </c>
      <c r="O42" s="17">
        <f t="shared" si="24"/>
        <v>0.81850000000000001</v>
      </c>
      <c r="P42" s="17">
        <f t="shared" si="24"/>
        <v>0.87393048128342254</v>
      </c>
      <c r="Q42" s="17">
        <f t="shared" si="24"/>
        <v>0.84153921568627443</v>
      </c>
      <c r="R42" s="17">
        <f t="shared" si="24"/>
        <v>0.83535746606334849</v>
      </c>
      <c r="S42" s="17">
        <f t="shared" si="24"/>
        <v>0.85661344537815121</v>
      </c>
      <c r="T42" s="17">
        <f t="shared" si="24"/>
        <v>0.9488392156862745</v>
      </c>
      <c r="U42" s="17">
        <f t="shared" si="24"/>
        <v>1.0009705882352942</v>
      </c>
      <c r="V42" s="17">
        <f t="shared" si="24"/>
        <v>0.98686505190311413</v>
      </c>
      <c r="W42" s="17">
        <f t="shared" si="24"/>
        <v>0.98315032679738568</v>
      </c>
      <c r="X42" s="17">
        <f t="shared" si="24"/>
        <v>1.0348018575851394</v>
      </c>
      <c r="Y42" s="17">
        <f t="shared" si="24"/>
        <v>0.98306176470588236</v>
      </c>
      <c r="Z42" s="17">
        <f t="shared" ref="Z42:AD42" si="25">(Z53/$C$53)</f>
        <v>0.93624929971988791</v>
      </c>
      <c r="AA42" s="17">
        <f t="shared" si="25"/>
        <v>0.89369251336898403</v>
      </c>
      <c r="AB42" s="17">
        <f t="shared" si="25"/>
        <v>0.91348081841432227</v>
      </c>
      <c r="AC42" s="17">
        <f t="shared" si="25"/>
        <v>0.9030539215686274</v>
      </c>
      <c r="AD42" s="17">
        <f t="shared" si="25"/>
        <v>0.86693176470588229</v>
      </c>
      <c r="AE42" s="158" t="s">
        <v>71</v>
      </c>
      <c r="AF42" s="138">
        <v>335000</v>
      </c>
      <c r="BC42"/>
    </row>
    <row r="43" spans="2:55">
      <c r="B43" s="4" t="s">
        <v>64</v>
      </c>
      <c r="C43" s="17"/>
      <c r="D43" s="17"/>
      <c r="E43" s="17"/>
      <c r="F43" s="17">
        <f>(F54/$C$54)</f>
        <v>0</v>
      </c>
      <c r="G43" s="17">
        <f t="shared" ref="G43:Y43" si="26">(G54/$C$54)</f>
        <v>0.12722222222222221</v>
      </c>
      <c r="H43" s="17">
        <f t="shared" si="26"/>
        <v>8.4814814814814815E-2</v>
      </c>
      <c r="I43" s="17">
        <f t="shared" si="26"/>
        <v>6.3611111111111104E-2</v>
      </c>
      <c r="J43" s="17">
        <f t="shared" si="26"/>
        <v>5.0888888888888886E-2</v>
      </c>
      <c r="K43" s="17">
        <f t="shared" si="26"/>
        <v>4.2407407407407408E-2</v>
      </c>
      <c r="L43" s="17">
        <f t="shared" si="26"/>
        <v>3.6349206349206353E-2</v>
      </c>
      <c r="M43" s="17">
        <f t="shared" si="26"/>
        <v>3.1805555555555552E-2</v>
      </c>
      <c r="N43" s="17">
        <f t="shared" si="26"/>
        <v>2.8271604938271605E-2</v>
      </c>
      <c r="O43" s="17">
        <f t="shared" si="26"/>
        <v>2.5444444444444443E-2</v>
      </c>
      <c r="P43" s="17">
        <f t="shared" si="26"/>
        <v>5.0353535353535359E-2</v>
      </c>
      <c r="Q43" s="17">
        <f t="shared" si="26"/>
        <v>7.1111111111111111E-2</v>
      </c>
      <c r="R43" s="17">
        <f t="shared" si="26"/>
        <v>6.5641025641025627E-2</v>
      </c>
      <c r="S43" s="17">
        <f t="shared" si="26"/>
        <v>6.0952380952380945E-2</v>
      </c>
      <c r="T43" s="17">
        <f t="shared" si="26"/>
        <v>5.6888888888888892E-2</v>
      </c>
      <c r="U43" s="17">
        <f t="shared" si="26"/>
        <v>6.9236111111111109E-2</v>
      </c>
      <c r="V43" s="17">
        <f t="shared" si="26"/>
        <v>6.5163398692810459E-2</v>
      </c>
      <c r="W43" s="17">
        <f t="shared" si="26"/>
        <v>6.1543209876543208E-2</v>
      </c>
      <c r="X43" s="17">
        <f t="shared" si="26"/>
        <v>5.8304093567251462E-2</v>
      </c>
      <c r="Y43" s="17">
        <f t="shared" si="26"/>
        <v>5.538888888888889E-2</v>
      </c>
      <c r="Z43" s="17">
        <f t="shared" ref="Z43:AD43" si="27">(Z54/$C$54)</f>
        <v>5.275132275132275E-2</v>
      </c>
      <c r="AA43" s="17">
        <f t="shared" si="27"/>
        <v>5.0353535353535359E-2</v>
      </c>
      <c r="AB43" s="17">
        <f t="shared" si="27"/>
        <v>4.8164251207729464E-2</v>
      </c>
      <c r="AC43" s="17">
        <f t="shared" si="27"/>
        <v>4.6157407407407411E-2</v>
      </c>
      <c r="AD43" s="17">
        <f t="shared" si="27"/>
        <v>4.4311111111111114E-2</v>
      </c>
      <c r="AE43" s="158" t="s">
        <v>72</v>
      </c>
      <c r="AF43" s="138">
        <v>37000</v>
      </c>
      <c r="BC43"/>
    </row>
    <row r="44" spans="2:55">
      <c r="B44" s="4" t="str">
        <f>+B32</f>
        <v>Brazil</v>
      </c>
      <c r="C44" s="17"/>
      <c r="D44" s="17"/>
      <c r="E44" s="17"/>
      <c r="F44" s="17">
        <f t="shared" ref="F44:Y44" si="28">(F55/$C$55)</f>
        <v>0</v>
      </c>
      <c r="G44" s="17">
        <f t="shared" si="28"/>
        <v>0.13333333333333333</v>
      </c>
      <c r="H44" s="17">
        <f t="shared" si="28"/>
        <v>8.8888888888888892E-2</v>
      </c>
      <c r="I44" s="17">
        <f t="shared" si="28"/>
        <v>6.6666666666666666E-2</v>
      </c>
      <c r="J44" s="17">
        <f t="shared" si="28"/>
        <v>0.21322222222222223</v>
      </c>
      <c r="K44" s="17">
        <f t="shared" si="28"/>
        <v>0.20546296296296299</v>
      </c>
      <c r="L44" s="17">
        <f t="shared" si="28"/>
        <v>0.17611111111111111</v>
      </c>
      <c r="M44" s="17">
        <f t="shared" si="28"/>
        <v>0.21395833333333333</v>
      </c>
      <c r="N44" s="17">
        <f t="shared" si="28"/>
        <v>0.23956790123456792</v>
      </c>
      <c r="O44" s="17">
        <f t="shared" si="28"/>
        <v>0.27666666666666667</v>
      </c>
      <c r="P44" s="17">
        <f t="shared" si="28"/>
        <v>0.27873737373737373</v>
      </c>
      <c r="Q44" s="17">
        <f t="shared" si="28"/>
        <v>0.25550925925925927</v>
      </c>
      <c r="R44" s="17">
        <f t="shared" si="28"/>
        <v>0.23974358974358975</v>
      </c>
      <c r="S44" s="17">
        <f t="shared" si="28"/>
        <v>0.22214285714285711</v>
      </c>
      <c r="T44" s="17">
        <f t="shared" si="28"/>
        <v>0.24507407407407406</v>
      </c>
      <c r="U44" s="17">
        <f t="shared" si="28"/>
        <v>0.22975694444444444</v>
      </c>
      <c r="V44" s="17">
        <f t="shared" si="28"/>
        <v>0.21624183006535949</v>
      </c>
      <c r="W44" s="17">
        <f t="shared" si="28"/>
        <v>0.21348765432098768</v>
      </c>
      <c r="X44" s="17">
        <f t="shared" si="28"/>
        <v>0.20225146198830413</v>
      </c>
      <c r="Y44" s="17">
        <f t="shared" si="28"/>
        <v>0.19213888888888889</v>
      </c>
      <c r="Z44" s="17">
        <f t="shared" ref="Z44:AD44" si="29">(Z55/$C$55)</f>
        <v>0.18298941798941798</v>
      </c>
      <c r="AA44" s="17">
        <f t="shared" si="29"/>
        <v>0.17467171717171714</v>
      </c>
      <c r="AB44" s="17">
        <f t="shared" si="29"/>
        <v>0.16707729468599034</v>
      </c>
      <c r="AC44" s="17">
        <f t="shared" si="29"/>
        <v>0.18231481481481479</v>
      </c>
      <c r="AD44" s="17">
        <f t="shared" si="29"/>
        <v>0.18522222222222223</v>
      </c>
      <c r="AE44" s="158" t="s">
        <v>94</v>
      </c>
      <c r="AF44" s="158">
        <v>75000</v>
      </c>
      <c r="BC44"/>
    </row>
    <row r="45" spans="2:55">
      <c r="B45" s="4" t="str">
        <f>+B33</f>
        <v>Boston</v>
      </c>
      <c r="C45" s="17"/>
      <c r="D45" s="17"/>
      <c r="E45" s="17"/>
      <c r="F45" s="17">
        <f>(F56/$C$56)</f>
        <v>0</v>
      </c>
      <c r="G45" s="17">
        <f t="shared" ref="G45:Y45" si="30">(G56/$C$56)</f>
        <v>7.2727272727272724E-2</v>
      </c>
      <c r="H45" s="17">
        <f t="shared" si="30"/>
        <v>0.31503030303030305</v>
      </c>
      <c r="I45" s="17">
        <f t="shared" si="30"/>
        <v>0.36354545454545456</v>
      </c>
      <c r="J45" s="17">
        <f t="shared" si="30"/>
        <v>0.53803636363636365</v>
      </c>
      <c r="K45" s="17">
        <f t="shared" si="30"/>
        <v>0.59369696969696961</v>
      </c>
      <c r="L45" s="17">
        <f t="shared" si="30"/>
        <v>0.60233766233766228</v>
      </c>
      <c r="M45" s="17">
        <f t="shared" si="30"/>
        <v>0.50886363636363641</v>
      </c>
      <c r="N45" s="17">
        <f t="shared" si="30"/>
        <v>0.54929292929292928</v>
      </c>
      <c r="O45" s="17">
        <f t="shared" si="30"/>
        <v>0.5306909090909091</v>
      </c>
      <c r="P45" s="17">
        <f t="shared" si="30"/>
        <v>0.54515702479338846</v>
      </c>
      <c r="Q45" s="17">
        <f t="shared" si="30"/>
        <v>0.51790909090909087</v>
      </c>
      <c r="R45" s="17">
        <f t="shared" si="30"/>
        <v>0.58704895104895105</v>
      </c>
      <c r="S45" s="17">
        <f t="shared" si="30"/>
        <v>0.597012987012987</v>
      </c>
      <c r="T45" s="17">
        <f t="shared" si="30"/>
        <v>0.63718787878787886</v>
      </c>
      <c r="U45" s="17">
        <f t="shared" si="30"/>
        <v>0.67</v>
      </c>
      <c r="V45" s="17">
        <f t="shared" si="30"/>
        <v>0.65518716577540104</v>
      </c>
      <c r="W45" s="17">
        <f t="shared" si="30"/>
        <v>0.64404040404040397</v>
      </c>
      <c r="X45" s="17">
        <f t="shared" si="30"/>
        <v>0.6713492822966507</v>
      </c>
      <c r="Y45" s="17">
        <f t="shared" si="30"/>
        <v>0.63778181818181823</v>
      </c>
      <c r="Z45" s="17">
        <f t="shared" ref="Z45:AD45" si="31">(Z56/$C$56)</f>
        <v>0.6074112554112554</v>
      </c>
      <c r="AA45" s="17">
        <f t="shared" si="31"/>
        <v>0.57980165289256191</v>
      </c>
      <c r="AB45" s="17">
        <f t="shared" si="31"/>
        <v>0.62017391304347824</v>
      </c>
      <c r="AC45" s="17">
        <f t="shared" si="31"/>
        <v>0.59433333333333327</v>
      </c>
      <c r="AD45" s="17">
        <f t="shared" si="31"/>
        <v>0.57055999999999996</v>
      </c>
      <c r="AE45" s="160" t="s">
        <v>73</v>
      </c>
      <c r="AF45" s="138">
        <v>220000</v>
      </c>
      <c r="BC45"/>
    </row>
    <row r="46" spans="2:55">
      <c r="B46" s="4" t="s">
        <v>2</v>
      </c>
      <c r="C46" s="17"/>
      <c r="D46" s="17"/>
      <c r="E46" s="17"/>
      <c r="F46" s="17">
        <f t="shared" ref="F46:Y47" si="32">(F57/$C$57)</f>
        <v>2.1338541666666666</v>
      </c>
      <c r="G46" s="17">
        <f t="shared" si="32"/>
        <v>1.2229166666666667</v>
      </c>
      <c r="H46" s="17">
        <f t="shared" si="32"/>
        <v>0.91927083333333337</v>
      </c>
      <c r="I46" s="17">
        <f t="shared" si="32"/>
        <v>0.84544270833333335</v>
      </c>
      <c r="J46" s="17">
        <f t="shared" si="32"/>
        <v>0.94687500000000002</v>
      </c>
      <c r="K46" s="17">
        <f t="shared" si="32"/>
        <v>0.84105902777777786</v>
      </c>
      <c r="L46" s="17">
        <f t="shared" si="32"/>
        <v>0.80267857142857135</v>
      </c>
      <c r="M46" s="17">
        <f t="shared" si="32"/>
        <v>0.80312499999999998</v>
      </c>
      <c r="N46" s="17">
        <f t="shared" si="32"/>
        <v>0.78964120370370372</v>
      </c>
      <c r="O46" s="17">
        <f t="shared" si="32"/>
        <v>0.71067708333333335</v>
      </c>
      <c r="P46" s="17">
        <f t="shared" si="32"/>
        <v>0.65269886363636365</v>
      </c>
      <c r="Q46" s="17">
        <f t="shared" si="32"/>
        <v>0.69852430555555556</v>
      </c>
      <c r="R46" s="17">
        <f t="shared" si="32"/>
        <v>0.69278846153846163</v>
      </c>
      <c r="S46" s="17">
        <f t="shared" si="32"/>
        <v>0.68794642857142863</v>
      </c>
      <c r="T46" s="17">
        <f t="shared" si="32"/>
        <v>0.66288194444444448</v>
      </c>
      <c r="U46" s="17">
        <f t="shared" si="32"/>
        <v>0.68489583333333337</v>
      </c>
      <c r="V46" s="17">
        <f t="shared" si="32"/>
        <v>0.69966299019607836</v>
      </c>
      <c r="W46" s="17">
        <f t="shared" si="32"/>
        <v>0.67812499999999998</v>
      </c>
      <c r="X46" s="17">
        <f t="shared" si="32"/>
        <v>0.72700657894736831</v>
      </c>
      <c r="Y46" s="17">
        <f t="shared" si="32"/>
        <v>0.69065624999999997</v>
      </c>
      <c r="Z46" s="17">
        <f t="shared" ref="Z46:AD46" si="33">(Z57/$C$57)</f>
        <v>0.65776785714285713</v>
      </c>
      <c r="AA46" s="17">
        <f t="shared" si="33"/>
        <v>0.62786931818181824</v>
      </c>
      <c r="AB46" s="17">
        <f t="shared" si="33"/>
        <v>0.64130887681159421</v>
      </c>
      <c r="AC46" s="17">
        <f t="shared" si="33"/>
        <v>0.61458767361111111</v>
      </c>
      <c r="AD46" s="17">
        <f t="shared" si="33"/>
        <v>0.60248333333333337</v>
      </c>
      <c r="AE46" s="160" t="s">
        <v>74</v>
      </c>
      <c r="AF46" s="138">
        <v>135000</v>
      </c>
      <c r="BC46"/>
    </row>
    <row r="47" spans="2:55">
      <c r="B47" s="4" t="s">
        <v>99</v>
      </c>
      <c r="C47" s="17"/>
      <c r="D47" s="17"/>
      <c r="E47" s="17"/>
      <c r="F47" s="17">
        <f t="shared" si="32"/>
        <v>0</v>
      </c>
      <c r="G47" s="17">
        <f t="shared" si="32"/>
        <v>0.21536458333333333</v>
      </c>
      <c r="H47" s="17">
        <f t="shared" si="32"/>
        <v>0.14357638888888888</v>
      </c>
      <c r="I47" s="17">
        <f t="shared" si="32"/>
        <v>0.10768229166666667</v>
      </c>
      <c r="J47" s="17">
        <f t="shared" si="32"/>
        <v>8.6145833333333338E-2</v>
      </c>
      <c r="K47" s="17">
        <f t="shared" si="32"/>
        <v>7.1788194444444439E-2</v>
      </c>
      <c r="L47" s="17">
        <f t="shared" si="32"/>
        <v>6.1532738095238092E-2</v>
      </c>
      <c r="M47" s="17">
        <f t="shared" si="32"/>
        <v>5.3841145833333333E-2</v>
      </c>
      <c r="N47" s="17">
        <f t="shared" si="32"/>
        <v>4.7858796296296295E-2</v>
      </c>
      <c r="O47" s="17">
        <f t="shared" si="32"/>
        <v>4.3072916666666669E-2</v>
      </c>
      <c r="P47" s="17">
        <f t="shared" si="32"/>
        <v>3.9157196969696974E-2</v>
      </c>
      <c r="Q47" s="17">
        <f t="shared" si="32"/>
        <v>3.589409722222222E-2</v>
      </c>
      <c r="R47" s="17">
        <f t="shared" si="32"/>
        <v>3.3133012820512821E-2</v>
      </c>
      <c r="S47" s="17">
        <f t="shared" si="32"/>
        <v>3.0766369047619046E-2</v>
      </c>
      <c r="T47" s="17">
        <f t="shared" si="32"/>
        <v>2.8715277777777781E-2</v>
      </c>
      <c r="U47" s="17">
        <f t="shared" si="32"/>
        <v>2.6920572916666666E-2</v>
      </c>
      <c r="V47" s="17">
        <f t="shared" si="32"/>
        <v>3.4252450980392153E-2</v>
      </c>
      <c r="W47" s="17">
        <f t="shared" si="32"/>
        <v>3.2349537037037038E-2</v>
      </c>
      <c r="X47" s="17">
        <f t="shared" si="32"/>
        <v>3.0646929824561405E-2</v>
      </c>
      <c r="Y47" s="17">
        <f t="shared" si="32"/>
        <v>2.9114583333333333E-2</v>
      </c>
      <c r="Z47" s="17">
        <f t="shared" ref="Z47:AD47" si="34">(Z58/$C$57)</f>
        <v>2.7728174603174602E-2</v>
      </c>
      <c r="AA47" s="17">
        <f t="shared" si="34"/>
        <v>2.6467803030303032E-2</v>
      </c>
      <c r="AB47" s="17">
        <f t="shared" si="34"/>
        <v>2.5317028985507244E-2</v>
      </c>
      <c r="AC47" s="17">
        <f t="shared" si="34"/>
        <v>2.4262152777777775E-2</v>
      </c>
      <c r="AD47" s="17">
        <f t="shared" si="34"/>
        <v>2.3291666666666665E-2</v>
      </c>
      <c r="AE47" s="160" t="s">
        <v>99</v>
      </c>
      <c r="AF47" s="138">
        <v>12000</v>
      </c>
      <c r="BC47"/>
    </row>
    <row r="48" spans="2:55">
      <c r="B48" s="4" t="s">
        <v>3</v>
      </c>
      <c r="C48" s="18"/>
      <c r="D48" s="18"/>
      <c r="E48" s="18"/>
      <c r="F48" s="18">
        <f t="shared" ref="F48:Y48" si="35">(F59/$C$59)</f>
        <v>0.71599546228020416</v>
      </c>
      <c r="G48" s="18">
        <f t="shared" si="35"/>
        <v>1.0164208735110607</v>
      </c>
      <c r="H48" s="18">
        <f t="shared" si="35"/>
        <v>0.9864435621100397</v>
      </c>
      <c r="I48" s="18">
        <f t="shared" si="35"/>
        <v>1.1951928530913216</v>
      </c>
      <c r="J48" s="18">
        <f t="shared" si="35"/>
        <v>1.2069767441860466</v>
      </c>
      <c r="K48" s="18">
        <f t="shared" si="35"/>
        <v>1.1713367366231804</v>
      </c>
      <c r="L48" s="18">
        <f t="shared" si="35"/>
        <v>1.0945385301029091</v>
      </c>
      <c r="M48" s="18">
        <f t="shared" si="35"/>
        <v>1.0906196823596144</v>
      </c>
      <c r="N48" s="18">
        <f t="shared" si="35"/>
        <v>1.024207474632886</v>
      </c>
      <c r="O48" s="18">
        <f t="shared" si="35"/>
        <v>0.95940442427680095</v>
      </c>
      <c r="P48" s="18">
        <f t="shared" si="35"/>
        <v>0.89710720363017582</v>
      </c>
      <c r="Q48" s="18">
        <f t="shared" si="35"/>
        <v>0.90288334278691629</v>
      </c>
      <c r="R48" s="18">
        <f t="shared" si="35"/>
        <v>0.900850822461713</v>
      </c>
      <c r="S48" s="18">
        <f t="shared" si="35"/>
        <v>0.89137022931691101</v>
      </c>
      <c r="T48" s="18">
        <f t="shared" si="35"/>
        <v>0.94696539988655704</v>
      </c>
      <c r="U48" s="18">
        <f t="shared" si="35"/>
        <v>0.93429523539421444</v>
      </c>
      <c r="V48" s="18">
        <f t="shared" si="35"/>
        <v>0.89196223015581733</v>
      </c>
      <c r="W48" s="18">
        <f t="shared" si="35"/>
        <v>0.89506838091636731</v>
      </c>
      <c r="X48" s="18">
        <f t="shared" si="35"/>
        <v>0.57088694509956117</v>
      </c>
      <c r="Y48" s="18">
        <f t="shared" si="35"/>
        <v>0.54234259784458305</v>
      </c>
      <c r="Z48" s="18">
        <f t="shared" ref="Z48:AD48" si="36">(Z59/$C$59)</f>
        <v>0.51651675985198386</v>
      </c>
      <c r="AA48" s="18">
        <f t="shared" si="36"/>
        <v>0.49303872531325738</v>
      </c>
      <c r="AB48" s="18">
        <f t="shared" si="36"/>
        <v>0.80469555352783051</v>
      </c>
      <c r="AC48" s="18">
        <f t="shared" si="36"/>
        <v>0.80711618453393841</v>
      </c>
      <c r="AD48" s="18">
        <f t="shared" si="36"/>
        <v>0.77981395348837212</v>
      </c>
      <c r="AE48" s="159" t="s">
        <v>76</v>
      </c>
      <c r="AF48" s="138">
        <v>345000</v>
      </c>
      <c r="BC48"/>
    </row>
    <row r="49" spans="2:55">
      <c r="B49" s="14" t="s">
        <v>27</v>
      </c>
      <c r="C49" s="17"/>
      <c r="D49" s="17"/>
      <c r="E49" s="17"/>
      <c r="F49" s="17">
        <f t="shared" ref="F49:Y49" si="37">(F60/$C$60)</f>
        <v>0.50408824629191074</v>
      </c>
      <c r="G49" s="17">
        <f t="shared" si="37"/>
        <v>0.57029166147326438</v>
      </c>
      <c r="H49" s="17">
        <f t="shared" si="37"/>
        <v>0.54426025177614357</v>
      </c>
      <c r="I49" s="17">
        <f t="shared" si="37"/>
        <v>0.59932381902031662</v>
      </c>
      <c r="J49" s="17">
        <f t="shared" si="37"/>
        <v>0.68453197058456938</v>
      </c>
      <c r="K49" s="17">
        <f t="shared" si="37"/>
        <v>0.65411732934480038</v>
      </c>
      <c r="L49" s="17">
        <f t="shared" si="37"/>
        <v>0.62401310517975095</v>
      </c>
      <c r="M49" s="17">
        <f t="shared" si="37"/>
        <v>0.6175230587062196</v>
      </c>
      <c r="N49" s="17">
        <f t="shared" si="37"/>
        <v>0.6421621172462505</v>
      </c>
      <c r="O49" s="17">
        <f t="shared" si="37"/>
        <v>0.5992870497320204</v>
      </c>
      <c r="P49" s="17">
        <f t="shared" si="37"/>
        <v>0.59544264784199974</v>
      </c>
      <c r="Q49" s="17">
        <f t="shared" si="37"/>
        <v>0.58999439112551411</v>
      </c>
      <c r="R49" s="17">
        <f t="shared" si="37"/>
        <v>0.5966883670984382</v>
      </c>
      <c r="S49" s="17">
        <f t="shared" si="37"/>
        <v>0.59745374904293014</v>
      </c>
      <c r="T49" s="17">
        <f t="shared" si="37"/>
        <v>0.63496946279446587</v>
      </c>
      <c r="U49" s="17">
        <f t="shared" si="37"/>
        <v>0.65094104449707091</v>
      </c>
      <c r="V49" s="17">
        <f t="shared" si="37"/>
        <v>0.63678248564788009</v>
      </c>
      <c r="W49" s="17">
        <f t="shared" si="37"/>
        <v>0.63124766296896417</v>
      </c>
      <c r="X49" s="17">
        <f t="shared" si="37"/>
        <v>0.5796571698472156</v>
      </c>
      <c r="Y49" s="17">
        <f t="shared" si="37"/>
        <v>0.55067431135485478</v>
      </c>
      <c r="Z49" s="17">
        <f t="shared" ref="Z49:AD49" si="38">(Z60/$C$60)</f>
        <v>0.52445172509986171</v>
      </c>
      <c r="AA49" s="17">
        <f t="shared" si="38"/>
        <v>0.50061301032259531</v>
      </c>
      <c r="AB49" s="17">
        <f t="shared" si="38"/>
        <v>0.58058245587414437</v>
      </c>
      <c r="AC49" s="17">
        <f t="shared" si="38"/>
        <v>0.57263700195271938</v>
      </c>
      <c r="AD49" s="17">
        <f t="shared" si="38"/>
        <v>0.55346379159915249</v>
      </c>
      <c r="AF49" s="139">
        <f>SUM(AF42:AF48)</f>
        <v>1159000</v>
      </c>
      <c r="BC49"/>
    </row>
    <row r="50" spans="2:5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BC50"/>
    </row>
    <row r="51" spans="2:55">
      <c r="B51" s="9" t="s">
        <v>26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BC51"/>
    </row>
    <row r="52" spans="2:55">
      <c r="B52" s="4"/>
      <c r="C52" s="4"/>
      <c r="D52" s="4"/>
      <c r="E52" s="4"/>
      <c r="F52" s="4" t="str">
        <f>+F41</f>
        <v>Day 1</v>
      </c>
      <c r="G52" s="4" t="str">
        <f t="shared" ref="G52:AD52" si="39">+G41</f>
        <v>Day 2</v>
      </c>
      <c r="H52" s="4" t="str">
        <f t="shared" si="39"/>
        <v>Day 3</v>
      </c>
      <c r="I52" s="4" t="str">
        <f t="shared" si="39"/>
        <v>Day 4</v>
      </c>
      <c r="J52" s="4" t="str">
        <f t="shared" si="39"/>
        <v>Day 5</v>
      </c>
      <c r="K52" s="4" t="str">
        <f t="shared" si="39"/>
        <v>Day 6</v>
      </c>
      <c r="L52" s="4" t="str">
        <f t="shared" si="39"/>
        <v>Day 7</v>
      </c>
      <c r="M52" s="4" t="str">
        <f t="shared" si="39"/>
        <v>Day 8</v>
      </c>
      <c r="N52" s="4" t="str">
        <f t="shared" si="39"/>
        <v>Day 9</v>
      </c>
      <c r="O52" s="4" t="str">
        <f t="shared" si="39"/>
        <v>Day 10</v>
      </c>
      <c r="P52" s="4" t="str">
        <f t="shared" si="39"/>
        <v>Day 11</v>
      </c>
      <c r="Q52" s="4" t="str">
        <f t="shared" si="39"/>
        <v>Day 12</v>
      </c>
      <c r="R52" s="4" t="str">
        <f t="shared" si="39"/>
        <v>Day 13</v>
      </c>
      <c r="S52" s="4" t="str">
        <f t="shared" si="39"/>
        <v>Day 14</v>
      </c>
      <c r="T52" s="4" t="str">
        <f t="shared" si="39"/>
        <v>Day 15</v>
      </c>
      <c r="U52" s="4" t="str">
        <f t="shared" si="39"/>
        <v>Day 16</v>
      </c>
      <c r="V52" s="4" t="str">
        <f t="shared" si="39"/>
        <v>Day 17</v>
      </c>
      <c r="W52" s="4" t="str">
        <f t="shared" si="39"/>
        <v>Day 18</v>
      </c>
      <c r="X52" s="4" t="str">
        <f t="shared" si="39"/>
        <v>Day 19</v>
      </c>
      <c r="Y52" s="4" t="str">
        <f t="shared" si="39"/>
        <v>Day 20</v>
      </c>
      <c r="Z52" s="4" t="str">
        <f t="shared" si="39"/>
        <v>Day 21</v>
      </c>
      <c r="AA52" s="4" t="str">
        <f t="shared" si="39"/>
        <v>Day 22</v>
      </c>
      <c r="AB52" s="4" t="str">
        <f t="shared" si="39"/>
        <v>Day 23</v>
      </c>
      <c r="AC52" s="4" t="str">
        <f t="shared" si="39"/>
        <v>Day 24</v>
      </c>
      <c r="AD52" s="4" t="str">
        <f t="shared" si="39"/>
        <v>Day 25</v>
      </c>
      <c r="BC52"/>
    </row>
    <row r="53" spans="2:55">
      <c r="B53" s="4" t="s">
        <v>0</v>
      </c>
      <c r="C53" s="149">
        <v>340000</v>
      </c>
      <c r="D53" s="4"/>
      <c r="E53" s="4"/>
      <c r="F53" s="55">
        <f t="shared" ref="F53:Y59" si="40">(F30)/F$2*$Y$2</f>
        <v>146700</v>
      </c>
      <c r="G53" s="55">
        <f t="shared" si="40"/>
        <v>213650</v>
      </c>
      <c r="H53" s="55">
        <f t="shared" si="40"/>
        <v>203533.33333333331</v>
      </c>
      <c r="I53" s="55">
        <f t="shared" si="40"/>
        <v>233825</v>
      </c>
      <c r="J53" s="55">
        <f t="shared" si="40"/>
        <v>278980</v>
      </c>
      <c r="K53" s="55">
        <f t="shared" si="40"/>
        <v>253433.33333333331</v>
      </c>
      <c r="L53" s="55">
        <f t="shared" si="40"/>
        <v>245542.85714285713</v>
      </c>
      <c r="M53" s="55">
        <f t="shared" si="40"/>
        <v>257612.5</v>
      </c>
      <c r="N53" s="55">
        <f t="shared" si="40"/>
        <v>309211.11111111112</v>
      </c>
      <c r="O53" s="55">
        <f t="shared" si="40"/>
        <v>278290</v>
      </c>
      <c r="P53" s="55">
        <f t="shared" si="40"/>
        <v>297136.36363636365</v>
      </c>
      <c r="Q53" s="55">
        <f t="shared" si="40"/>
        <v>286123.33333333331</v>
      </c>
      <c r="R53" s="55">
        <f t="shared" si="40"/>
        <v>284021.5384615385</v>
      </c>
      <c r="S53" s="55">
        <f t="shared" si="40"/>
        <v>291248.57142857142</v>
      </c>
      <c r="T53" s="55">
        <f t="shared" si="40"/>
        <v>322605.33333333331</v>
      </c>
      <c r="U53" s="55">
        <f t="shared" si="40"/>
        <v>340330</v>
      </c>
      <c r="V53" s="55">
        <f t="shared" si="40"/>
        <v>335534.1176470588</v>
      </c>
      <c r="W53" s="55">
        <f t="shared" si="40"/>
        <v>334271.11111111112</v>
      </c>
      <c r="X53" s="55">
        <f t="shared" si="40"/>
        <v>351832.63157894742</v>
      </c>
      <c r="Y53" s="55">
        <f t="shared" si="40"/>
        <v>334241</v>
      </c>
      <c r="Z53" s="55">
        <f t="shared" ref="Z53:AD53" si="41">(Z30)/Z$2*$Y$2</f>
        <v>318324.76190476189</v>
      </c>
      <c r="AA53" s="55">
        <f t="shared" si="41"/>
        <v>303855.45454545459</v>
      </c>
      <c r="AB53" s="55">
        <f t="shared" si="41"/>
        <v>310583.47826086957</v>
      </c>
      <c r="AC53" s="55">
        <f t="shared" si="41"/>
        <v>307038.33333333331</v>
      </c>
      <c r="AD53" s="55">
        <f t="shared" si="41"/>
        <v>294756.8</v>
      </c>
      <c r="BC53"/>
    </row>
    <row r="54" spans="2:55">
      <c r="B54" s="4" t="s">
        <v>64</v>
      </c>
      <c r="C54" s="149">
        <v>180000</v>
      </c>
      <c r="D54" s="4"/>
      <c r="E54" s="4"/>
      <c r="F54" s="55">
        <f t="shared" si="40"/>
        <v>0</v>
      </c>
      <c r="G54" s="55">
        <f t="shared" si="40"/>
        <v>22900</v>
      </c>
      <c r="H54" s="55">
        <f t="shared" si="40"/>
        <v>15266.666666666668</v>
      </c>
      <c r="I54" s="55">
        <f t="shared" si="40"/>
        <v>11450</v>
      </c>
      <c r="J54" s="55">
        <f t="shared" si="40"/>
        <v>9160</v>
      </c>
      <c r="K54" s="55">
        <f t="shared" si="40"/>
        <v>7633.3333333333339</v>
      </c>
      <c r="L54" s="55">
        <f t="shared" si="40"/>
        <v>6542.8571428571431</v>
      </c>
      <c r="M54" s="55">
        <f t="shared" si="40"/>
        <v>5725</v>
      </c>
      <c r="N54" s="55">
        <f t="shared" si="40"/>
        <v>5088.8888888888887</v>
      </c>
      <c r="O54" s="55">
        <f t="shared" si="40"/>
        <v>4580</v>
      </c>
      <c r="P54" s="55">
        <f t="shared" si="40"/>
        <v>9063.636363636364</v>
      </c>
      <c r="Q54" s="55">
        <f t="shared" si="40"/>
        <v>12800</v>
      </c>
      <c r="R54" s="55">
        <f t="shared" si="40"/>
        <v>11815.384615384613</v>
      </c>
      <c r="S54" s="55">
        <f t="shared" si="40"/>
        <v>10971.428571428571</v>
      </c>
      <c r="T54" s="55">
        <f t="shared" si="40"/>
        <v>10240</v>
      </c>
      <c r="U54" s="55">
        <f t="shared" si="40"/>
        <v>12462.5</v>
      </c>
      <c r="V54" s="55">
        <f t="shared" si="40"/>
        <v>11729.411764705883</v>
      </c>
      <c r="W54" s="55">
        <f t="shared" si="40"/>
        <v>11077.777777777777</v>
      </c>
      <c r="X54" s="55">
        <f t="shared" si="40"/>
        <v>10494.736842105263</v>
      </c>
      <c r="Y54" s="55">
        <f t="shared" si="40"/>
        <v>9970</v>
      </c>
      <c r="Z54" s="55">
        <f t="shared" ref="Z54:AD54" si="42">(Z31)/Z$2*$Y$2</f>
        <v>9495.2380952380954</v>
      </c>
      <c r="AA54" s="55">
        <f t="shared" si="42"/>
        <v>9063.636363636364</v>
      </c>
      <c r="AB54" s="55">
        <f t="shared" si="42"/>
        <v>8669.565217391304</v>
      </c>
      <c r="AC54" s="55">
        <f t="shared" si="42"/>
        <v>8308.3333333333339</v>
      </c>
      <c r="AD54" s="55">
        <f t="shared" si="42"/>
        <v>7976</v>
      </c>
      <c r="BC54"/>
    </row>
    <row r="55" spans="2:55">
      <c r="B55" s="4" t="str">
        <f>+B44</f>
        <v>Brazil</v>
      </c>
      <c r="C55" s="149">
        <v>180000</v>
      </c>
      <c r="D55" s="4"/>
      <c r="E55" s="4"/>
      <c r="F55" s="55">
        <f t="shared" si="40"/>
        <v>0</v>
      </c>
      <c r="G55" s="55">
        <f t="shared" si="40"/>
        <v>24000</v>
      </c>
      <c r="H55" s="55">
        <f t="shared" si="40"/>
        <v>16000</v>
      </c>
      <c r="I55" s="55">
        <f t="shared" si="40"/>
        <v>12000</v>
      </c>
      <c r="J55" s="55">
        <f t="shared" si="40"/>
        <v>38380</v>
      </c>
      <c r="K55" s="55">
        <f t="shared" si="40"/>
        <v>36983.333333333336</v>
      </c>
      <c r="L55" s="55">
        <f t="shared" si="40"/>
        <v>31700</v>
      </c>
      <c r="M55" s="55">
        <f t="shared" si="40"/>
        <v>38512.5</v>
      </c>
      <c r="N55" s="55">
        <f t="shared" si="40"/>
        <v>43122.222222222226</v>
      </c>
      <c r="O55" s="55">
        <f t="shared" si="40"/>
        <v>49800</v>
      </c>
      <c r="P55" s="55">
        <f t="shared" si="40"/>
        <v>50172.727272727272</v>
      </c>
      <c r="Q55" s="55">
        <f t="shared" si="40"/>
        <v>45991.666666666672</v>
      </c>
      <c r="R55" s="55">
        <f t="shared" si="40"/>
        <v>43153.846153846156</v>
      </c>
      <c r="S55" s="55">
        <f t="shared" si="40"/>
        <v>39985.714285714283</v>
      </c>
      <c r="T55" s="55">
        <f t="shared" si="40"/>
        <v>44113.333333333328</v>
      </c>
      <c r="U55" s="55">
        <f t="shared" si="40"/>
        <v>41356.25</v>
      </c>
      <c r="V55" s="55">
        <f t="shared" si="40"/>
        <v>38923.529411764706</v>
      </c>
      <c r="W55" s="55">
        <f t="shared" si="40"/>
        <v>38427.777777777781</v>
      </c>
      <c r="X55" s="55">
        <f t="shared" si="40"/>
        <v>36405.26315789474</v>
      </c>
      <c r="Y55" s="55">
        <f t="shared" si="40"/>
        <v>34585</v>
      </c>
      <c r="Z55" s="55">
        <f t="shared" ref="Z55:AD55" si="43">(Z32)/Z$2*$Y$2</f>
        <v>32938.095238095237</v>
      </c>
      <c r="AA55" s="55">
        <f t="shared" si="43"/>
        <v>31440.909090909088</v>
      </c>
      <c r="AB55" s="55">
        <f t="shared" si="43"/>
        <v>30073.91304347826</v>
      </c>
      <c r="AC55" s="55">
        <f t="shared" si="43"/>
        <v>32816.666666666664</v>
      </c>
      <c r="AD55" s="55">
        <f t="shared" si="43"/>
        <v>33340</v>
      </c>
      <c r="BC55"/>
    </row>
    <row r="56" spans="2:55">
      <c r="B56" s="4" t="str">
        <f>+B45</f>
        <v>Boston</v>
      </c>
      <c r="C56" s="149">
        <v>275000</v>
      </c>
      <c r="D56" s="4"/>
      <c r="E56" s="4"/>
      <c r="F56" s="55">
        <f>(F33)/F$2*$Y$2</f>
        <v>0</v>
      </c>
      <c r="G56" s="55">
        <f>(G33)/G$2*$Y$2</f>
        <v>20000</v>
      </c>
      <c r="H56" s="55">
        <f t="shared" si="40"/>
        <v>86633.333333333343</v>
      </c>
      <c r="I56" s="55">
        <f t="shared" si="40"/>
        <v>99975</v>
      </c>
      <c r="J56" s="55">
        <f t="shared" si="40"/>
        <v>147960</v>
      </c>
      <c r="K56" s="55">
        <f t="shared" si="40"/>
        <v>163266.66666666666</v>
      </c>
      <c r="L56" s="55">
        <f t="shared" si="40"/>
        <v>165642.85714285713</v>
      </c>
      <c r="M56" s="55">
        <f t="shared" si="40"/>
        <v>139937.5</v>
      </c>
      <c r="N56" s="55">
        <f t="shared" si="40"/>
        <v>151055.55555555556</v>
      </c>
      <c r="O56" s="55">
        <f t="shared" si="40"/>
        <v>145940</v>
      </c>
      <c r="P56" s="55">
        <f t="shared" si="40"/>
        <v>149918.18181818182</v>
      </c>
      <c r="Q56" s="55">
        <f t="shared" si="40"/>
        <v>142425</v>
      </c>
      <c r="R56" s="55">
        <f t="shared" si="40"/>
        <v>161438.46153846153</v>
      </c>
      <c r="S56" s="55">
        <f t="shared" si="40"/>
        <v>164178.57142857142</v>
      </c>
      <c r="T56" s="55">
        <f t="shared" si="40"/>
        <v>175226.66666666669</v>
      </c>
      <c r="U56" s="55">
        <f t="shared" si="40"/>
        <v>184250</v>
      </c>
      <c r="V56" s="55">
        <f t="shared" si="40"/>
        <v>180176.47058823527</v>
      </c>
      <c r="W56" s="55">
        <f t="shared" si="40"/>
        <v>177111.11111111109</v>
      </c>
      <c r="X56" s="55">
        <f t="shared" si="40"/>
        <v>184621.05263157893</v>
      </c>
      <c r="Y56" s="55">
        <f t="shared" si="40"/>
        <v>175390</v>
      </c>
      <c r="Z56" s="55">
        <f t="shared" ref="Z56:AD56" si="44">(Z33)/Z$2*$Y$2</f>
        <v>167038.09523809524</v>
      </c>
      <c r="AA56" s="55">
        <f t="shared" si="44"/>
        <v>159445.45454545453</v>
      </c>
      <c r="AB56" s="55">
        <f t="shared" si="44"/>
        <v>170547.82608695651</v>
      </c>
      <c r="AC56" s="55">
        <f t="shared" si="44"/>
        <v>163441.66666666666</v>
      </c>
      <c r="AD56" s="55">
        <f t="shared" si="44"/>
        <v>156904</v>
      </c>
      <c r="BC56"/>
    </row>
    <row r="57" spans="2:55">
      <c r="B57" s="4" t="s">
        <v>2</v>
      </c>
      <c r="C57" s="149">
        <v>192000</v>
      </c>
      <c r="D57" s="4"/>
      <c r="E57" s="4"/>
      <c r="F57" s="55">
        <f t="shared" ref="F57:U59" si="45">(F34)/F$2*$Y$2</f>
        <v>409700</v>
      </c>
      <c r="G57" s="55">
        <f t="shared" si="45"/>
        <v>234800</v>
      </c>
      <c r="H57" s="55">
        <f t="shared" si="45"/>
        <v>176500</v>
      </c>
      <c r="I57" s="55">
        <f t="shared" si="45"/>
        <v>162325</v>
      </c>
      <c r="J57" s="55">
        <f t="shared" si="45"/>
        <v>181800</v>
      </c>
      <c r="K57" s="55">
        <f t="shared" si="45"/>
        <v>161483.33333333334</v>
      </c>
      <c r="L57" s="55">
        <f t="shared" si="45"/>
        <v>154114.28571428571</v>
      </c>
      <c r="M57" s="55">
        <f t="shared" si="45"/>
        <v>154200</v>
      </c>
      <c r="N57" s="55">
        <f t="shared" si="45"/>
        <v>151611.11111111112</v>
      </c>
      <c r="O57" s="55">
        <f t="shared" si="45"/>
        <v>136450</v>
      </c>
      <c r="P57" s="55">
        <f t="shared" si="45"/>
        <v>125318.18181818182</v>
      </c>
      <c r="Q57" s="55">
        <f t="shared" si="45"/>
        <v>134116.66666666666</v>
      </c>
      <c r="R57" s="55">
        <f t="shared" si="45"/>
        <v>133015.38461538462</v>
      </c>
      <c r="S57" s="55">
        <f t="shared" si="45"/>
        <v>132085.71428571429</v>
      </c>
      <c r="T57" s="55">
        <f t="shared" si="45"/>
        <v>127273.33333333334</v>
      </c>
      <c r="U57" s="55">
        <f t="shared" si="45"/>
        <v>131500</v>
      </c>
      <c r="V57" s="55">
        <f t="shared" si="40"/>
        <v>134335.29411764705</v>
      </c>
      <c r="W57" s="55">
        <f t="shared" si="40"/>
        <v>130200</v>
      </c>
      <c r="X57" s="55">
        <f t="shared" si="40"/>
        <v>139585.26315789472</v>
      </c>
      <c r="Y57" s="55">
        <f t="shared" si="40"/>
        <v>132606</v>
      </c>
      <c r="Z57" s="55">
        <f t="shared" ref="Z57:AD57" si="46">(Z34)/Z$2*$Y$2</f>
        <v>126291.42857142857</v>
      </c>
      <c r="AA57" s="55">
        <f t="shared" si="46"/>
        <v>120550.9090909091</v>
      </c>
      <c r="AB57" s="55">
        <f t="shared" si="46"/>
        <v>123131.30434782608</v>
      </c>
      <c r="AC57" s="55">
        <f t="shared" si="46"/>
        <v>118000.83333333334</v>
      </c>
      <c r="AD57" s="55">
        <f t="shared" si="46"/>
        <v>115676.8</v>
      </c>
      <c r="AF57" s="48"/>
    </row>
    <row r="58" spans="2:55">
      <c r="B58" s="4" t="s">
        <v>99</v>
      </c>
      <c r="C58" s="149">
        <v>85000</v>
      </c>
      <c r="D58" s="4"/>
      <c r="E58" s="4"/>
      <c r="F58" s="55">
        <f t="shared" si="45"/>
        <v>0</v>
      </c>
      <c r="G58" s="55">
        <f t="shared" si="45"/>
        <v>41350</v>
      </c>
      <c r="H58" s="55">
        <f t="shared" si="45"/>
        <v>27566.666666666664</v>
      </c>
      <c r="I58" s="55">
        <f t="shared" si="45"/>
        <v>20675</v>
      </c>
      <c r="J58" s="55">
        <f t="shared" si="45"/>
        <v>16540</v>
      </c>
      <c r="K58" s="55">
        <f t="shared" si="45"/>
        <v>13783.333333333332</v>
      </c>
      <c r="L58" s="55">
        <f t="shared" si="45"/>
        <v>11814.285714285714</v>
      </c>
      <c r="M58" s="55">
        <f t="shared" si="45"/>
        <v>10337.5</v>
      </c>
      <c r="N58" s="55">
        <f t="shared" si="45"/>
        <v>9188.8888888888887</v>
      </c>
      <c r="O58" s="55">
        <f t="shared" si="45"/>
        <v>8270</v>
      </c>
      <c r="P58" s="55">
        <f t="shared" si="45"/>
        <v>7518.1818181818189</v>
      </c>
      <c r="Q58" s="55">
        <f t="shared" si="45"/>
        <v>6891.6666666666661</v>
      </c>
      <c r="R58" s="55">
        <f t="shared" si="45"/>
        <v>6361.5384615384619</v>
      </c>
      <c r="S58" s="55">
        <f t="shared" si="45"/>
        <v>5907.1428571428569</v>
      </c>
      <c r="T58" s="55">
        <f t="shared" si="45"/>
        <v>5513.3333333333339</v>
      </c>
      <c r="U58" s="55">
        <f t="shared" si="45"/>
        <v>5168.75</v>
      </c>
      <c r="V58" s="55">
        <f t="shared" si="40"/>
        <v>6576.4705882352937</v>
      </c>
      <c r="W58" s="55">
        <f t="shared" si="40"/>
        <v>6211.1111111111113</v>
      </c>
      <c r="X58" s="55">
        <f t="shared" si="40"/>
        <v>5884.21052631579</v>
      </c>
      <c r="Y58" s="55">
        <f t="shared" si="40"/>
        <v>5590</v>
      </c>
      <c r="Z58" s="55">
        <f t="shared" ref="Z58:AD58" si="47">(Z35)/Z$2*$Y$2</f>
        <v>5323.8095238095239</v>
      </c>
      <c r="AA58" s="55">
        <f t="shared" si="47"/>
        <v>5081.818181818182</v>
      </c>
      <c r="AB58" s="55">
        <f t="shared" si="47"/>
        <v>4860.869565217391</v>
      </c>
      <c r="AC58" s="55">
        <f t="shared" si="47"/>
        <v>4658.333333333333</v>
      </c>
      <c r="AD58" s="55">
        <f t="shared" si="47"/>
        <v>4472</v>
      </c>
      <c r="AF58" s="48"/>
    </row>
    <row r="59" spans="2:55">
      <c r="B59" s="4" t="s">
        <v>3</v>
      </c>
      <c r="C59" s="150">
        <v>352600</v>
      </c>
      <c r="D59" s="19"/>
      <c r="E59" s="19"/>
      <c r="F59" s="98">
        <f t="shared" si="45"/>
        <v>252460</v>
      </c>
      <c r="G59" s="98">
        <f t="shared" si="45"/>
        <v>358390</v>
      </c>
      <c r="H59" s="98">
        <f t="shared" si="45"/>
        <v>347820</v>
      </c>
      <c r="I59" s="98">
        <f t="shared" si="45"/>
        <v>421425</v>
      </c>
      <c r="J59" s="98">
        <f t="shared" si="45"/>
        <v>425580</v>
      </c>
      <c r="K59" s="98">
        <f t="shared" si="45"/>
        <v>413013.33333333337</v>
      </c>
      <c r="L59" s="98">
        <f t="shared" si="45"/>
        <v>385934.28571428574</v>
      </c>
      <c r="M59" s="98">
        <f t="shared" si="45"/>
        <v>384552.5</v>
      </c>
      <c r="N59" s="98">
        <f t="shared" si="45"/>
        <v>361135.55555555556</v>
      </c>
      <c r="O59" s="98">
        <f t="shared" si="45"/>
        <v>338286</v>
      </c>
      <c r="P59" s="98">
        <f t="shared" si="45"/>
        <v>316320</v>
      </c>
      <c r="Q59" s="98">
        <f t="shared" si="45"/>
        <v>318356.66666666669</v>
      </c>
      <c r="R59" s="98">
        <f t="shared" si="45"/>
        <v>317640</v>
      </c>
      <c r="S59" s="98">
        <f t="shared" si="45"/>
        <v>314297.14285714284</v>
      </c>
      <c r="T59" s="98">
        <f t="shared" si="45"/>
        <v>333900</v>
      </c>
      <c r="U59" s="98">
        <f t="shared" si="45"/>
        <v>329432.5</v>
      </c>
      <c r="V59" s="98">
        <f t="shared" si="40"/>
        <v>314505.8823529412</v>
      </c>
      <c r="W59" s="98">
        <f t="shared" si="40"/>
        <v>315601.11111111112</v>
      </c>
      <c r="X59" s="98">
        <f t="shared" si="40"/>
        <v>201294.73684210528</v>
      </c>
      <c r="Y59" s="98">
        <f t="shared" si="40"/>
        <v>191230</v>
      </c>
      <c r="Z59" s="98">
        <f t="shared" ref="Z59:AD59" si="48">(Z36)/Z$2*$Y$2</f>
        <v>182123.80952380953</v>
      </c>
      <c r="AA59" s="98">
        <f t="shared" si="48"/>
        <v>173845.45454545456</v>
      </c>
      <c r="AB59" s="98">
        <f t="shared" si="48"/>
        <v>283735.65217391303</v>
      </c>
      <c r="AC59" s="98">
        <f t="shared" si="48"/>
        <v>284589.16666666669</v>
      </c>
      <c r="AD59" s="98">
        <f t="shared" si="48"/>
        <v>274962.40000000002</v>
      </c>
    </row>
    <row r="60" spans="2:55">
      <c r="B60" s="153" t="s">
        <v>27</v>
      </c>
      <c r="C60" s="151">
        <f>SUM(C53:C59)</f>
        <v>1604600</v>
      </c>
      <c r="D60" s="10">
        <f>SUM(D53:D59)</f>
        <v>0</v>
      </c>
      <c r="E60" s="10"/>
      <c r="F60" s="10">
        <f t="shared" ref="F60:Y60" si="49">SUM(F53:F59)</f>
        <v>808860</v>
      </c>
      <c r="G60" s="10">
        <f t="shared" si="49"/>
        <v>915090</v>
      </c>
      <c r="H60" s="10">
        <f t="shared" si="49"/>
        <v>873320</v>
      </c>
      <c r="I60" s="10">
        <f t="shared" si="49"/>
        <v>961675</v>
      </c>
      <c r="J60" s="10">
        <f t="shared" si="49"/>
        <v>1098400</v>
      </c>
      <c r="K60" s="10">
        <f t="shared" si="49"/>
        <v>1049596.6666666667</v>
      </c>
      <c r="L60" s="10">
        <f t="shared" si="49"/>
        <v>1001291.4285714284</v>
      </c>
      <c r="M60" s="10">
        <f t="shared" si="49"/>
        <v>990877.5</v>
      </c>
      <c r="N60" s="10">
        <f t="shared" si="49"/>
        <v>1030413.3333333335</v>
      </c>
      <c r="O60" s="10">
        <f t="shared" si="49"/>
        <v>961616</v>
      </c>
      <c r="P60" s="10">
        <f t="shared" si="49"/>
        <v>955447.27272727271</v>
      </c>
      <c r="Q60" s="10">
        <f t="shared" si="49"/>
        <v>946705</v>
      </c>
      <c r="R60" s="10">
        <f t="shared" si="49"/>
        <v>957446.15384615387</v>
      </c>
      <c r="S60" s="10">
        <f t="shared" si="49"/>
        <v>958674.28571428568</v>
      </c>
      <c r="T60" s="10">
        <f t="shared" si="49"/>
        <v>1018872</v>
      </c>
      <c r="U60" s="10">
        <f t="shared" si="49"/>
        <v>1044500</v>
      </c>
      <c r="V60" s="10">
        <f t="shared" si="49"/>
        <v>1021781.1764705883</v>
      </c>
      <c r="W60" s="10">
        <f t="shared" si="49"/>
        <v>1012900</v>
      </c>
      <c r="X60" s="10">
        <f t="shared" si="49"/>
        <v>930117.89473684214</v>
      </c>
      <c r="Y60" s="10">
        <f t="shared" si="49"/>
        <v>883612</v>
      </c>
      <c r="Z60" s="10">
        <f t="shared" ref="Z60:AD60" si="50">SUM(Z53:Z59)</f>
        <v>841535.23809523811</v>
      </c>
      <c r="AA60" s="10">
        <f t="shared" si="50"/>
        <v>803283.63636363647</v>
      </c>
      <c r="AB60" s="10">
        <f t="shared" si="50"/>
        <v>931602.6086956521</v>
      </c>
      <c r="AC60" s="10">
        <f t="shared" si="50"/>
        <v>918853.33333333349</v>
      </c>
      <c r="AD60" s="10">
        <f t="shared" si="50"/>
        <v>888088</v>
      </c>
    </row>
    <row r="61" spans="2:55">
      <c r="B61" s="5"/>
      <c r="C61" s="152" t="s">
        <v>28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55">
      <c r="B62" s="1"/>
      <c r="J62" s="28"/>
      <c r="K62" s="28"/>
      <c r="L62" s="28"/>
    </row>
    <row r="63" spans="2:55">
      <c r="B63" s="1"/>
      <c r="C63" s="28"/>
      <c r="E63" s="3" t="str">
        <f>+B14</f>
        <v>Group</v>
      </c>
      <c r="F63" s="144">
        <f>+$C$14*F2</f>
        <v>80230</v>
      </c>
      <c r="G63" s="144">
        <f t="shared" ref="G63:AD63" si="51">+$C$14*G2</f>
        <v>160460</v>
      </c>
      <c r="H63" s="144">
        <f t="shared" si="51"/>
        <v>240690</v>
      </c>
      <c r="I63" s="144">
        <f t="shared" si="51"/>
        <v>320920</v>
      </c>
      <c r="J63" s="144">
        <f t="shared" si="51"/>
        <v>401150</v>
      </c>
      <c r="K63" s="144">
        <f t="shared" si="51"/>
        <v>481380</v>
      </c>
      <c r="L63" s="144">
        <f t="shared" si="51"/>
        <v>561610</v>
      </c>
      <c r="M63" s="144">
        <f t="shared" si="51"/>
        <v>641840</v>
      </c>
      <c r="N63" s="144">
        <f t="shared" si="51"/>
        <v>722070</v>
      </c>
      <c r="O63" s="144">
        <f t="shared" si="51"/>
        <v>802300</v>
      </c>
      <c r="P63" s="144">
        <f t="shared" si="51"/>
        <v>882530</v>
      </c>
      <c r="Q63" s="144">
        <f t="shared" si="51"/>
        <v>962760</v>
      </c>
      <c r="R63" s="144">
        <f t="shared" si="51"/>
        <v>1042990</v>
      </c>
      <c r="S63" s="144">
        <f t="shared" si="51"/>
        <v>1123220</v>
      </c>
      <c r="T63" s="144">
        <f t="shared" si="51"/>
        <v>1203450</v>
      </c>
      <c r="U63" s="144">
        <f t="shared" si="51"/>
        <v>1283680</v>
      </c>
      <c r="V63" s="144">
        <f t="shared" si="51"/>
        <v>1363910</v>
      </c>
      <c r="W63" s="144">
        <f t="shared" si="51"/>
        <v>1444140</v>
      </c>
      <c r="X63" s="144">
        <f t="shared" si="51"/>
        <v>1524370</v>
      </c>
      <c r="Y63" s="144">
        <f t="shared" si="51"/>
        <v>1604600</v>
      </c>
      <c r="Z63" s="144">
        <f t="shared" si="51"/>
        <v>1684830</v>
      </c>
      <c r="AA63" s="144">
        <f t="shared" si="51"/>
        <v>1765060</v>
      </c>
      <c r="AB63" s="144">
        <f t="shared" si="51"/>
        <v>1845290</v>
      </c>
      <c r="AC63" s="144">
        <f t="shared" si="51"/>
        <v>1925520</v>
      </c>
      <c r="AD63" s="144">
        <f t="shared" si="51"/>
        <v>2005750</v>
      </c>
    </row>
    <row r="64" spans="2:55">
      <c r="B64" s="1"/>
      <c r="E64" s="3"/>
      <c r="F64" s="14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2:30">
      <c r="E65" s="3"/>
      <c r="F65" s="14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2:30">
      <c r="E66" s="3"/>
      <c r="F66" s="14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>
      <c r="B67" s="1"/>
      <c r="E67" s="3"/>
      <c r="F67" s="14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2:30">
      <c r="B68" s="1"/>
      <c r="E68" s="3"/>
      <c r="F68" s="14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>
      <c r="B69" s="1"/>
      <c r="E69" s="3"/>
      <c r="F69" s="14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>
      <c r="E70" s="143"/>
      <c r="F70" s="144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</row>
    <row r="71" spans="2:30">
      <c r="B71" s="1"/>
      <c r="E71" s="143"/>
      <c r="F71" s="143"/>
    </row>
    <row r="72" spans="2:30">
      <c r="B72" s="1"/>
      <c r="E72" s="143"/>
      <c r="F72" s="143"/>
    </row>
    <row r="73" spans="2:30">
      <c r="B73" s="1"/>
      <c r="E73" s="3"/>
      <c r="F73" s="143"/>
    </row>
    <row r="74" spans="2:30">
      <c r="E74" s="143"/>
      <c r="F74" s="143"/>
    </row>
    <row r="75" spans="2:30">
      <c r="B75" s="1"/>
      <c r="E75" s="1"/>
      <c r="F75" s="1"/>
    </row>
    <row r="76" spans="2:30">
      <c r="B76" s="1"/>
      <c r="E76" s="1"/>
      <c r="F76" s="1"/>
    </row>
    <row r="77" spans="2:30">
      <c r="B77" s="1"/>
      <c r="F77" s="1"/>
    </row>
    <row r="78" spans="2:30">
      <c r="B78" s="1"/>
      <c r="E78" s="1"/>
      <c r="F78" s="1"/>
    </row>
    <row r="79" spans="2:30">
      <c r="E79" s="1"/>
      <c r="F79" s="1"/>
    </row>
    <row r="80" spans="2:30">
      <c r="E80" s="1"/>
      <c r="F80" s="1"/>
    </row>
    <row r="81" spans="5:6">
      <c r="E81" s="1"/>
      <c r="F81" s="1"/>
    </row>
  </sheetData>
  <mergeCells count="1">
    <mergeCell ref="AE41:AF41"/>
  </mergeCells>
  <conditionalFormatting sqref="AE15">
    <cfRule type="cellIs" dxfId="21" priority="8" stopIfTrue="1" operator="lessThan">
      <formula>$C$14</formula>
    </cfRule>
    <cfRule type="cellIs" dxfId="20" priority="9" stopIfTrue="1" operator="lessThan">
      <formula>$C$14</formula>
    </cfRule>
    <cfRule type="cellIs" dxfId="19" priority="10" stopIfTrue="1" operator="greaterThan">
      <formula>$C$14</formula>
    </cfRule>
    <cfRule type="cellIs" dxfId="18" priority="11" stopIfTrue="1" operator="greaterThan">
      <formula>$C$14</formula>
    </cfRule>
  </conditionalFormatting>
  <conditionalFormatting sqref="AF30:AF37">
    <cfRule type="cellIs" dxfId="17" priority="4" stopIfTrue="1" operator="lessThan">
      <formula>0</formula>
    </cfRule>
    <cfRule type="cellIs" dxfId="16" priority="5" stopIfTrue="1" operator="greaterThan">
      <formula>0</formula>
    </cfRule>
    <cfRule type="cellIs" dxfId="15" priority="6" stopIfTrue="1" operator="lessThan">
      <formula>0</formula>
    </cfRule>
    <cfRule type="cellIs" dxfId="14" priority="7" stopIfTrue="1" operator="greaterThan">
      <formula>0</formula>
    </cfRule>
  </conditionalFormatting>
  <conditionalFormatting sqref="AE7:AE13">
    <cfRule type="cellIs" dxfId="13" priority="2" stopIfTrue="1" operator="lessThan">
      <formula>$C$7</formula>
    </cfRule>
    <cfRule type="cellIs" dxfId="12" priority="3" stopIfTrue="1" operator="greaterThan">
      <formula>$C$7</formula>
    </cfRule>
  </conditionalFormatting>
  <conditionalFormatting sqref="AE7:AE13">
    <cfRule type="cellIs" dxfId="11" priority="1" stopIfTrue="1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C81"/>
  <x:sheetViews>
    <x:sheetView tabSelected="1" topLeftCell="A2" workbookViewId="0">
      <x:selection activeCell="U4" sqref="U4"/>
    </x:sheetView>
  </x:sheetViews>
  <x:sheetFormatPr defaultColWidth="8.85546875" defaultRowHeight="15"/>
  <x:cols>
    <x:col min="1" max="1" width="2.7109375" customWidth="1"/>
    <x:col min="2" max="2" width="12.7109375" customWidth="1"/>
    <x:col min="3" max="3" width="9.140625" customWidth="1"/>
    <x:col min="4" max="4" width="0.42578125" customWidth="1"/>
    <x:col min="5" max="5" width="8.28515625" customWidth="1"/>
    <x:col min="6" max="6" width="9" bestFit="1" customWidth="1"/>
    <x:col min="7" max="7" width="10" bestFit="1" customWidth="1"/>
    <x:col min="8" max="8" width="8.28515625" customWidth="1"/>
    <x:col min="9" max="9" width="8.42578125" customWidth="1"/>
    <x:col min="10" max="10" width="8.140625" customWidth="1"/>
    <x:col min="11" max="11" width="7.85546875" customWidth="1"/>
    <x:col min="12" max="12" width="8.85546875" bestFit="1" customWidth="1"/>
    <x:col min="13" max="13" width="9.28515625" bestFit="1" customWidth="1"/>
    <x:col min="14" max="14" width="8.42578125" customWidth="1"/>
    <x:col min="15" max="15" width="8.28515625" customWidth="1"/>
    <x:col min="16" max="16" width="8.85546875" customWidth="1"/>
    <x:col min="17" max="17" width="8.85546875" bestFit="1" customWidth="1"/>
    <x:col min="18" max="18" width="10.28515625" bestFit="1" customWidth="1"/>
    <x:col min="19" max="19" width="9.140625" bestFit="1" customWidth="1"/>
    <x:col min="20" max="20" width="7.85546875" customWidth="1"/>
    <x:col min="21" max="22" width="8.7109375" bestFit="1" customWidth="1"/>
    <x:col min="23" max="23" width="8" customWidth="1"/>
    <x:col min="24" max="24" width="8.7109375" customWidth="1"/>
    <x:col min="25" max="30" width="9.28515625" customWidth="1"/>
    <x:col min="31" max="31" width="7.28515625" bestFit="1" customWidth="1"/>
    <x:col min="32" max="32" width="10.42578125" customWidth="1"/>
    <x:col min="55" max="55" width="9.140625" style="6" customWidth="1"/>
  </x:cols>
  <x:sheetData>
    <x:row r="1" spans="1:55" hidden="1">
      <x:c r="A1" s="3">
        <x:v>1</x:v>
      </x:c>
      <x:c r="B1" s="3">
        <x:v>1</x:v>
      </x:c>
      <x:c r="C1" s="3">
        <x:v>1</x:v>
      </x:c>
      <x:c r="D1" s="3">
        <x:v>1</x:v>
      </x:c>
      <x:c r="E1" s="3">
        <x:v>1</x:v>
      </x:c>
      <x:c r="F1" s="3">
        <x:v>1</x:v>
      </x:c>
      <x:c r="G1" s="3">
        <x:v>1</x:v>
      </x:c>
      <x:c r="H1" s="3">
        <x:v>1</x:v>
      </x:c>
      <x:c r="I1" s="3">
        <x:v>1</x:v>
      </x:c>
      <x:c r="J1" s="3">
        <x:v>1</x:v>
      </x:c>
      <x:c r="K1" s="3">
        <x:v>1</x:v>
      </x:c>
      <x:c r="L1" s="3">
        <x:v>1</x:v>
      </x:c>
      <x:c r="M1" s="3">
        <x:v>1</x:v>
      </x:c>
      <x:c r="N1" s="3">
        <x:v>1</x:v>
      </x:c>
      <x:c r="O1" s="3">
        <x:v>1</x:v>
      </x:c>
      <x:c r="P1" s="3">
        <x:v>1</x:v>
      </x:c>
      <x:c r="Q1" s="3">
        <x:v>1</x:v>
      </x:c>
      <x:c r="R1" s="3">
        <x:v>1</x:v>
      </x:c>
      <x:c r="S1" s="3">
        <x:v>1</x:v>
      </x:c>
      <x:c r="T1" s="3">
        <x:v>1</x:v>
      </x:c>
      <x:c r="U1" s="3">
        <x:v>1</x:v>
      </x:c>
      <x:c r="V1" s="3">
        <x:v>1</x:v>
      </x:c>
      <x:c r="W1" s="3">
        <x:v>1</x:v>
      </x:c>
      <x:c r="X1" s="3">
        <x:v>1</x:v>
      </x:c>
      <x:c r="Y1" s="3">
        <x:v>1</x:v>
      </x:c>
      <x:c r="Z1" s="3">
        <x:v>1</x:v>
      </x:c>
      <x:c r="AA1" s="3">
        <x:v>1</x:v>
      </x:c>
      <x:c r="AB1" s="3">
        <x:v>1</x:v>
      </x:c>
      <x:c r="AC1" s="3">
        <x:v>1</x:v>
      </x:c>
      <x:c r="AD1" s="3">
        <x:v>1</x:v>
      </x:c>
      <x:c r="AE1" s="3">
        <x:v>1</x:v>
      </x:c>
      <x:c r="AF1" s="3">
        <x:v>1</x:v>
      </x:c>
    </x:row>
    <x:row r="2" spans="1:55">
      <x:c r="A2" s="3">
        <x:v>1</x:v>
      </x:c>
      <x:c r="B2" s="3">
        <x:v>1</x:v>
      </x:c>
      <x:c r="C2" s="3">
        <x:v>1</x:v>
      </x:c>
      <x:c r="D2" s="3">
        <x:v>2</x:v>
      </x:c>
      <x:c r="E2" s="3">
        <x:v>3</x:v>
      </x:c>
      <x:c r="F2" s="3">
        <x:v>1</x:v>
      </x:c>
      <x:c r="G2" s="3">
        <x:v>2</x:v>
      </x:c>
      <x:c r="H2" s="3">
        <x:v>3</x:v>
      </x:c>
      <x:c r="I2" s="3">
        <x:v>4</x:v>
      </x:c>
      <x:c r="J2" s="3">
        <x:v>5</x:v>
      </x:c>
      <x:c r="K2" s="3">
        <x:v>6</x:v>
      </x:c>
      <x:c r="L2" s="3">
        <x:v>7</x:v>
      </x:c>
      <x:c r="M2" s="3">
        <x:v>8</x:v>
      </x:c>
      <x:c r="N2" s="3">
        <x:v>9</x:v>
      </x:c>
      <x:c r="O2" s="3">
        <x:v>10</x:v>
      </x:c>
      <x:c r="P2" s="3">
        <x:v>11</x:v>
      </x:c>
      <x:c r="Q2" s="3">
        <x:v>12</x:v>
      </x:c>
      <x:c r="R2" s="3">
        <x:v>13</x:v>
      </x:c>
      <x:c r="S2" s="3">
        <x:v>14</x:v>
      </x:c>
      <x:c r="T2" s="3">
        <x:v>15</x:v>
      </x:c>
      <x:c r="U2" s="3">
        <x:v>16</x:v>
      </x:c>
      <x:c r="V2" s="3">
        <x:v>17</x:v>
      </x:c>
      <x:c r="W2" s="3">
        <x:v>18</x:v>
      </x:c>
      <x:c r="X2" s="3">
        <x:v>19</x:v>
      </x:c>
      <x:c r="Y2" s="3">
        <x:v>20</x:v>
      </x:c>
      <x:c r="Z2" s="3">
        <x:v>21</x:v>
      </x:c>
      <x:c r="AA2" s="3">
        <x:v>22</x:v>
      </x:c>
      <x:c r="AB2" s="3">
        <x:v>23</x:v>
      </x:c>
      <x:c r="AC2" s="3">
        <x:v>24</x:v>
      </x:c>
      <x:c r="AD2" s="3">
        <x:v>25</x:v>
      </x:c>
      <x:c r="AE2" s="3">
        <x:v>26</x:v>
      </x:c>
      <x:c r="AF2" s="3">
        <x:v>27</x:v>
      </x:c>
      <x:c r="AG2" s="3">
        <x:v>28</x:v>
      </x:c>
    </x:row>
    <x:row r="3" spans="1:55" ht="18.75">
      <x:c r="B3" s="2" t="s">
        <x:v>110</x:v>
      </x:c>
      <x:c r="M3" s="93" t="s">
        <x:v>45</x:v>
      </x:c>
      <x:c r="O3" s="28"/>
      <x:c r="P3" s="28"/>
      <x:c r="Q3" s="28"/>
      <x:c r="R3" s="28"/>
    </x:row>
    <x:row r="4" spans="1:55">
      <x:c r="F4" s="28"/>
    </x:row>
    <x:row r="5" spans="1:55" ht="15.75" thickBot="1">
      <x:c r="B5" s="9" t="s">
        <x:v>24</x:v>
      </x:c>
      <x:c r="C5" s="4"/>
      <x:c r="D5" s="4"/>
      <x:c r="E5" s="4"/>
      <x:c r="G5" s="4"/>
      <x:c r="H5" s="4"/>
      <x:c r="I5" s="4"/>
      <x:c r="M5" s="4"/>
      <x:c r="N5" s="4"/>
      <x:c r="O5" s="4"/>
      <x:c r="P5" s="4"/>
      <x:c r="Q5" s="4"/>
      <x:c r="R5" s="4"/>
      <x:c r="S5" s="4"/>
      <x:c r="T5" s="4"/>
      <x:c r="U5" s="4"/>
      <x:c r="V5" s="4"/>
      <x:c r="W5" s="4"/>
      <x:c r="X5" s="4"/>
      <x:c r="Y5" s="8"/>
      <x:c r="Z5" s="8"/>
      <x:c r="AA5" s="8"/>
      <x:c r="AB5" s="8"/>
      <x:c r="AC5" s="8"/>
      <x:c r="AD5" s="8"/>
    </x:row>
    <x:row r="6" spans="1:55">
      <x:c r="B6" s="4"/>
      <x:c r="C6" s="16" t="s">
        <x:v>32</x:v>
      </x:c>
      <x:c r="D6" s="4"/>
      <x:c r="E6" s="7" t="s">
        <x:v>70</x:v>
      </x:c>
      <x:c r="F6" s="4" t="s">
        <x:v>4</x:v>
      </x:c>
      <x:c r="G6" s="4" t="s">
        <x:v>5</x:v>
      </x:c>
      <x:c r="H6" s="4" t="s">
        <x:v>6</x:v>
      </x:c>
      <x:c r="I6" s="4" t="s">
        <x:v>7</x:v>
      </x:c>
      <x:c r="J6" s="4" t="s">
        <x:v>8</x:v>
      </x:c>
      <x:c r="K6" s="4" t="s">
        <x:v>9</x:v>
      </x:c>
      <x:c r="L6" s="4" t="s">
        <x:v>10</x:v>
      </x:c>
      <x:c r="M6" s="4" t="s">
        <x:v>11</x:v>
      </x:c>
      <x:c r="N6" s="4" t="s">
        <x:v>12</x:v>
      </x:c>
      <x:c r="O6" s="4" t="s">
        <x:v>13</x:v>
      </x:c>
      <x:c r="P6" s="4" t="s">
        <x:v>14</x:v>
      </x:c>
      <x:c r="Q6" s="4" t="s">
        <x:v>15</x:v>
      </x:c>
      <x:c r="R6" s="4" t="s">
        <x:v>16</x:v>
      </x:c>
      <x:c r="S6" s="4" t="s">
        <x:v>17</x:v>
      </x:c>
      <x:c r="T6" s="4" t="s">
        <x:v>18</x:v>
      </x:c>
      <x:c r="U6" s="4" t="s">
        <x:v>19</x:v>
      </x:c>
      <x:c r="V6" s="4" t="s">
        <x:v>20</x:v>
      </x:c>
      <x:c r="W6" s="4" t="s">
        <x:v>21</x:v>
      </x:c>
      <x:c r="X6" s="4" t="s">
        <x:v>22</x:v>
      </x:c>
      <x:c r="Y6" s="4" t="s">
        <x:v>23</x:v>
      </x:c>
      <x:c r="Z6" s="4" t="s">
        <x:v>103</x:v>
      </x:c>
      <x:c r="AA6" s="4" t="s">
        <x:v>104</x:v>
      </x:c>
      <x:c r="AB6" s="4" t="s">
        <x:v>105</x:v>
      </x:c>
      <x:c r="AC6" s="4" t="s">
        <x:v>106</x:v>
      </x:c>
      <x:c r="AD6" s="4" t="s">
        <x:v>107</x:v>
      </x:c>
      <x:c r="AE6" s="76" t="s">
        <x:v>43</x:v>
      </x:c>
      <x:c r="BC6"/>
    </x:row>
    <x:row r="7" spans="1:55">
      <x:c r="B7" s="4" t="s">
        <x:v>0</x:v>
      </x:c>
      <x:c r="C7" s="20">
        <x:f t="shared" ref="C7:C13" si="0">+C53/20</x:f>
        <x:v>17000</x:v>
      </x:c>
      <x:c r="D7" s="10"/>
      <x:c r="E7" s="11">
        <x:v>0</x:v>
      </x:c>
      <x:c r="F7" s="34">
        <x:v>5876</x:v>
      </x:c>
      <x:c r="G7" s="34">
        <x:v>3235</x:v>
      </x:c>
      <x:c r="H7" s="34">
        <x:v>12405</x:v>
      </x:c>
      <x:c r="I7" s="34">
        <x:v>11870</x:v>
      </x:c>
      <x:c r="J7" s="34">
        <x:v>21801</x:v>
      </x:c>
      <x:c r="K7" s="34">
        <x:v>9705</x:v>
      </x:c>
      <x:c r="L7" s="34">
        <x:v>6480</x:v>
      </x:c>
      <x:c r="M7" s="34">
        <x:v>11870</x:v>
      </x:c>
      <x:c r="N7" s="34">
        <x:v>8635</x:v>
      </x:c>
      <x:c r="O7" s="34">
        <x:v>11870</x:v>
      </x:c>
      <x:c r="P7" s="34"/>
      <x:c r="Q7" s="34"/>
      <x:c r="R7" s="34"/>
      <x:c r="S7" s="34"/>
      <x:c r="T7" s="34"/>
      <x:c r="U7" s="34"/>
      <x:c r="V7" s="34"/>
      <x:c r="W7" s="34"/>
      <x:c r="X7" s="34"/>
      <x:c r="Y7" s="34"/>
      <x:c r="Z7" s="34"/>
      <x:c r="AA7" s="34"/>
      <x:c r="AB7" s="34"/>
      <x:c r="AC7" s="34"/>
      <x:c r="AD7" s="34"/>
      <x:c r="AE7" s="69">
        <x:f t="shared" ref="AE7:AE14" si="1">IFERROR((SUM(F7:AD7)/(COUNT(F7:AD7))),0)</x:f>
        <x:v>10374.700000000001</x:v>
      </x:c>
      <x:c r="AF7" s="103"/>
      <x:c r="BC7"/>
    </x:row>
    <x:row r="8" spans="1:55">
      <x:c r="B8" s="4" t="s">
        <x:v>64</x:v>
      </x:c>
      <x:c r="C8" s="20">
        <x:f t="shared" si="0"/>
        <x:v>9000</x:v>
      </x:c>
      <x:c r="D8" s="10"/>
      <x:c r="E8" s="11">
        <x:v>0</x:v>
      </x:c>
      <x:c r="F8" s="34">
        <x:v>0</x:v>
      </x:c>
      <x:c r="G8" s="34">
        <x:v>0</x:v>
      </x:c>
      <x:c r="H8" s="34">
        <x:v>0</x:v>
      </x:c>
      <x:c r="I8" s="34">
        <x:v>0</x:v>
      </x:c>
      <x:c r="J8" s="34">
        <x:v>0</x:v>
      </x:c>
      <x:c r="K8" s="34">
        <x:v>0</x:v>
      </x:c>
      <x:c r="L8" s="34">
        <x:v>0</x:v>
      </x:c>
      <x:c r="M8" s="34">
        <x:v>0</x:v>
      </x:c>
      <x:c r="N8" s="34">
        <x:v>0</x:v>
      </x:c>
      <x:c r="O8" s="34">
        <x:v>0</x:v>
      </x:c>
      <x:c r="P8" s="34"/>
      <x:c r="Q8" s="34"/>
      <x:c r="R8" s="34"/>
      <x:c r="S8" s="34"/>
      <x:c r="T8" s="34"/>
      <x:c r="U8" s="34"/>
      <x:c r="V8" s="34"/>
      <x:c r="W8" s="34"/>
      <x:c r="X8" s="34"/>
      <x:c r="Y8" s="34"/>
      <x:c r="Z8" s="34"/>
      <x:c r="AA8" s="34"/>
      <x:c r="AB8" s="34"/>
      <x:c r="AC8" s="34"/>
      <x:c r="AD8" s="34"/>
      <x:c r="AE8" s="69">
        <x:f t="shared" si="1"/>
        <x:v>0</x:v>
      </x:c>
      <x:c r="AF8" s="103"/>
      <x:c r="BC8"/>
    </x:row>
    <x:row r="9" spans="1:55">
      <x:c r="B9" s="4" t="s">
        <x:v>77</x:v>
      </x:c>
      <x:c r="C9" s="20">
        <x:f t="shared" si="0"/>
        <x:v>9000</x:v>
      </x:c>
      <x:c r="D9" s="10"/>
      <x:c r="E9" s="11">
        <x:v>0</x:v>
      </x:c>
      <x:c r="F9" s="34">
        <x:v>7500</x:v>
      </x:c>
      <x:c r="G9" s="34">
        <x:v>0</x:v>
      </x:c>
      <x:c r="H9" s="34">
        <x:v>4795</x:v>
      </x:c>
      <x:c r="I9" s="34">
        <x:v>1700</x:v>
      </x:c>
      <x:c r="J9" s="34">
        <x:v>0</x:v>
      </x:c>
      <x:c r="K9" s="34">
        <x:v>0</x:v>
      </x:c>
      <x:c r="L9" s="34">
        <x:v>2695</x:v>
      </x:c>
      <x:c r="M9" s="34">
        <x:v>12358</x:v>
      </x:c>
      <x:c r="N9" s="34">
        <x:v>2695</x:v>
      </x:c>
      <x:c r="O9" s="34">
        <x:v>2290</x:v>
      </x:c>
      <x:c r="P9" s="34"/>
      <x:c r="Q9" s="34"/>
      <x:c r="R9" s="34"/>
      <x:c r="S9" s="34"/>
      <x:c r="T9" s="34"/>
      <x:c r="U9" s="34"/>
      <x:c r="V9" s="34"/>
      <x:c r="W9" s="34"/>
      <x:c r="X9" s="34"/>
      <x:c r="Y9" s="34"/>
      <x:c r="Z9" s="34"/>
      <x:c r="AA9" s="34"/>
      <x:c r="AB9" s="34"/>
      <x:c r="AC9" s="34"/>
      <x:c r="AD9" s="34"/>
      <x:c r="AE9" s="69">
        <x:f t="shared" si="1"/>
        <x:v>3403.3</x:v>
      </x:c>
      <x:c r="AF9" s="103"/>
      <x:c r="BC9"/>
    </x:row>
    <x:row r="10" spans="1:55">
      <x:c r="B10" s="4" t="s">
        <x:v>1</x:v>
      </x:c>
      <x:c r="C10" s="20">
        <x:f t="shared" si="0"/>
        <x:v>13750</x:v>
      </x:c>
      <x:c r="D10" s="10"/>
      <x:c r="E10" s="11">
        <x:v>0</x:v>
      </x:c>
      <x:c r="F10" s="34">
        <x:v>20460</x:v>
      </x:c>
      <x:c r="G10" s="34">
        <x:v>16485</x:v>
      </x:c>
      <x:c r="H10" s="34">
        <x:v>10750</x:v>
      </x:c>
      <x:c r="I10" s="34">
        <x:v>15490</x:v>
      </x:c>
      <x:c r="J10" s="34">
        <x:v>10240</x:v>
      </x:c>
      <x:c r="K10" s="34">
        <x:v>6495</x:v>
      </x:c>
      <x:c r="L10" s="34">
        <x:v>7995</x:v>
      </x:c>
      <x:c r="M10" s="34">
        <x:v>16240</x:v>
      </x:c>
      <x:c r="N10" s="34">
        <x:v>9490</x:v>
      </x:c>
      <x:c r="O10" s="34">
        <x:v>7050</x:v>
      </x:c>
      <x:c r="P10" s="34"/>
      <x:c r="Q10" s="34"/>
      <x:c r="R10" s="34"/>
      <x:c r="S10" s="34"/>
      <x:c r="T10" s="34"/>
      <x:c r="U10" s="34"/>
      <x:c r="V10" s="34"/>
      <x:c r="W10" s="34"/>
      <x:c r="X10" s="34"/>
      <x:c r="Y10" s="34"/>
      <x:c r="Z10" s="34"/>
      <x:c r="AA10" s="34"/>
      <x:c r="AB10" s="34"/>
      <x:c r="AC10" s="34"/>
      <x:c r="AD10" s="34"/>
      <x:c r="AE10" s="69">
        <x:f t="shared" si="1"/>
        <x:v>12069.5</x:v>
      </x:c>
      <x:c r="AF10" s="103"/>
      <x:c r="BC10"/>
    </x:row>
    <x:row r="11" spans="1:55">
      <x:c r="B11" s="4" t="s">
        <x:v>2</x:v>
      </x:c>
      <x:c r="C11" s="20">
        <x:f t="shared" si="0"/>
        <x:v>9600</x:v>
      </x:c>
      <x:c r="D11" s="10"/>
      <x:c r="E11" s="11">
        <x:v>0</x:v>
      </x:c>
      <x:c r="F11" s="34">
        <x:v>7665</x:v>
      </x:c>
      <x:c r="G11" s="34">
        <x:v>5240</x:v>
      </x:c>
      <x:c r="H11" s="34">
        <x:v>5990</x:v>
      </x:c>
      <x:c r="I11" s="34">
        <x:v>8490</x:v>
      </x:c>
      <x:c r="J11" s="34">
        <x:v>8415</x:v>
      </x:c>
      <x:c r="K11" s="34">
        <x:v>9495</x:v>
      </x:c>
      <x:c r="L11" s="34">
        <x:v>6195</x:v>
      </x:c>
      <x:c r="M11" s="34">
        <x:v>6985</x:v>
      </x:c>
      <x:c r="N11" s="34">
        <x:v>2995</x:v>
      </x:c>
      <x:c r="O11" s="34">
        <x:v>8121</x:v>
      </x:c>
      <x:c r="P11" s="34"/>
      <x:c r="Q11" s="34"/>
      <x:c r="R11" s="34"/>
      <x:c r="S11" s="34"/>
      <x:c r="T11" s="34"/>
      <x:c r="U11" s="34"/>
      <x:c r="V11" s="34"/>
      <x:c r="W11" s="34"/>
      <x:c r="X11" s="34"/>
      <x:c r="Y11" s="34"/>
      <x:c r="Z11" s="34"/>
      <x:c r="AA11" s="34"/>
      <x:c r="AB11" s="34"/>
      <x:c r="AC11" s="34"/>
      <x:c r="AD11" s="34"/>
      <x:c r="AE11" s="69">
        <x:f t="shared" si="1"/>
        <x:v>6959.1</x:v>
      </x:c>
      <x:c r="AF11" s="103"/>
      <x:c r="BC11"/>
    </x:row>
    <x:row r="12" spans="1:55">
      <x:c r="B12" s="4" t="s">
        <x:v>99</x:v>
      </x:c>
      <x:c r="C12" s="20">
        <x:f t="shared" si="0"/>
        <x:v>4250</x:v>
      </x:c>
      <x:c r="D12" s="10"/>
      <x:c r="E12" s="11">
        <x:v>0</x:v>
      </x:c>
      <x:c r="F12" s="34">
        <x:v>1000</x:v>
      </x:c>
      <x:c r="G12" s="34">
        <x:v>0</x:v>
      </x:c>
      <x:c r="H12" s="34">
        <x:v>0</x:v>
      </x:c>
      <x:c r="I12" s="34">
        <x:v>0</x:v>
      </x:c>
      <x:c r="J12" s="34">
        <x:v>809</x:v>
      </x:c>
      <x:c r="K12" s="34">
        <x:v>0</x:v>
      </x:c>
      <x:c r="L12" s="34">
        <x:v>0</x:v>
      </x:c>
      <x:c r="M12" s="34">
        <x:v>0</x:v>
      </x:c>
      <x:c r="N12" s="34">
        <x:v>0</x:v>
      </x:c>
      <x:c r="O12" s="34">
        <x:v>0</x:v>
      </x:c>
      <x:c r="P12" s="34"/>
      <x:c r="Q12" s="34"/>
      <x:c r="R12" s="34"/>
      <x:c r="S12" s="34"/>
      <x:c r="T12" s="34"/>
      <x:c r="U12" s="34"/>
      <x:c r="V12" s="34"/>
      <x:c r="W12" s="34"/>
      <x:c r="X12" s="34"/>
      <x:c r="Y12" s="34"/>
      <x:c r="Z12" s="34"/>
      <x:c r="AA12" s="34"/>
      <x:c r="AB12" s="34"/>
      <x:c r="AC12" s="34"/>
      <x:c r="AD12" s="34"/>
      <x:c r="AE12" s="69">
        <x:f t="shared" si="1"/>
        <x:v>180.9</x:v>
      </x:c>
      <x:c r="AF12" s="103"/>
      <x:c r="BC12"/>
    </x:row>
    <x:row r="13" spans="1:55">
      <x:c r="B13" s="4" t="s">
        <x:v>3</x:v>
      </x:c>
      <x:c r="C13" s="21">
        <x:f t="shared" si="0"/>
        <x:v>17630</x:v>
      </x:c>
      <x:c r="D13" s="13"/>
      <x:c r="E13" s="40">
        <x:v>0</x:v>
      </x:c>
      <x:c r="F13" s="35">
        <x:v>19976</x:v>
      </x:c>
      <x:c r="G13" s="35">
        <x:v>12726</x:v>
      </x:c>
      <x:c r="H13" s="35">
        <x:v>15209</x:v>
      </x:c>
      <x:c r="I13" s="35">
        <x:v>25702</x:v>
      </x:c>
      <x:c r="J13" s="35">
        <x:v>34263</x:v>
      </x:c>
      <x:c r="K13" s="35">
        <x:v>13696</x:v>
      </x:c>
      <x:c r="L13" s="35">
        <x:v>12323</x:v>
      </x:c>
      <x:c r="M13" s="35">
        <x:v>15701</x:v>
      </x:c>
      <x:c r="N13" s="35">
        <x:v>20361</x:v>
      </x:c>
      <x:c r="O13" s="35">
        <x:v>10703</x:v>
      </x:c>
      <x:c r="P13" s="35"/>
      <x:c r="Q13" s="35"/>
      <x:c r="R13" s="35"/>
      <x:c r="S13" s="35"/>
      <x:c r="T13" s="35"/>
      <x:c r="U13" s="35"/>
      <x:c r="V13" s="35"/>
      <x:c r="W13" s="35"/>
      <x:c r="X13" s="35"/>
      <x:c r="Y13" s="35"/>
      <x:c r="Z13" s="35"/>
      <x:c r="AA13" s="35"/>
      <x:c r="AB13" s="35"/>
      <x:c r="AC13" s="35"/>
      <x:c r="AD13" s="35"/>
      <x:c r="AE13" s="69">
        <x:f t="shared" si="1"/>
        <x:v>18066</x:v>
      </x:c>
      <x:c r="AF13" s="103"/>
      <x:c r="BC13"/>
    </x:row>
    <x:row r="14" spans="1:55" ht="15.75" thickBot="1">
      <x:c r="B14" s="14" t="s">
        <x:v>27</x:v>
      </x:c>
      <x:c r="C14" s="20">
        <x:f>SUM(C7:C13)</x:f>
        <x:v>80230</x:v>
      </x:c>
      <x:c r="D14" s="20">
        <x:f t="shared" ref="D14:E14" si="2">SUM(D7:D13)</x:f>
        <x:v>0</x:v>
      </x:c>
      <x:c r="E14" s="11">
        <x:f t="shared" si="2"/>
        <x:v>0</x:v>
      </x:c>
      <x:c r="F14" s="127">
        <x:v>62477</x:v>
      </x:c>
      <x:c r="G14" s="127">
        <x:v>37686</x:v>
      </x:c>
      <x:c r="H14" s="127">
        <x:v>49149</x:v>
      </x:c>
      <x:c r="I14" s="127">
        <x:v>63252</x:v>
      </x:c>
      <x:c r="J14" s="127">
        <x:v>75528</x:v>
      </x:c>
      <x:c r="K14" s="127">
        <x:v>39391</x:v>
      </x:c>
      <x:c r="L14" s="127">
        <x:v>35688</x:v>
      </x:c>
      <x:c r="M14" s="127">
        <x:v>63154</x:v>
      </x:c>
      <x:c r="N14" s="127">
        <x:v>44176</x:v>
      </x:c>
      <x:c r="O14" s="127">
        <x:v>40034</x:v>
      </x:c>
      <x:c r="P14" s="127"/>
      <x:c r="Q14" s="127"/>
      <x:c r="R14" s="127"/>
      <x:c r="S14" s="127"/>
      <x:c r="T14" s="127"/>
      <x:c r="U14" s="127"/>
      <x:c r="V14" s="127"/>
      <x:c r="W14" s="127"/>
      <x:c r="X14" s="127"/>
      <x:c r="Y14" s="127"/>
      <x:c r="Z14" s="127"/>
      <x:c r="AA14" s="127"/>
      <x:c r="AB14" s="127"/>
      <x:c r="AC14" s="127"/>
      <x:c r="AD14" s="127"/>
      <x:c r="AE14" s="67">
        <x:f t="shared" si="1"/>
        <x:v>51053.5</x:v>
      </x:c>
      <x:c r="AF14" s="103"/>
      <x:c r="BC14"/>
    </x:row>
    <x:row r="15" spans="1:55" s="1" customFormat="1" ht="13.5" thickBot="1">
      <x:c r="B15" s="14"/>
      <x:c r="C15" s="20"/>
      <x:c r="D15" s="12"/>
      <x:c r="E15" s="41"/>
      <x:c r="F15" s="12"/>
      <x:c r="G15" s="12"/>
      <x:c r="H15" s="12"/>
      <x:c r="I15" s="12"/>
      <x:c r="J15" s="77"/>
      <x:c r="K15" s="10"/>
      <x:c r="L15" s="10"/>
      <x:c r="M15" s="10"/>
      <x:c r="N15" s="10"/>
      <x:c r="O15" s="10"/>
      <x:c r="P15" s="10"/>
      <x:c r="Q15" s="10"/>
      <x:c r="R15" s="10"/>
      <x:c r="S15" s="10"/>
      <x:c r="T15" s="10"/>
      <x:c r="U15" s="10"/>
      <x:c r="V15" s="10"/>
      <x:c r="W15" s="10"/>
      <x:c r="Z15" s="43"/>
      <x:c r="AA15" s="43"/>
      <x:c r="AB15" s="43"/>
      <x:c r="AC15" s="43"/>
      <x:c r="AD15" s="43" t="s">
        <x:v>36</x:v>
      </x:c>
      <x:c r="AE15" s="58">
        <x:f>(SUM(F14:AD14)/(COUNT(F14:AD14)))</x:f>
        <x:v>51053.5</x:v>
      </x:c>
      <x:c r="AF15" s="104"/>
    </x:row>
    <x:row r="16" spans="1:55" s="1" customFormat="1" ht="12.75">
      <x:c r="B16" s="14"/>
      <x:c r="C16" s="14"/>
      <x:c r="D16" s="14"/>
      <x:c r="E16" s="12"/>
      <x:c r="F16" s="12"/>
      <x:c r="G16" s="12"/>
      <x:c r="H16" s="12"/>
      <x:c r="I16" s="12"/>
      <x:c r="J16" s="12"/>
      <x:c r="K16" s="10"/>
      <x:c r="L16" s="10"/>
      <x:c r="M16" s="10"/>
      <x:c r="N16" s="10"/>
      <x:c r="O16" s="10"/>
      <x:c r="P16" s="10"/>
      <x:c r="Q16" s="10"/>
      <x:c r="R16" s="10"/>
      <x:c r="S16" s="10"/>
      <x:c r="T16" s="10"/>
      <x:c r="U16" s="10"/>
      <x:c r="V16" s="10"/>
      <x:c r="W16" s="10"/>
      <x:c r="X16" s="10"/>
      <x:c r="Y16" s="10"/>
      <x:c r="Z16" s="10"/>
      <x:c r="AA16" s="10"/>
      <x:c r="AB16" s="10"/>
      <x:c r="AC16" s="10"/>
      <x:c r="AD16" s="10"/>
      <x:c r="AE16" s="104"/>
      <x:c r="AF16" s="104"/>
    </x:row>
    <x:row r="17" spans="2:55" s="1" customFormat="1" ht="12.75">
      <x:c r="B17" s="22" t="s">
        <x:v>29</x:v>
      </x:c>
      <x:c r="C17" s="23"/>
      <x:c r="D17" s="23"/>
      <x:c r="E17" s="23"/>
      <x:c r="F17" s="23"/>
      <x:c r="G17" s="23"/>
      <x:c r="H17" s="23"/>
      <x:c r="I17" s="23"/>
      <x:c r="J17" s="23"/>
      <x:c r="K17" s="23"/>
      <x:c r="L17" s="23"/>
      <x:c r="M17" s="23"/>
      <x:c r="N17" s="23"/>
      <x:c r="O17" s="23"/>
      <x:c r="P17" s="23"/>
      <x:c r="Q17" s="23"/>
      <x:c r="R17" s="23"/>
      <x:c r="S17" s="23"/>
      <x:c r="T17" s="23"/>
      <x:c r="U17" s="23"/>
      <x:c r="V17" s="23"/>
      <x:c r="W17" s="23"/>
      <x:c r="X17" s="23"/>
      <x:c r="Y17" s="23"/>
      <x:c r="Z17" s="23"/>
      <x:c r="AA17" s="23"/>
      <x:c r="AB17" s="23"/>
      <x:c r="AC17" s="23"/>
      <x:c r="AD17" s="23"/>
      <x:c r="AE17" s="104"/>
      <x:c r="AF17" s="104"/>
    </x:row>
    <x:row r="18" spans="2:55" s="1" customFormat="1" ht="12.75">
      <x:c r="B18" s="23"/>
      <x:c r="C18" s="23"/>
      <x:c r="D18" s="23"/>
      <x:c r="E18" s="23"/>
      <x:c r="F18" s="23" t="str">
        <x:f>+F6</x:f>
        <x:v>Day 1</x:v>
      </x:c>
      <x:c r="G18" s="23" t="str">
        <x:f t="shared" ref="G18:AD18" si="3">+G6</x:f>
        <x:v>Day 2</x:v>
      </x:c>
      <x:c r="H18" s="23" t="str">
        <x:f t="shared" si="3"/>
        <x:v>Day 3</x:v>
      </x:c>
      <x:c r="I18" s="23" t="str">
        <x:f t="shared" si="3"/>
        <x:v>Day 4</x:v>
      </x:c>
      <x:c r="J18" s="23" t="str">
        <x:f t="shared" si="3"/>
        <x:v>Day 5</x:v>
      </x:c>
      <x:c r="K18" s="23" t="str">
        <x:f t="shared" si="3"/>
        <x:v>Day 6</x:v>
      </x:c>
      <x:c r="L18" s="23" t="str">
        <x:f t="shared" si="3"/>
        <x:v>Day 7</x:v>
      </x:c>
      <x:c r="M18" s="23" t="str">
        <x:f t="shared" si="3"/>
        <x:v>Day 8</x:v>
      </x:c>
      <x:c r="N18" s="23" t="str">
        <x:f t="shared" si="3"/>
        <x:v>Day 9</x:v>
      </x:c>
      <x:c r="O18" s="23" t="str">
        <x:f t="shared" si="3"/>
        <x:v>Day 10</x:v>
      </x:c>
      <x:c r="P18" s="23" t="str">
        <x:f t="shared" si="3"/>
        <x:v>Day 11</x:v>
      </x:c>
      <x:c r="Q18" s="23" t="str">
        <x:f t="shared" si="3"/>
        <x:v>Day 12</x:v>
      </x:c>
      <x:c r="R18" s="23" t="str">
        <x:f t="shared" si="3"/>
        <x:v>Day 13</x:v>
      </x:c>
      <x:c r="S18" s="23" t="str">
        <x:f t="shared" si="3"/>
        <x:v>Day 14</x:v>
      </x:c>
      <x:c r="T18" s="23" t="str">
        <x:f t="shared" si="3"/>
        <x:v>Day 15</x:v>
      </x:c>
      <x:c r="U18" s="23" t="str">
        <x:f t="shared" si="3"/>
        <x:v>Day 16</x:v>
      </x:c>
      <x:c r="V18" s="23" t="str">
        <x:f t="shared" si="3"/>
        <x:v>Day 17</x:v>
      </x:c>
      <x:c r="W18" s="23" t="str">
        <x:f t="shared" si="3"/>
        <x:v>Day 18</x:v>
      </x:c>
      <x:c r="X18" s="23" t="str">
        <x:f t="shared" si="3"/>
        <x:v>Day 19</x:v>
      </x:c>
      <x:c r="Y18" s="23" t="str">
        <x:f t="shared" si="3"/>
        <x:v>Day 20</x:v>
      </x:c>
      <x:c r="Z18" s="23" t="str">
        <x:f t="shared" si="3"/>
        <x:v>Day 21</x:v>
      </x:c>
      <x:c r="AA18" s="23" t="str">
        <x:f t="shared" si="3"/>
        <x:v>Day 22</x:v>
      </x:c>
      <x:c r="AB18" s="23" t="str">
        <x:f t="shared" si="3"/>
        <x:v>Day 23</x:v>
      </x:c>
      <x:c r="AC18" s="23" t="str">
        <x:f t="shared" si="3"/>
        <x:v>Day 24</x:v>
      </x:c>
      <x:c r="AD18" s="23" t="str">
        <x:f t="shared" si="3"/>
        <x:v>Day 25</x:v>
      </x:c>
      <x:c r="AE18" s="104"/>
      <x:c r="AF18" s="104"/>
    </x:row>
    <x:row r="19" spans="2:55" s="1" customFormat="1" ht="12.75">
      <x:c r="B19" s="23" t="s">
        <x:v>0</x:v>
      </x:c>
      <x:c r="C19" s="25">
        <x:f t="shared" ref="C19:C26" si="4">(C7-$C7)/$C7+1</x:f>
        <x:v>1</x:v>
      </x:c>
      <x:c r="D19" s="25"/>
      <x:c r="E19" s="25"/>
      <x:c r="F19" s="25">
        <x:f t="shared" ref="F19:AD26" si="5">(F7-$C7)/$C7+1</x:f>
        <x:v>0.34564705882352942</x:v>
      </x:c>
      <x:c r="G19" s="25">
        <x:f t="shared" si="5"/>
        <x:v>0.19029411764705884</x:v>
      </x:c>
      <x:c r="H19" s="25">
        <x:f t="shared" si="5"/>
        <x:v>0.7297058823529412</x:v>
      </x:c>
      <x:c r="I19" s="25">
        <x:f t="shared" si="5"/>
        <x:v>0.69823529411764707</x:v>
      </x:c>
      <x:c r="J19" s="25">
        <x:f t="shared" si="5"/>
        <x:v>1.2824117647058824</x:v>
      </x:c>
      <x:c r="K19" s="25">
        <x:f t="shared" si="5"/>
        <x:v>0.5708823529411764</x:v>
      </x:c>
      <x:c r="L19" s="25">
        <x:f t="shared" si="5"/>
        <x:v>0.38117647058823534</x:v>
      </x:c>
      <x:c r="M19" s="25">
        <x:f t="shared" si="5"/>
        <x:v>0.69823529411764707</x:v>
      </x:c>
      <x:c r="N19" s="25">
        <x:f t="shared" si="5"/>
        <x:v>0.50794117647058823</x:v>
      </x:c>
      <x:c r="O19" s="25">
        <x:f t="shared" si="5"/>
        <x:v>0.69823529411764707</x:v>
      </x:c>
      <x:c r="P19" s="25">
        <x:f t="shared" si="5"/>
        <x:v>0</x:v>
      </x:c>
      <x:c r="Q19" s="25">
        <x:f t="shared" si="5"/>
        <x:v>0</x:v>
      </x:c>
      <x:c r="R19" s="25">
        <x:f t="shared" si="5"/>
        <x:v>0</x:v>
      </x:c>
      <x:c r="S19" s="25">
        <x:f t="shared" si="5"/>
        <x:v>0</x:v>
      </x:c>
      <x:c r="T19" s="25">
        <x:f t="shared" si="5"/>
        <x:v>0</x:v>
      </x:c>
      <x:c r="U19" s="25">
        <x:f t="shared" si="5"/>
        <x:v>0</x:v>
      </x:c>
      <x:c r="V19" s="25">
        <x:f t="shared" si="5"/>
        <x:v>0</x:v>
      </x:c>
      <x:c r="W19" s="25">
        <x:f t="shared" si="5"/>
        <x:v>0</x:v>
      </x:c>
      <x:c r="X19" s="25">
        <x:f t="shared" si="5"/>
        <x:v>0</x:v>
      </x:c>
      <x:c r="Y19" s="25">
        <x:f t="shared" si="5"/>
        <x:v>0</x:v>
      </x:c>
      <x:c r="Z19" s="25">
        <x:f t="shared" si="5"/>
        <x:v>0</x:v>
      </x:c>
      <x:c r="AA19" s="25">
        <x:f t="shared" si="5"/>
        <x:v>0</x:v>
      </x:c>
      <x:c r="AB19" s="25">
        <x:f t="shared" si="5"/>
        <x:v>0</x:v>
      </x:c>
      <x:c r="AC19" s="25">
        <x:f t="shared" si="5"/>
        <x:v>0</x:v>
      </x:c>
      <x:c r="AD19" s="25">
        <x:f t="shared" si="5"/>
        <x:v>0</x:v>
      </x:c>
      <x:c r="AE19" s="104"/>
      <x:c r="AF19" s="104"/>
    </x:row>
    <x:row r="20" spans="2:55" s="1" customFormat="1" ht="12.75">
      <x:c r="B20" s="23" t="s">
        <x:v>64</x:v>
      </x:c>
      <x:c r="C20" s="25">
        <x:f t="shared" si="4"/>
        <x:v>1</x:v>
      </x:c>
      <x:c r="D20" s="25"/>
      <x:c r="E20" s="25"/>
      <x:c r="F20" s="25">
        <x:f t="shared" si="5"/>
        <x:v>0</x:v>
      </x:c>
      <x:c r="G20" s="25">
        <x:f t="shared" si="5"/>
        <x:v>0</x:v>
      </x:c>
      <x:c r="H20" s="25">
        <x:f t="shared" si="5"/>
        <x:v>0</x:v>
      </x:c>
      <x:c r="I20" s="25">
        <x:f t="shared" si="5"/>
        <x:v>0</x:v>
      </x:c>
      <x:c r="J20" s="25">
        <x:f t="shared" si="5"/>
        <x:v>0</x:v>
      </x:c>
      <x:c r="K20" s="25">
        <x:f t="shared" si="5"/>
        <x:v>0</x:v>
      </x:c>
      <x:c r="L20" s="25">
        <x:f t="shared" si="5"/>
        <x:v>0</x:v>
      </x:c>
      <x:c r="M20" s="25">
        <x:f t="shared" si="5"/>
        <x:v>0</x:v>
      </x:c>
      <x:c r="N20" s="25">
        <x:f t="shared" si="5"/>
        <x:v>0</x:v>
      </x:c>
      <x:c r="O20" s="25">
        <x:f t="shared" si="5"/>
        <x:v>0</x:v>
      </x:c>
      <x:c r="P20" s="25">
        <x:f t="shared" si="5"/>
        <x:v>0</x:v>
      </x:c>
      <x:c r="Q20" s="25">
        <x:f t="shared" si="5"/>
        <x:v>0</x:v>
      </x:c>
      <x:c r="R20" s="25">
        <x:f t="shared" si="5"/>
        <x:v>0</x:v>
      </x:c>
      <x:c r="S20" s="25">
        <x:f t="shared" si="5"/>
        <x:v>0</x:v>
      </x:c>
      <x:c r="T20" s="25">
        <x:f t="shared" si="5"/>
        <x:v>0</x:v>
      </x:c>
      <x:c r="U20" s="25">
        <x:f t="shared" si="5"/>
        <x:v>0</x:v>
      </x:c>
      <x:c r="V20" s="25">
        <x:f t="shared" si="5"/>
        <x:v>0</x:v>
      </x:c>
      <x:c r="W20" s="25">
        <x:f t="shared" si="5"/>
        <x:v>0</x:v>
      </x:c>
      <x:c r="X20" s="25">
        <x:f t="shared" si="5"/>
        <x:v>0</x:v>
      </x:c>
      <x:c r="Y20" s="25">
        <x:f t="shared" si="5"/>
        <x:v>0</x:v>
      </x:c>
      <x:c r="Z20" s="25">
        <x:f t="shared" si="5"/>
        <x:v>0</x:v>
      </x:c>
      <x:c r="AA20" s="25">
        <x:f t="shared" si="5"/>
        <x:v>0</x:v>
      </x:c>
      <x:c r="AB20" s="25">
        <x:f t="shared" si="5"/>
        <x:v>0</x:v>
      </x:c>
      <x:c r="AC20" s="25">
        <x:f t="shared" si="5"/>
        <x:v>0</x:v>
      </x:c>
      <x:c r="AD20" s="25">
        <x:f t="shared" si="5"/>
        <x:v>0</x:v>
      </x:c>
      <x:c r="AE20" s="104"/>
      <x:c r="AF20" s="104"/>
    </x:row>
    <x:row r="21" spans="2:55" s="1" customFormat="1" ht="12.75">
      <x:c r="B21" s="4" t="s">
        <x:v>77</x:v>
      </x:c>
      <x:c r="C21" s="25">
        <x:f t="shared" si="4"/>
        <x:v>1</x:v>
      </x:c>
      <x:c r="D21" s="25"/>
      <x:c r="E21" s="25"/>
      <x:c r="F21" s="25">
        <x:f t="shared" si="5"/>
        <x:v>0.83333333333333337</x:v>
      </x:c>
      <x:c r="G21" s="25">
        <x:f t="shared" si="5"/>
        <x:v>0</x:v>
      </x:c>
      <x:c r="H21" s="25">
        <x:f t="shared" si="5"/>
        <x:v>0.53277777777777779</x:v>
      </x:c>
      <x:c r="I21" s="25">
        <x:f t="shared" si="5"/>
        <x:v>0.18888888888888888</x:v>
      </x:c>
      <x:c r="J21" s="25">
        <x:f t="shared" si="5"/>
        <x:v>0</x:v>
      </x:c>
      <x:c r="K21" s="25">
        <x:f t="shared" si="5"/>
        <x:v>0</x:v>
      </x:c>
      <x:c r="L21" s="25">
        <x:f t="shared" si="5"/>
        <x:v>0.2994444444444444</x:v>
      </x:c>
      <x:c r="M21" s="25">
        <x:f t="shared" si="5"/>
        <x:v>1.3731111111111112</x:v>
      </x:c>
      <x:c r="N21" s="25">
        <x:f t="shared" si="5"/>
        <x:v>0.2994444444444444</x:v>
      </x:c>
      <x:c r="O21" s="25">
        <x:f t="shared" si="5"/>
        <x:v>0.25444444444444447</x:v>
      </x:c>
      <x:c r="P21" s="25">
        <x:f t="shared" si="5"/>
        <x:v>0</x:v>
      </x:c>
      <x:c r="Q21" s="25">
        <x:f t="shared" si="5"/>
        <x:v>0</x:v>
      </x:c>
      <x:c r="R21" s="25">
        <x:f t="shared" si="5"/>
        <x:v>0</x:v>
      </x:c>
      <x:c r="S21" s="25">
        <x:f t="shared" si="5"/>
        <x:v>0</x:v>
      </x:c>
      <x:c r="T21" s="25">
        <x:f t="shared" si="5"/>
        <x:v>0</x:v>
      </x:c>
      <x:c r="U21" s="25">
        <x:f t="shared" si="5"/>
        <x:v>0</x:v>
      </x:c>
      <x:c r="V21" s="25">
        <x:f t="shared" si="5"/>
        <x:v>0</x:v>
      </x:c>
      <x:c r="W21" s="25">
        <x:f t="shared" si="5"/>
        <x:v>0</x:v>
      </x:c>
      <x:c r="X21" s="25">
        <x:f t="shared" si="5"/>
        <x:v>0</x:v>
      </x:c>
      <x:c r="Y21" s="25">
        <x:f t="shared" si="5"/>
        <x:v>0</x:v>
      </x:c>
      <x:c r="Z21" s="25">
        <x:f t="shared" si="5"/>
        <x:v>0</x:v>
      </x:c>
      <x:c r="AA21" s="25">
        <x:f t="shared" si="5"/>
        <x:v>0</x:v>
      </x:c>
      <x:c r="AB21" s="25">
        <x:f t="shared" si="5"/>
        <x:v>0</x:v>
      </x:c>
      <x:c r="AC21" s="25">
        <x:f t="shared" si="5"/>
        <x:v>0</x:v>
      </x:c>
      <x:c r="AD21" s="25">
        <x:f t="shared" si="5"/>
        <x:v>0</x:v>
      </x:c>
      <x:c r="AE21" s="104"/>
      <x:c r="AF21" s="104"/>
    </x:row>
    <x:row r="22" spans="2:55" s="1" customFormat="1" ht="12.75">
      <x:c r="B22" s="4" t="str">
        <x:f>+B10</x:f>
        <x:v>Boston</x:v>
      </x:c>
      <x:c r="C22" s="25">
        <x:f t="shared" si="4"/>
        <x:v>1</x:v>
      </x:c>
      <x:c r="D22" s="25"/>
      <x:c r="E22" s="25"/>
      <x:c r="F22" s="25">
        <x:f>(F10-$C10)/$C10+1</x:f>
        <x:v>1.488</x:v>
      </x:c>
      <x:c r="G22" s="25">
        <x:f t="shared" si="5"/>
        <x:v>1.1989090909090909</x:v>
      </x:c>
      <x:c r="H22" s="25">
        <x:f t="shared" si="5"/>
        <x:v>0.78181818181818186</x:v>
      </x:c>
      <x:c r="I22" s="25">
        <x:f t="shared" si="5"/>
        <x:v>1.1265454545454545</x:v>
      </x:c>
      <x:c r="J22" s="25">
        <x:f t="shared" si="5"/>
        <x:v>0.74472727272727268</x:v>
      </x:c>
      <x:c r="K22" s="25">
        <x:f t="shared" si="5"/>
        <x:v>0.47236363636363632</x:v>
      </x:c>
      <x:c r="L22" s="25">
        <x:f t="shared" si="5"/>
        <x:v>0.58145454545454545</x:v>
      </x:c>
      <x:c r="M22" s="25">
        <x:f t="shared" si="5"/>
        <x:v>1.181090909090909</x:v>
      </x:c>
      <x:c r="N22" s="25">
        <x:f t="shared" si="5"/>
        <x:v>0.69018181818181823</x:v>
      </x:c>
      <x:c r="O22" s="25">
        <x:f t="shared" si="5"/>
        <x:v>0.5127272727272727</x:v>
      </x:c>
      <x:c r="P22" s="25">
        <x:f t="shared" si="5"/>
        <x:v>0</x:v>
      </x:c>
      <x:c r="Q22" s="25">
        <x:f t="shared" si="5"/>
        <x:v>0</x:v>
      </x:c>
      <x:c r="R22" s="25">
        <x:f t="shared" si="5"/>
        <x:v>0</x:v>
      </x:c>
      <x:c r="S22" s="25">
        <x:f t="shared" si="5"/>
        <x:v>0</x:v>
      </x:c>
      <x:c r="T22" s="25">
        <x:f t="shared" si="5"/>
        <x:v>0</x:v>
      </x:c>
      <x:c r="U22" s="25">
        <x:f t="shared" si="5"/>
        <x:v>0</x:v>
      </x:c>
      <x:c r="V22" s="25">
        <x:f t="shared" si="5"/>
        <x:v>0</x:v>
      </x:c>
      <x:c r="W22" s="25">
        <x:f t="shared" si="5"/>
        <x:v>0</x:v>
      </x:c>
      <x:c r="X22" s="25">
        <x:f t="shared" si="5"/>
        <x:v>0</x:v>
      </x:c>
      <x:c r="Y22" s="25">
        <x:f t="shared" si="5"/>
        <x:v>0</x:v>
      </x:c>
      <x:c r="Z22" s="25">
        <x:f t="shared" si="5"/>
        <x:v>0</x:v>
      </x:c>
      <x:c r="AA22" s="25">
        <x:f t="shared" si="5"/>
        <x:v>0</x:v>
      </x:c>
      <x:c r="AB22" s="25">
        <x:f t="shared" si="5"/>
        <x:v>0</x:v>
      </x:c>
      <x:c r="AC22" s="25">
        <x:f t="shared" si="5"/>
        <x:v>0</x:v>
      </x:c>
      <x:c r="AD22" s="25">
        <x:f t="shared" si="5"/>
        <x:v>0</x:v>
      </x:c>
      <x:c r="AE22" s="104"/>
      <x:c r="AF22" s="104"/>
    </x:row>
    <x:row r="23" spans="2:55" s="1" customFormat="1" ht="12.75">
      <x:c r="B23" s="23" t="s">
        <x:v>2</x:v>
      </x:c>
      <x:c r="C23" s="25">
        <x:f t="shared" si="4"/>
        <x:v>1</x:v>
      </x:c>
      <x:c r="D23" s="25"/>
      <x:c r="E23" s="25"/>
      <x:c r="F23" s="25">
        <x:f t="shared" ref="F23:Y26" si="6">(F11-$C11)/$C11+1</x:f>
        <x:v>0.79843750000000002</x:v>
      </x:c>
      <x:c r="G23" s="25">
        <x:f t="shared" si="6"/>
        <x:v>0.54583333333333339</x:v>
      </x:c>
      <x:c r="H23" s="25">
        <x:f t="shared" si="6"/>
        <x:v>0.62395833333333339</x:v>
      </x:c>
      <x:c r="I23" s="25">
        <x:f t="shared" si="6"/>
        <x:v>0.88437500000000002</x:v>
      </x:c>
      <x:c r="J23" s="25">
        <x:f t="shared" si="6"/>
        <x:v>0.87656250000000002</x:v>
      </x:c>
      <x:c r="K23" s="25">
        <x:f t="shared" si="6"/>
        <x:v>0.98906249999999996</x:v>
      </x:c>
      <x:c r="L23" s="25">
        <x:f t="shared" si="6"/>
        <x:v>0.64531249999999996</x:v>
      </x:c>
      <x:c r="M23" s="25">
        <x:f t="shared" si="6"/>
        <x:v>0.72760416666666661</x:v>
      </x:c>
      <x:c r="N23" s="25">
        <x:f t="shared" si="6"/>
        <x:v>0.3119791666666667</x:v>
      </x:c>
      <x:c r="O23" s="25">
        <x:f t="shared" si="6"/>
        <x:v>0.84593750000000001</x:v>
      </x:c>
      <x:c r="P23" s="25">
        <x:f t="shared" si="6"/>
        <x:v>0</x:v>
      </x:c>
      <x:c r="Q23" s="25">
        <x:f t="shared" si="6"/>
        <x:v>0</x:v>
      </x:c>
      <x:c r="R23" s="25">
        <x:f t="shared" si="6"/>
        <x:v>0</x:v>
      </x:c>
      <x:c r="S23" s="25">
        <x:f t="shared" si="6"/>
        <x:v>0</x:v>
      </x:c>
      <x:c r="T23" s="25">
        <x:f t="shared" si="6"/>
        <x:v>0</x:v>
      </x:c>
      <x:c r="U23" s="25">
        <x:f t="shared" si="6"/>
        <x:v>0</x:v>
      </x:c>
      <x:c r="V23" s="25">
        <x:f t="shared" si="5"/>
        <x:v>0</x:v>
      </x:c>
      <x:c r="W23" s="25">
        <x:f t="shared" si="5"/>
        <x:v>0</x:v>
      </x:c>
      <x:c r="X23" s="25">
        <x:f t="shared" si="5"/>
        <x:v>0</x:v>
      </x:c>
      <x:c r="Y23" s="25">
        <x:f t="shared" si="6"/>
        <x:v>0</x:v>
      </x:c>
      <x:c r="Z23" s="25">
        <x:f t="shared" si="5"/>
        <x:v>0</x:v>
      </x:c>
      <x:c r="AA23" s="25">
        <x:f t="shared" si="5"/>
        <x:v>0</x:v>
      </x:c>
      <x:c r="AB23" s="25">
        <x:f t="shared" si="5"/>
        <x:v>0</x:v>
      </x:c>
      <x:c r="AC23" s="25">
        <x:f t="shared" si="5"/>
        <x:v>0</x:v>
      </x:c>
      <x:c r="AD23" s="25">
        <x:f t="shared" si="5"/>
        <x:v>0</x:v>
      </x:c>
      <x:c r="AE23" s="104"/>
      <x:c r="AF23" s="104"/>
    </x:row>
    <x:row r="24" spans="2:55" s="1" customFormat="1" ht="12.75">
      <x:c r="B24" s="4" t="s">
        <x:v>99</x:v>
      </x:c>
      <x:c r="C24" s="25">
        <x:f t="shared" si="4"/>
        <x:v>1</x:v>
      </x:c>
      <x:c r="D24" s="25"/>
      <x:c r="E24" s="25"/>
      <x:c r="F24" s="25">
        <x:f t="shared" si="6"/>
        <x:v>0.23529411764705888</x:v>
      </x:c>
      <x:c r="G24" s="25">
        <x:f t="shared" si="6"/>
        <x:v>0</x:v>
      </x:c>
      <x:c r="H24" s="25">
        <x:f t="shared" si="6"/>
        <x:v>0</x:v>
      </x:c>
      <x:c r="I24" s="25">
        <x:f t="shared" si="6"/>
        <x:v>0</x:v>
      </x:c>
      <x:c r="J24" s="25">
        <x:f t="shared" si="6"/>
        <x:v>0.19035294117647061</x:v>
      </x:c>
      <x:c r="K24" s="25">
        <x:f t="shared" si="6"/>
        <x:v>0</x:v>
      </x:c>
      <x:c r="L24" s="25">
        <x:f t="shared" si="6"/>
        <x:v>0</x:v>
      </x:c>
      <x:c r="M24" s="25">
        <x:f t="shared" si="6"/>
        <x:v>0</x:v>
      </x:c>
      <x:c r="N24" s="25">
        <x:f t="shared" si="6"/>
        <x:v>0</x:v>
      </x:c>
      <x:c r="O24" s="25">
        <x:f t="shared" si="6"/>
        <x:v>0</x:v>
      </x:c>
      <x:c r="P24" s="25">
        <x:f t="shared" si="6"/>
        <x:v>0</x:v>
      </x:c>
      <x:c r="Q24" s="25">
        <x:f t="shared" si="6"/>
        <x:v>0</x:v>
      </x:c>
      <x:c r="R24" s="25">
        <x:f t="shared" si="6"/>
        <x:v>0</x:v>
      </x:c>
      <x:c r="S24" s="25">
        <x:f t="shared" si="6"/>
        <x:v>0</x:v>
      </x:c>
      <x:c r="T24" s="25">
        <x:f t="shared" si="6"/>
        <x:v>0</x:v>
      </x:c>
      <x:c r="U24" s="25">
        <x:f t="shared" si="6"/>
        <x:v>0</x:v>
      </x:c>
      <x:c r="V24" s="25">
        <x:f t="shared" si="5"/>
        <x:v>0</x:v>
      </x:c>
      <x:c r="W24" s="25">
        <x:f t="shared" si="5"/>
        <x:v>0</x:v>
      </x:c>
      <x:c r="X24" s="25">
        <x:f t="shared" si="5"/>
        <x:v>0</x:v>
      </x:c>
      <x:c r="Y24" s="25">
        <x:f t="shared" si="6"/>
        <x:v>0</x:v>
      </x:c>
      <x:c r="Z24" s="25">
        <x:f t="shared" si="5"/>
        <x:v>0</x:v>
      </x:c>
      <x:c r="AA24" s="25">
        <x:f t="shared" si="5"/>
        <x:v>0</x:v>
      </x:c>
      <x:c r="AB24" s="25">
        <x:f t="shared" si="5"/>
        <x:v>0</x:v>
      </x:c>
      <x:c r="AC24" s="25">
        <x:f t="shared" si="5"/>
        <x:v>0</x:v>
      </x:c>
      <x:c r="AD24" s="25">
        <x:f t="shared" si="5"/>
        <x:v>0</x:v>
      </x:c>
      <x:c r="AE24" s="104"/>
      <x:c r="AF24" s="104"/>
    </x:row>
    <x:row r="25" spans="2:55" s="1" customFormat="1" ht="12.75">
      <x:c r="B25" s="23" t="s">
        <x:v>3</x:v>
      </x:c>
      <x:c r="C25" s="27">
        <x:f t="shared" si="4"/>
        <x:v>1</x:v>
      </x:c>
      <x:c r="D25" s="27"/>
      <x:c r="E25" s="27"/>
      <x:c r="F25" s="27">
        <x:f t="shared" si="6"/>
        <x:v>1.1330686330119115</x:v>
      </x:c>
      <x:c r="G25" s="27">
        <x:f t="shared" si="6"/>
        <x:v>0.72183777651730008</x:v>
      </x:c>
      <x:c r="H25" s="27">
        <x:f t="shared" si="6"/>
        <x:v>0.86267725467952361</x:v>
      </x:c>
      <x:c r="I25" s="27">
        <x:f t="shared" si="6"/>
        <x:v>1.4578559273964833</x:v>
      </x:c>
      <x:c r="J25" s="27">
        <x:f t="shared" si="6"/>
        <x:v>1.9434486670448101</x:v>
      </x:c>
      <x:c r="K25" s="27">
        <x:f t="shared" si="6"/>
        <x:v>0.77685762904140665</x:v>
      </x:c>
      <x:c r="L25" s="27">
        <x:f t="shared" si="6"/>
        <x:v>0.69897901304594434</x:v>
      </x:c>
      <x:c r="M25" s="27">
        <x:f t="shared" si="6"/>
        <x:v>0.89058423142370957</x:v>
      </x:c>
      <x:c r="N25" s="27">
        <x:f t="shared" si="6"/>
        <x:v>1.1549064095292116</x:v>
      </x:c>
      <x:c r="O25" s="27">
        <x:f t="shared" si="6"/>
        <x:v>0.60709018718094154</x:v>
      </x:c>
      <x:c r="P25" s="27">
        <x:f t="shared" si="6"/>
        <x:v>0</x:v>
      </x:c>
      <x:c r="Q25" s="27">
        <x:f t="shared" si="6"/>
        <x:v>0</x:v>
      </x:c>
      <x:c r="R25" s="27">
        <x:f t="shared" si="6"/>
        <x:v>0</x:v>
      </x:c>
      <x:c r="S25" s="27">
        <x:f t="shared" si="6"/>
        <x:v>0</x:v>
      </x:c>
      <x:c r="T25" s="27">
        <x:f t="shared" si="6"/>
        <x:v>0</x:v>
      </x:c>
      <x:c r="U25" s="27">
        <x:f t="shared" si="6"/>
        <x:v>0</x:v>
      </x:c>
      <x:c r="V25" s="27">
        <x:f t="shared" si="5"/>
        <x:v>0</x:v>
      </x:c>
      <x:c r="W25" s="27">
        <x:f t="shared" si="5"/>
        <x:v>0</x:v>
      </x:c>
      <x:c r="X25" s="27">
        <x:f t="shared" si="5"/>
        <x:v>0</x:v>
      </x:c>
      <x:c r="Y25" s="27">
        <x:f t="shared" si="6"/>
        <x:v>0</x:v>
      </x:c>
      <x:c r="Z25" s="27">
        <x:f t="shared" si="5"/>
        <x:v>0</x:v>
      </x:c>
      <x:c r="AA25" s="27">
        <x:f t="shared" si="5"/>
        <x:v>0</x:v>
      </x:c>
      <x:c r="AB25" s="27">
        <x:f t="shared" si="5"/>
        <x:v>0</x:v>
      </x:c>
      <x:c r="AC25" s="27">
        <x:f t="shared" si="5"/>
        <x:v>0</x:v>
      </x:c>
      <x:c r="AD25" s="27">
        <x:f t="shared" si="5"/>
        <x:v>0</x:v>
      </x:c>
      <x:c r="AE25" s="104"/>
      <x:c r="AF25" s="104"/>
    </x:row>
    <x:row r="26" spans="2:55" s="1" customFormat="1" ht="12.75">
      <x:c r="B26" s="29" t="s">
        <x:v>27</x:v>
      </x:c>
      <x:c r="C26" s="25">
        <x:f t="shared" si="4"/>
        <x:v>1</x:v>
      </x:c>
      <x:c r="D26" s="25"/>
      <x:c r="E26" s="25"/>
      <x:c r="F26" s="25">
        <x:f>(F14-$C14)/$C14+1</x:f>
        <x:v>0.77872366945033034</x:v>
      </x:c>
      <x:c r="G26" s="25">
        <x:f t="shared" si="6"/>
        <x:v>0.46972454194191704</x:v>
      </x:c>
      <x:c r="H26" s="25">
        <x:f t="shared" si="6"/>
        <x:v>0.6126012713448834</x:v>
      </x:c>
      <x:c r="I26" s="25">
        <x:f t="shared" si="6"/>
        <x:v>0.78838339773152188</x:v>
      </x:c>
      <x:c r="J26" s="25">
        <x:f>(J14-$C14)/$C14+1</x:f>
        <x:v>0.94139349370559644</x:v>
      </x:c>
      <x:c r="K26" s="25">
        <x:f>(K14-$C14)/$C14+1</x:f>
        <x:v>0.49097594416053847</x:v>
      </x:c>
      <x:c r="L26" s="25">
        <x:f>(L14-$C14)/$C14+1</x:f>
        <x:v>0.44482113922472888</x:v>
      </x:c>
      <x:c r="M26" s="25">
        <x:f t="shared" si="6"/>
        <x:v>0.7871619095101583</x:v>
      </x:c>
      <x:c r="N26" s="25">
        <x:f t="shared" si="6"/>
        <x:v>0.55061697619344385</x:v>
      </x:c>
      <x:c r="O26" s="25">
        <x:f t="shared" si="6"/>
        <x:v>0.49899040259254646</x:v>
      </x:c>
      <x:c r="P26" s="25">
        <x:f t="shared" si="6"/>
        <x:v>0</x:v>
      </x:c>
      <x:c r="Q26" s="25">
        <x:f t="shared" si="6"/>
        <x:v>0</x:v>
      </x:c>
      <x:c r="R26" s="25">
        <x:f t="shared" si="6"/>
        <x:v>0</x:v>
      </x:c>
      <x:c r="S26" s="25">
        <x:f>(S14-$C14)/$C14+1</x:f>
        <x:v>0</x:v>
      </x:c>
      <x:c r="T26" s="25">
        <x:f>(T14-$C14)/$C14+1</x:f>
        <x:v>0</x:v>
      </x:c>
      <x:c r="U26" s="25">
        <x:f>(U14-$C14)/$C14+1</x:f>
        <x:v>0</x:v>
      </x:c>
      <x:c r="V26" s="25">
        <x:f t="shared" si="5"/>
        <x:v>0</x:v>
      </x:c>
      <x:c r="W26" s="25">
        <x:f t="shared" si="5"/>
        <x:v>0</x:v>
      </x:c>
      <x:c r="X26" s="25">
        <x:f t="shared" si="5"/>
        <x:v>0</x:v>
      </x:c>
      <x:c r="Y26" s="25">
        <x:f t="shared" si="6"/>
        <x:v>0</x:v>
      </x:c>
      <x:c r="Z26" s="25">
        <x:f t="shared" si="5"/>
        <x:v>0</x:v>
      </x:c>
      <x:c r="AA26" s="25">
        <x:f t="shared" si="5"/>
        <x:v>0</x:v>
      </x:c>
      <x:c r="AB26" s="25">
        <x:f t="shared" si="5"/>
        <x:v>0</x:v>
      </x:c>
      <x:c r="AC26" s="25">
        <x:f t="shared" si="5"/>
        <x:v>0</x:v>
      </x:c>
      <x:c r="AD26" s="25">
        <x:f t="shared" si="5"/>
        <x:v>0</x:v>
      </x:c>
      <x:c r="AE26" s="104"/>
      <x:c r="AF26" s="104"/>
    </x:row>
    <x:row r="27" spans="2:55">
      <x:c r="B27" s="4"/>
      <x:c r="C27" s="4"/>
      <x:c r="D27" s="4"/>
      <x:c r="E27" s="4"/>
      <x:c r="F27" s="4"/>
      <x:c r="G27" s="4"/>
      <x:c r="H27" s="4"/>
      <x:c r="I27" s="4"/>
      <x:c r="J27" s="4"/>
      <x:c r="K27" s="4"/>
      <x:c r="L27" s="4"/>
      <x:c r="M27" s="4"/>
      <x:c r="N27" s="4"/>
      <x:c r="O27" s="4"/>
      <x:c r="P27" s="4"/>
      <x:c r="Q27" s="4"/>
      <x:c r="R27" s="4"/>
      <x:c r="S27" s="4"/>
      <x:c r="T27" s="4"/>
      <x:c r="U27" s="4"/>
      <x:c r="V27" s="4"/>
      <x:c r="W27" s="4"/>
      <x:c r="X27" s="4"/>
      <x:c r="Y27" s="4"/>
      <x:c r="Z27" s="4"/>
      <x:c r="AA27" s="4"/>
      <x:c r="AB27" s="4"/>
      <x:c r="AC27" s="4"/>
      <x:c r="AD27" s="4"/>
      <x:c r="AE27" s="103"/>
      <x:c r="AF27" s="103"/>
      <x:c r="BC27"/>
    </x:row>
    <x:row r="28" spans="2:55">
      <x:c r="B28" s="9" t="s">
        <x:v>33</x:v>
      </x:c>
      <x:c r="C28" s="4"/>
      <x:c r="D28" s="4"/>
      <x:c r="E28" s="4"/>
      <x:c r="F28" s="49">
        <x:f>+F2/$Y$2</x:f>
        <x:v>0.05</x:v>
      </x:c>
      <x:c r="G28" s="49">
        <x:f t="shared" ref="G28:AD28" si="7">+G2/$Y$2</x:f>
        <x:v>0.1</x:v>
      </x:c>
      <x:c r="H28" s="49">
        <x:f t="shared" si="7"/>
        <x:v>0.15</x:v>
      </x:c>
      <x:c r="I28" s="49">
        <x:f t="shared" si="7"/>
        <x:v>0.2</x:v>
      </x:c>
      <x:c r="J28" s="49">
        <x:f t="shared" si="7"/>
        <x:v>0.25</x:v>
      </x:c>
      <x:c r="K28" s="49">
        <x:f t="shared" si="7"/>
        <x:v>0.3</x:v>
      </x:c>
      <x:c r="L28" s="49">
        <x:f t="shared" si="7"/>
        <x:v>0.35</x:v>
      </x:c>
      <x:c r="M28" s="49">
        <x:f t="shared" si="7"/>
        <x:v>0.4</x:v>
      </x:c>
      <x:c r="N28" s="49">
        <x:f t="shared" si="7"/>
        <x:v>0.45</x:v>
      </x:c>
      <x:c r="O28" s="49">
        <x:f t="shared" si="7"/>
        <x:v>0.5</x:v>
      </x:c>
      <x:c r="P28" s="49">
        <x:f t="shared" si="7"/>
        <x:v>0.55000000000000004</x:v>
      </x:c>
      <x:c r="Q28" s="49">
        <x:f t="shared" si="7"/>
        <x:v>0.6</x:v>
      </x:c>
      <x:c r="R28" s="49">
        <x:f t="shared" si="7"/>
        <x:v>0.65</x:v>
      </x:c>
      <x:c r="S28" s="49">
        <x:f t="shared" si="7"/>
        <x:v>0.7</x:v>
      </x:c>
      <x:c r="T28" s="49">
        <x:f t="shared" si="7"/>
        <x:v>0.75</x:v>
      </x:c>
      <x:c r="U28" s="49">
        <x:f t="shared" si="7"/>
        <x:v>0.8</x:v>
      </x:c>
      <x:c r="V28" s="49">
        <x:f t="shared" si="7"/>
        <x:v>0.85</x:v>
      </x:c>
      <x:c r="W28" s="49">
        <x:f t="shared" si="7"/>
        <x:v>0.9</x:v>
      </x:c>
      <x:c r="X28" s="49">
        <x:f t="shared" si="7"/>
        <x:v>0.95</x:v>
      </x:c>
      <x:c r="Y28" s="49">
        <x:f t="shared" si="7"/>
        <x:v>1</x:v>
      </x:c>
      <x:c r="Z28" s="49">
        <x:f t="shared" si="7"/>
        <x:v>1.05</x:v>
      </x:c>
      <x:c r="AA28" s="49">
        <x:f t="shared" si="7"/>
        <x:v>1.1000000000000001</x:v>
      </x:c>
      <x:c r="AB28" s="49">
        <x:f t="shared" si="7"/>
        <x:v>1.1499999999999999</x:v>
      </x:c>
      <x:c r="AC28" s="49">
        <x:f t="shared" si="7"/>
        <x:v>1.2</x:v>
      </x:c>
      <x:c r="AD28" s="49">
        <x:f t="shared" si="7"/>
        <x:v>1.25</x:v>
      </x:c>
      <x:c r="AE28" s="105" t="s">
        <x:v>39</x:v>
      </x:c>
      <x:c r="AF28" s="106" t="s">
        <x:v>37</x:v>
      </x:c>
      <x:c r="BC28"/>
    </x:row>
    <x:row r="29" spans="2:55">
      <x:c r="B29" s="4"/>
      <x:c r="C29" s="4"/>
      <x:c r="D29" s="4"/>
      <x:c r="E29" s="4"/>
      <x:c r="F29" s="4" t="str">
        <x:f t="shared" ref="F29:AD29" si="8">+F18</x:f>
        <x:v>Day 1</x:v>
      </x:c>
      <x:c r="G29" s="4" t="str">
        <x:f t="shared" si="8"/>
        <x:v>Day 2</x:v>
      </x:c>
      <x:c r="H29" s="4" t="str">
        <x:f t="shared" si="8"/>
        <x:v>Day 3</x:v>
      </x:c>
      <x:c r="I29" s="4" t="str">
        <x:f t="shared" si="8"/>
        <x:v>Day 4</x:v>
      </x:c>
      <x:c r="J29" s="4" t="str">
        <x:f t="shared" si="8"/>
        <x:v>Day 5</x:v>
      </x:c>
      <x:c r="K29" s="4" t="str">
        <x:f t="shared" si="8"/>
        <x:v>Day 6</x:v>
      </x:c>
      <x:c r="L29" s="4" t="str">
        <x:f t="shared" si="8"/>
        <x:v>Day 7</x:v>
      </x:c>
      <x:c r="M29" s="4" t="str">
        <x:f t="shared" si="8"/>
        <x:v>Day 8</x:v>
      </x:c>
      <x:c r="N29" s="4" t="str">
        <x:f t="shared" si="8"/>
        <x:v>Day 9</x:v>
      </x:c>
      <x:c r="O29" s="4" t="str">
        <x:f t="shared" si="8"/>
        <x:v>Day 10</x:v>
      </x:c>
      <x:c r="P29" s="4" t="str">
        <x:f t="shared" si="8"/>
        <x:v>Day 11</x:v>
      </x:c>
      <x:c r="Q29" s="4" t="str">
        <x:f t="shared" si="8"/>
        <x:v>Day 12</x:v>
      </x:c>
      <x:c r="R29" s="4" t="str">
        <x:f t="shared" si="8"/>
        <x:v>Day 13</x:v>
      </x:c>
      <x:c r="S29" s="4" t="str">
        <x:f t="shared" si="8"/>
        <x:v>Day 14</x:v>
      </x:c>
      <x:c r="T29" s="4" t="str">
        <x:f t="shared" si="8"/>
        <x:v>Day 15</x:v>
      </x:c>
      <x:c r="U29" s="4" t="str">
        <x:f t="shared" si="8"/>
        <x:v>Day 16</x:v>
      </x:c>
      <x:c r="V29" s="4" t="str">
        <x:f t="shared" si="8"/>
        <x:v>Day 17</x:v>
      </x:c>
      <x:c r="W29" s="4" t="str">
        <x:f t="shared" si="8"/>
        <x:v>Day 18</x:v>
      </x:c>
      <x:c r="X29" s="4" t="str">
        <x:f t="shared" si="8"/>
        <x:v>Day 19</x:v>
      </x:c>
      <x:c r="Y29" s="4" t="str">
        <x:f t="shared" si="8"/>
        <x:v>Day 20</x:v>
      </x:c>
      <x:c r="Z29" s="4" t="str">
        <x:f t="shared" si="8"/>
        <x:v>Day 21</x:v>
      </x:c>
      <x:c r="AA29" s="4" t="str">
        <x:f t="shared" si="8"/>
        <x:v>Day 22</x:v>
      </x:c>
      <x:c r="AB29" s="4" t="str">
        <x:f t="shared" si="8"/>
        <x:v>Day 23</x:v>
      </x:c>
      <x:c r="AC29" s="4" t="str">
        <x:f t="shared" si="8"/>
        <x:v>Day 24</x:v>
      </x:c>
      <x:c r="AD29" s="4" t="str">
        <x:f t="shared" si="8"/>
        <x:v>Day 25</x:v>
      </x:c>
      <x:c r="AE29" s="107" t="s">
        <x:v>40</x:v>
      </x:c>
      <x:c r="AF29" s="108" t="s">
        <x:v>38</x:v>
      </x:c>
      <x:c r="BC29"/>
    </x:row>
    <x:row r="30" spans="2:55">
      <x:c r="B30" s="4" t="str">
        <x:f>+B19</x:f>
        <x:v>San Diego</x:v>
      </x:c>
      <x:c r="C30" s="4"/>
      <x:c r="D30" s="4"/>
      <x:c r="E30" s="23"/>
      <x:c r="F30" s="180">
        <x:v>7491</x:v>
      </x:c>
      <x:c r="G30" s="34">
        <x:v>10726</x:v>
      </x:c>
      <x:c r="H30" s="34">
        <x:v>23131</x:v>
      </x:c>
      <x:c r="I30" s="34">
        <x:v>35001</x:v>
      </x:c>
      <x:c r="J30" s="34">
        <x:v>53567</x:v>
      </x:c>
      <x:c r="K30" s="34">
        <x:v>63272</x:v>
      </x:c>
      <x:c r="L30" s="34">
        <x:v>69752</x:v>
      </x:c>
      <x:c r="M30" s="34">
        <x:v>81622</x:v>
      </x:c>
      <x:c r="N30" s="34">
        <x:v>90257</x:v>
      </x:c>
      <x:c r="O30" s="34">
        <x:v>102127</x:v>
      </x:c>
      <x:c r="P30" s="34"/>
      <x:c r="Q30" s="34"/>
      <x:c r="R30" s="34"/>
      <x:c r="S30" s="34"/>
      <x:c r="T30" s="34"/>
      <x:c r="U30" s="34"/>
      <x:c r="V30" s="34"/>
      <x:c r="W30" s="34"/>
      <x:c r="X30" s="34"/>
      <x:c r="Y30" s="34"/>
      <x:c r="Z30" s="34"/>
      <x:c r="AA30" s="34"/>
      <x:c r="AB30" s="34"/>
      <x:c r="AC30" s="34"/>
      <x:c r="AD30" s="34"/>
      <x:c r="AE30" s="109">
        <x:f>INDEX(F30:Y30,0,COUNT(F30:Y30))/C53</x:f>
        <x:v>0.30037352941176471</x:v>
      </x:c>
      <x:c r="AF30" s="145">
        <x:f>AE30-((COUNT(F30:Y30)*5)/100)</x:f>
        <x:v>-0.19962647058823529</x:v>
      </x:c>
      <x:c r="BC30"/>
    </x:row>
    <x:row r="31" spans="2:55">
      <x:c r="B31" s="4" t="str">
        <x:f>+B20</x:f>
        <x:v>Latin America</x:v>
      </x:c>
      <x:c r="C31" s="4"/>
      <x:c r="D31" s="4"/>
      <x:c r="E31" s="23"/>
      <x:c r="F31" s="34">
        <x:v>0</x:v>
      </x:c>
      <x:c r="G31" s="34">
        <x:v>0</x:v>
      </x:c>
      <x:c r="H31" s="34">
        <x:v>0</x:v>
      </x:c>
      <x:c r="I31" s="34">
        <x:v>0</x:v>
      </x:c>
      <x:c r="J31" s="34">
        <x:v>0</x:v>
      </x:c>
      <x:c r="K31" s="34">
        <x:v>0</x:v>
      </x:c>
      <x:c r="L31" s="34">
        <x:v>0</x:v>
      </x:c>
      <x:c r="M31" s="34">
        <x:v>0</x:v>
      </x:c>
      <x:c r="N31" s="34">
        <x:v>0</x:v>
      </x:c>
      <x:c r="O31" s="34">
        <x:v>0</x:v>
      </x:c>
      <x:c r="P31" s="34"/>
      <x:c r="Q31" s="34"/>
      <x:c r="R31" s="34"/>
      <x:c r="S31" s="34"/>
      <x:c r="T31" s="34"/>
      <x:c r="U31" s="34"/>
      <x:c r="V31" s="34"/>
      <x:c r="W31" s="34"/>
      <x:c r="X31" s="34"/>
      <x:c r="Y31" s="34"/>
      <x:c r="Z31" s="34"/>
      <x:c r="AA31" s="34"/>
      <x:c r="AB31" s="34"/>
      <x:c r="AC31" s="34"/>
      <x:c r="AD31" s="34"/>
      <x:c r="AE31" s="109">
        <x:f t="shared" ref="AE31:AE37" si="9">INDEX(F31:Y31,0,COUNT(F31:Y31))/C54</x:f>
        <x:v>0</x:v>
      </x:c>
      <x:c r="AF31" s="145">
        <x:f t="shared" ref="AF31:AF37" si="10">AE31-((COUNT(F31:Y31)*5)/100)</x:f>
        <x:v>-0.5</x:v>
      </x:c>
      <x:c r="BC31"/>
    </x:row>
    <x:row r="32" spans="2:55">
      <x:c r="B32" s="4" t="str">
        <x:f>+B21</x:f>
        <x:v>Brazil</x:v>
      </x:c>
      <x:c r="C32" s="4"/>
      <x:c r="D32" s="4"/>
      <x:c r="E32" s="23"/>
      <x:c r="F32" s="34">
        <x:v>5795</x:v>
      </x:c>
      <x:c r="G32" s="34">
        <x:v>5795</x:v>
      </x:c>
      <x:c r="H32" s="34">
        <x:v>10590</x:v>
      </x:c>
      <x:c r="I32" s="34">
        <x:v>12290</x:v>
      </x:c>
      <x:c r="J32" s="34">
        <x:v>12290</x:v>
      </x:c>
      <x:c r="K32" s="34">
        <x:v>12290</x:v>
      </x:c>
      <x:c r="L32" s="34">
        <x:v>14985</x:v>
      </x:c>
      <x:c r="M32" s="34">
        <x:v>27343</x:v>
      </x:c>
      <x:c r="N32" s="34">
        <x:v>30038</x:v>
      </x:c>
      <x:c r="O32" s="34">
        <x:v>32328</x:v>
      </x:c>
      <x:c r="P32" s="34"/>
      <x:c r="Q32" s="34"/>
      <x:c r="R32" s="34"/>
      <x:c r="S32" s="34"/>
      <x:c r="T32" s="34"/>
      <x:c r="U32" s="34"/>
      <x:c r="V32" s="34"/>
      <x:c r="W32" s="34"/>
      <x:c r="X32" s="34"/>
      <x:c r="Y32" s="34"/>
      <x:c r="Z32" s="34"/>
      <x:c r="AA32" s="34"/>
      <x:c r="AB32" s="34"/>
      <x:c r="AC32" s="34"/>
      <x:c r="AD32" s="34"/>
      <x:c r="AE32" s="109">
        <x:f t="shared" si="9"/>
        <x:v>0.17960000000000001</x:v>
      </x:c>
      <x:c r="AF32" s="145">
        <x:f t="shared" si="10"/>
        <x:v>-0.32040000000000002</x:v>
      </x:c>
      <x:c r="BC32"/>
    </x:row>
    <x:row r="33" spans="2:55">
      <x:c r="B33" s="4" t="str">
        <x:f>+B22</x:f>
        <x:v>Boston</x:v>
      </x:c>
      <x:c r="C33" s="4"/>
      <x:c r="D33" s="4"/>
      <x:c r="E33" s="23"/>
      <x:c r="F33" s="34">
        <x:v>0</x:v>
      </x:c>
      <x:c r="G33" s="34">
        <x:v>13490</x:v>
      </x:c>
      <x:c r="H33" s="34">
        <x:v>24240</x:v>
      </x:c>
      <x:c r="I33" s="34">
        <x:v>39730</x:v>
      </x:c>
      <x:c r="J33" s="34">
        <x:v>39730</x:v>
      </x:c>
      <x:c r="K33" s="34">
        <x:v>41225</x:v>
      </x:c>
      <x:c r="L33" s="34">
        <x:v>41225</x:v>
      </x:c>
      <x:c r="M33" s="34">
        <x:v>60460</x:v>
      </x:c>
      <x:c r="N33" s="34">
        <x:v>64455</x:v>
      </x:c>
      <x:c r="O33" s="34">
        <x:v>64455</x:v>
      </x:c>
      <x:c r="P33" s="34"/>
      <x:c r="Q33" s="34"/>
      <x:c r="R33" s="34"/>
      <x:c r="S33" s="34"/>
      <x:c r="T33" s="34"/>
      <x:c r="U33" s="34"/>
      <x:c r="V33" s="34"/>
      <x:c r="W33" s="34"/>
      <x:c r="X33" s="34"/>
      <x:c r="Y33" s="34"/>
      <x:c r="Z33" s="34"/>
      <x:c r="AA33" s="34"/>
      <x:c r="AB33" s="34"/>
      <x:c r="AC33" s="34"/>
      <x:c r="AD33" s="34"/>
      <x:c r="AE33" s="109">
        <x:f t="shared" si="9"/>
        <x:v>0.23438181818181819</x:v>
      </x:c>
      <x:c r="AF33" s="145">
        <x:f t="shared" si="10"/>
        <x:v>-0.26561818181818181</x:v>
      </x:c>
      <x:c r="BC33"/>
    </x:row>
    <x:row r="34" spans="2:55" s="4" customFormat="1" ht="12.75">
      <x:c r="B34" s="4" t="str">
        <x:f>+B23</x:f>
        <x:v>Canada</x:v>
      </x:c>
      <x:c r="E34" s="23"/>
      <x:c r="F34" s="34">
        <x:v>7665</x:v>
      </x:c>
      <x:c r="G34" s="34">
        <x:v>12905</x:v>
      </x:c>
      <x:c r="H34" s="34">
        <x:v>18895</x:v>
      </x:c>
      <x:c r="I34" s="34">
        <x:v>27385</x:v>
      </x:c>
      <x:c r="J34" s="34">
        <x:v>35800</x:v>
      </x:c>
      <x:c r="K34" s="34">
        <x:v>45295</x:v>
      </x:c>
      <x:c r="L34" s="34">
        <x:v>51490</x:v>
      </x:c>
      <x:c r="M34" s="34">
        <x:v>58475</x:v>
      </x:c>
      <x:c r="N34" s="34">
        <x:v>58475</x:v>
      </x:c>
      <x:c r="O34" s="34">
        <x:v>64096</x:v>
      </x:c>
      <x:c r="P34" s="34"/>
      <x:c r="Q34" s="34"/>
      <x:c r="R34" s="34"/>
      <x:c r="S34" s="34"/>
      <x:c r="T34" s="34"/>
      <x:c r="U34" s="34"/>
      <x:c r="V34" s="34"/>
      <x:c r="W34" s="34"/>
      <x:c r="X34" s="34"/>
      <x:c r="Y34" s="34"/>
      <x:c r="Z34" s="34"/>
      <x:c r="AA34" s="34"/>
      <x:c r="AB34" s="34"/>
      <x:c r="AC34" s="34"/>
      <x:c r="AD34" s="34"/>
      <x:c r="AE34" s="109">
        <x:f t="shared" si="9"/>
        <x:v>0.33383333333333332</x:v>
      </x:c>
      <x:c r="AF34" s="145">
        <x:f t="shared" si="10"/>
        <x:v>-0.16616666666666668</x:v>
      </x:c>
    </x:row>
    <x:row r="35" spans="2:55" s="4" customFormat="1" ht="12.75">
      <x:c r="B35" s="4" t="s">
        <x:v>99</x:v>
      </x:c>
      <x:c r="E35" s="23"/>
      <x:c r="F35" s="34">
        <x:v>0</x:v>
      </x:c>
      <x:c r="G35" s="34">
        <x:v>0</x:v>
      </x:c>
      <x:c r="H35" s="34">
        <x:v>0</x:v>
      </x:c>
      <x:c r="I35" s="34">
        <x:v>0</x:v>
      </x:c>
      <x:c r="J35" s="34">
        <x:v>809</x:v>
      </x:c>
      <x:c r="K35" s="34">
        <x:v>809</x:v>
      </x:c>
      <x:c r="L35" s="34">
        <x:v>809</x:v>
      </x:c>
      <x:c r="M35" s="34">
        <x:v>809</x:v>
      </x:c>
      <x:c r="N35" s="34">
        <x:v>809</x:v>
      </x:c>
      <x:c r="O35" s="34">
        <x:v>809</x:v>
      </x:c>
      <x:c r="P35" s="34"/>
      <x:c r="Q35" s="34"/>
      <x:c r="R35" s="34"/>
      <x:c r="S35" s="34"/>
      <x:c r="T35" s="34"/>
      <x:c r="U35" s="34"/>
      <x:c r="V35" s="34"/>
      <x:c r="W35" s="34"/>
      <x:c r="X35" s="34"/>
      <x:c r="Y35" s="34"/>
      <x:c r="Z35" s="34"/>
      <x:c r="AA35" s="34"/>
      <x:c r="AB35" s="34"/>
      <x:c r="AC35" s="34"/>
      <x:c r="AD35" s="34"/>
      <x:c r="AE35" s="109">
        <x:f t="shared" si="9"/>
        <x:v>9.51764705882353E-3</x:v>
      </x:c>
      <x:c r="AF35" s="145">
        <x:f t="shared" si="10"/>
        <x:v>-0.49048235294117648</x:v>
      </x:c>
    </x:row>
    <x:row r="36" spans="2:55">
      <x:c r="B36" s="5" t="str">
        <x:f>+B25</x:f>
        <x:v>Norwich</x:v>
      </x:c>
      <x:c r="C36" s="19"/>
      <x:c r="D36" s="19"/>
      <x:c r="E36" s="35"/>
      <x:c r="F36" s="35">
        <x:v>15417</x:v>
      </x:c>
      <x:c r="G36" s="35">
        <x:v>38010</x:v>
      </x:c>
      <x:c r="H36" s="35">
        <x:v>42765</x:v>
      </x:c>
      <x:c r="I36" s="35">
        <x:v>68467</x:v>
      </x:c>
      <x:c r="J36" s="35">
        <x:v>98946</x:v>
      </x:c>
      <x:c r="K36" s="35">
        <x:v>105104</x:v>
      </x:c>
      <x:c r="L36" s="35">
        <x:v>112999.28</x:v>
      </x:c>
      <x:c r="M36" s="35">
        <x:v>128701</x:v>
      </x:c>
      <x:c r="N36" s="35">
        <x:v>145593</x:v>
      </x:c>
      <x:c r="O36" s="35">
        <x:v>156295</x:v>
      </x:c>
      <x:c r="P36" s="35"/>
      <x:c r="Q36" s="35"/>
      <x:c r="R36" s="35"/>
      <x:c r="S36" s="35"/>
      <x:c r="T36" s="35"/>
      <x:c r="U36" s="35"/>
      <x:c r="V36" s="35"/>
      <x:c r="W36" s="35"/>
      <x:c r="X36" s="35"/>
      <x:c r="Y36" s="35"/>
      <x:c r="Z36" s="35"/>
      <x:c r="AA36" s="35"/>
      <x:c r="AB36" s="35"/>
      <x:c r="AC36" s="35"/>
      <x:c r="AD36" s="35"/>
      <x:c r="AE36" s="109">
        <x:f t="shared" si="9"/>
        <x:v>0.44326432217810552</x:v>
      </x:c>
      <x:c r="AF36" s="145">
        <x:f t="shared" si="10"/>
        <x:v>-5.6735677821894481E-2</x:v>
      </x:c>
      <x:c r="BC36"/>
    </x:row>
    <x:row r="37" spans="2:55">
      <x:c r="B37" s="4" t="str">
        <x:f>+B26</x:f>
        <x:v>Group</x:v>
      </x:c>
      <x:c r="C37" s="4"/>
      <x:c r="D37" s="4"/>
      <x:c r="E37" s="4"/>
      <x:c r="F37" s="4">
        <x:v>39603</x:v>
      </x:c>
      <x:c r="G37" s="4">
        <x:v>80926</x:v>
      </x:c>
      <x:c r="H37" s="4">
        <x:v>119621</x:v>
      </x:c>
      <x:c r="I37" s="4">
        <x:v>182873</x:v>
      </x:c>
      <x:c r="J37" s="4">
        <x:v>241142</x:v>
      </x:c>
      <x:c r="K37" s="4">
        <x:v>267995</x:v>
      </x:c>
      <x:c r="L37" s="4">
        <x:v>291260</x:v>
      </x:c>
      <x:c r="M37" s="4">
        <x:v>357410</x:v>
      </x:c>
      <x:c r="N37" s="4">
        <x:v>389627</x:v>
      </x:c>
      <x:c r="O37" s="4">
        <x:v>420110</x:v>
      </x:c>
      <x:c r="P37" s="4"/>
      <x:c r="Q37" s="4"/>
      <x:c r="R37" s="4"/>
      <x:c r="S37" s="4"/>
      <x:c r="T37" s="4"/>
      <x:c r="U37" s="4"/>
      <x:c r="V37" s="4"/>
      <x:c r="W37" s="4"/>
      <x:c r="X37" s="4"/>
      <x:c r="Y37" s="4"/>
      <x:c r="Z37" s="4"/>
      <x:c r="AA37" s="4"/>
      <x:c r="AB37" s="4"/>
      <x:c r="AC37" s="4"/>
      <x:c r="AD37" s="4"/>
      <x:c r="AE37" s="109">
        <x:f t="shared" si="9"/>
        <x:v>0.26181602891686401</x:v>
      </x:c>
      <x:c r="AF37" s="145">
        <x:f t="shared" si="10"/>
        <x:v>-0.23818397108313599</x:v>
      </x:c>
      <x:c r="BC37"/>
    </x:row>
    <x:row r="38" spans="2:55" s="1" customFormat="1" ht="11.25">
      <x:c r="B38" s="1" t="s">
        <x:v>34</x:v>
      </x:c>
      <x:c r="E38" s="30"/>
      <x:c r="F38" s="30">
        <x:f t="shared" ref="F38:N38" si="11">+F37/$C$60</x:f>
        <x:v>2.4680917362582575E-2</x:v>
      </x:c>
      <x:c r="G38" s="30">
        <x:f t="shared" si="11"/>
        <x:v>5.043375296023931E-2</x:v>
      </x:c>
      <x:c r="H38" s="30">
        <x:f t="shared" si="11"/>
        <x:v>7.4548797208026929E-2</x:v>
      </x:c>
      <x:c r="I38" s="30">
        <x:f t="shared" si="11"/>
        <x:v>0.11396796709460302</x:v>
      </x:c>
      <x:c r="J38" s="30">
        <x:f t="shared" si="11"/>
        <x:v>0.15028169014084508</x:v>
      </x:c>
      <x:c r="K38" s="30">
        <x:f t="shared" si="11"/>
        <x:v>0.16701670198180232</x:v>
      </x:c>
      <x:c r="L38" s="30">
        <x:f t="shared" si="11"/>
        <x:v>0.18151564252773278</x:v>
      </x:c>
      <x:c r="M38" s="30">
        <x:f t="shared" si="11"/>
        <x:v>0.22274086999875359</x:v>
      </x:c>
      <x:c r="N38" s="30">
        <x:f t="shared" si="11"/>
        <x:v>0.24281877103327931</x:v>
      </x:c>
      <x:c r="O38" s="30">
        <x:f>+O37/$C$60</x:f>
        <x:v>0.26181602891686401</x:v>
      </x:c>
      <x:c r="P38" s="30">
        <x:f t="shared" ref="P38:AD38" si="12">+P37/$C$60</x:f>
        <x:v>0</x:v>
      </x:c>
      <x:c r="Q38" s="30">
        <x:f t="shared" si="12"/>
        <x:v>0</x:v>
      </x:c>
      <x:c r="R38" s="30">
        <x:f t="shared" si="12"/>
        <x:v>0</x:v>
      </x:c>
      <x:c r="S38" s="30">
        <x:f t="shared" si="12"/>
        <x:v>0</x:v>
      </x:c>
      <x:c r="T38" s="30">
        <x:f t="shared" si="12"/>
        <x:v>0</x:v>
      </x:c>
      <x:c r="U38" s="30">
        <x:f t="shared" si="12"/>
        <x:v>0</x:v>
      </x:c>
      <x:c r="V38" s="30">
        <x:f t="shared" si="12"/>
        <x:v>0</x:v>
      </x:c>
      <x:c r="W38" s="30">
        <x:f t="shared" si="12"/>
        <x:v>0</x:v>
      </x:c>
      <x:c r="X38" s="30">
        <x:f t="shared" si="12"/>
        <x:v>0</x:v>
      </x:c>
      <x:c r="Y38" s="30">
        <x:f t="shared" si="12"/>
        <x:v>0</x:v>
      </x:c>
      <x:c r="Z38" s="30">
        <x:f t="shared" si="12"/>
        <x:v>0</x:v>
      </x:c>
      <x:c r="AA38" s="30">
        <x:f t="shared" si="12"/>
        <x:v>0</x:v>
      </x:c>
      <x:c r="AB38" s="30">
        <x:f t="shared" si="12"/>
        <x:v>0</x:v>
      </x:c>
      <x:c r="AC38" s="30">
        <x:f t="shared" si="12"/>
        <x:v>0</x:v>
      </x:c>
      <x:c r="AD38" s="30">
        <x:f t="shared" si="12"/>
        <x:v>0</x:v>
      </x:c>
    </x:row>
    <x:row r="39" spans="2:55" s="1" customFormat="1" ht="11.25">
      <x:c r="E39" s="30"/>
      <x:c r="F39" s="30"/>
      <x:c r="G39" s="30"/>
      <x:c r="H39" s="30"/>
      <x:c r="I39" s="30"/>
      <x:c r="J39" s="30"/>
      <x:c r="K39" s="30"/>
      <x:c r="L39" s="30"/>
      <x:c r="M39" s="30"/>
      <x:c r="N39" s="30"/>
      <x:c r="O39" s="30"/>
      <x:c r="P39" s="30"/>
      <x:c r="Q39" s="30"/>
      <x:c r="R39" s="30"/>
      <x:c r="S39" s="30"/>
      <x:c r="T39" s="30"/>
      <x:c r="U39" s="30"/>
      <x:c r="V39" s="30"/>
      <x:c r="W39" s="30"/>
      <x:c r="X39" s="30"/>
      <x:c r="Y39" s="30"/>
      <x:c r="Z39" s="30"/>
      <x:c r="AA39" s="30"/>
      <x:c r="AB39" s="30"/>
      <x:c r="AC39" s="30"/>
      <x:c r="AD39" s="30"/>
    </x:row>
    <x:row r="40" spans="2:55">
      <x:c r="B40" s="9" t="s">
        <x:v>25</x:v>
      </x:c>
      <x:c r="C40" s="4"/>
      <x:c r="D40" s="4"/>
      <x:c r="E40" s="4"/>
      <x:c r="F40" s="4"/>
      <x:c r="G40" s="4"/>
      <x:c r="H40" s="4"/>
      <x:c r="I40" s="4"/>
      <x:c r="J40" s="4"/>
      <x:c r="K40" s="4"/>
      <x:c r="L40" s="4"/>
      <x:c r="M40" s="4"/>
      <x:c r="N40" s="4"/>
      <x:c r="O40" s="4"/>
      <x:c r="P40" s="4"/>
      <x:c r="Q40" s="4"/>
      <x:c r="R40" s="4"/>
      <x:c r="S40" s="4"/>
      <x:c r="T40" s="4"/>
      <x:c r="U40" s="4"/>
      <x:c r="V40" s="4"/>
      <x:c r="W40" s="4"/>
      <x:c r="X40" s="4"/>
      <x:c r="Y40" s="4"/>
      <x:c r="Z40" s="4"/>
      <x:c r="AA40" s="4"/>
      <x:c r="AB40" s="4"/>
      <x:c r="AC40" s="4"/>
      <x:c r="AD40" s="4"/>
      <x:c r="BC40"/>
    </x:row>
    <x:row r="41" spans="2:55">
      <x:c r="B41" s="4"/>
      <x:c r="C41" s="4"/>
      <x:c r="D41" s="4"/>
      <x:c r="E41" s="4"/>
      <x:c r="F41" s="4" t="str">
        <x:f>+F18</x:f>
        <x:v>Day 1</x:v>
      </x:c>
      <x:c r="G41" s="4" t="str">
        <x:f t="shared" ref="G41:AD41" si="13">+G18</x:f>
        <x:v>Day 2</x:v>
      </x:c>
      <x:c r="H41" s="4" t="str">
        <x:f t="shared" si="13"/>
        <x:v>Day 3</x:v>
      </x:c>
      <x:c r="I41" s="4" t="str">
        <x:f t="shared" si="13"/>
        <x:v>Day 4</x:v>
      </x:c>
      <x:c r="J41" s="4" t="str">
        <x:f t="shared" si="13"/>
        <x:v>Day 5</x:v>
      </x:c>
      <x:c r="K41" s="4" t="str">
        <x:f t="shared" si="13"/>
        <x:v>Day 6</x:v>
      </x:c>
      <x:c r="L41" s="4" t="str">
        <x:f t="shared" si="13"/>
        <x:v>Day 7</x:v>
      </x:c>
      <x:c r="M41" s="4" t="str">
        <x:f t="shared" si="13"/>
        <x:v>Day 8</x:v>
      </x:c>
      <x:c r="N41" s="4" t="str">
        <x:f t="shared" si="13"/>
        <x:v>Day 9</x:v>
      </x:c>
      <x:c r="O41" s="4" t="str">
        <x:f t="shared" si="13"/>
        <x:v>Day 10</x:v>
      </x:c>
      <x:c r="P41" s="4" t="str">
        <x:f t="shared" si="13"/>
        <x:v>Day 11</x:v>
      </x:c>
      <x:c r="Q41" s="4" t="str">
        <x:f t="shared" si="13"/>
        <x:v>Day 12</x:v>
      </x:c>
      <x:c r="R41" s="4" t="str">
        <x:f t="shared" si="13"/>
        <x:v>Day 13</x:v>
      </x:c>
      <x:c r="S41" s="4" t="str">
        <x:f t="shared" si="13"/>
        <x:v>Day 14</x:v>
      </x:c>
      <x:c r="T41" s="4" t="str">
        <x:f t="shared" si="13"/>
        <x:v>Day 15</x:v>
      </x:c>
      <x:c r="U41" s="4" t="str">
        <x:f t="shared" si="13"/>
        <x:v>Day 16</x:v>
      </x:c>
      <x:c r="V41" s="4" t="str">
        <x:f t="shared" si="13"/>
        <x:v>Day 17</x:v>
      </x:c>
      <x:c r="W41" s="4" t="str">
        <x:f t="shared" si="13"/>
        <x:v>Day 18</x:v>
      </x:c>
      <x:c r="X41" s="4" t="str">
        <x:f t="shared" si="13"/>
        <x:v>Day 19</x:v>
      </x:c>
      <x:c r="Y41" s="4" t="str">
        <x:f t="shared" si="13"/>
        <x:v>Day 20</x:v>
      </x:c>
      <x:c r="Z41" s="4" t="str">
        <x:f t="shared" si="13"/>
        <x:v>Day 21</x:v>
      </x:c>
      <x:c r="AA41" s="4" t="str">
        <x:f t="shared" si="13"/>
        <x:v>Day 22</x:v>
      </x:c>
      <x:c r="AB41" s="4" t="str">
        <x:f t="shared" si="13"/>
        <x:v>Day 23</x:v>
      </x:c>
      <x:c r="AC41" s="4" t="str">
        <x:f t="shared" si="13"/>
        <x:v>Day 24</x:v>
      </x:c>
      <x:c r="AD41" s="4" t="str">
        <x:f t="shared" si="13"/>
        <x:v>Day 25</x:v>
      </x:c>
      <x:c r="AE41" s="181" t="s">
        <x:v>68</x:v>
      </x:c>
      <x:c r="AF41" s="182"/>
      <x:c r="BC41"/>
    </x:row>
    <x:row r="42" spans="2:55">
      <x:c r="B42" s="4" t="s">
        <x:v>0</x:v>
      </x:c>
      <x:c r="C42" s="17"/>
      <x:c r="D42" s="17"/>
      <x:c r="E42" s="17"/>
      <x:c r="F42" s="17">
        <x:f>(F53/$C$53)</x:f>
        <x:v>0.44064705882352939</x:v>
      </x:c>
      <x:c r="G42" s="17">
        <x:f t="shared" ref="G42:AD42" si="14">(G53/$C$53)</x:f>
        <x:v>0.31547058823529411</x:v>
      </x:c>
      <x:c r="H42" s="17">
        <x:f t="shared" si="14"/>
        <x:v>0.45354901960784311</x:v>
      </x:c>
      <x:c r="I42" s="17">
        <x:f t="shared" si="14"/>
        <x:v>0.5147205882352941</x:v>
      </x:c>
      <x:c r="J42" s="17">
        <x:f t="shared" si="14"/>
        <x:v>0.63019999999999998</x:v>
      </x:c>
      <x:c r="K42" s="17">
        <x:f t="shared" si="14"/>
        <x:v>0.62031372549019614</x:v>
      </x:c>
      <x:c r="L42" s="17">
        <x:f t="shared" si="14"/>
        <x:v>0.58615126050420174</x:v>
      </x:c>
      <x:c r="M42" s="17">
        <x:f t="shared" si="14"/>
        <x:v>0.60016176470588234</x:v>
      </x:c>
      <x:c r="N42" s="17">
        <x:f t="shared" si="14"/>
        <x:v>0.58991503267973855</x:v>
      </x:c>
      <x:c r="O42" s="17">
        <x:f t="shared" si="14"/>
        <x:v>0.60074705882352941</x:v>
      </x:c>
      <x:c r="P42" s="17">
        <x:f t="shared" si="14"/>
        <x:v>0</x:v>
      </x:c>
      <x:c r="Q42" s="17">
        <x:f t="shared" si="14"/>
        <x:v>0</x:v>
      </x:c>
      <x:c r="R42" s="17">
        <x:f t="shared" si="14"/>
        <x:v>0</x:v>
      </x:c>
      <x:c r="S42" s="17">
        <x:f t="shared" si="14"/>
        <x:v>0</x:v>
      </x:c>
      <x:c r="T42" s="17">
        <x:f t="shared" si="14"/>
        <x:v>0</x:v>
      </x:c>
      <x:c r="U42" s="17">
        <x:f t="shared" si="14"/>
        <x:v>0</x:v>
      </x:c>
      <x:c r="V42" s="17">
        <x:f t="shared" si="14"/>
        <x:v>0</x:v>
      </x:c>
      <x:c r="W42" s="17">
        <x:f t="shared" si="14"/>
        <x:v>0</x:v>
      </x:c>
      <x:c r="X42" s="17">
        <x:f t="shared" si="14"/>
        <x:v>0</x:v>
      </x:c>
      <x:c r="Y42" s="17">
        <x:f t="shared" si="14"/>
        <x:v>0</x:v>
      </x:c>
      <x:c r="Z42" s="17">
        <x:f t="shared" si="14"/>
        <x:v>0</x:v>
      </x:c>
      <x:c r="AA42" s="17">
        <x:f t="shared" si="14"/>
        <x:v>0</x:v>
      </x:c>
      <x:c r="AB42" s="17">
        <x:f t="shared" si="14"/>
        <x:v>0</x:v>
      </x:c>
      <x:c r="AC42" s="17">
        <x:f t="shared" si="14"/>
        <x:v>0</x:v>
      </x:c>
      <x:c r="AD42" s="17">
        <x:f t="shared" si="14"/>
        <x:v>0</x:v>
      </x:c>
      <x:c r="AE42" s="158" t="s">
        <x:v>71</x:v>
      </x:c>
      <x:c r="AF42" s="138">
        <x:v>335000</x:v>
      </x:c>
      <x:c r="BC42"/>
    </x:row>
    <x:row r="43" spans="2:55">
      <x:c r="B43" s="4" t="s">
        <x:v>64</x:v>
      </x:c>
      <x:c r="C43" s="17"/>
      <x:c r="D43" s="17"/>
      <x:c r="E43" s="17"/>
      <x:c r="F43" s="17">
        <x:f>(F54/$C$54)</x:f>
        <x:v>0</x:v>
      </x:c>
      <x:c r="G43" s="17">
        <x:f t="shared" ref="G43:AD43" si="15">(G54/$C$54)</x:f>
        <x:v>0</x:v>
      </x:c>
      <x:c r="H43" s="17">
        <x:f t="shared" si="15"/>
        <x:v>0</x:v>
      </x:c>
      <x:c r="I43" s="17">
        <x:f t="shared" si="15"/>
        <x:v>0</x:v>
      </x:c>
      <x:c r="J43" s="17">
        <x:f t="shared" si="15"/>
        <x:v>0</x:v>
      </x:c>
      <x:c r="K43" s="17">
        <x:f t="shared" si="15"/>
        <x:v>0</x:v>
      </x:c>
      <x:c r="L43" s="17">
        <x:f t="shared" si="15"/>
        <x:v>0</x:v>
      </x:c>
      <x:c r="M43" s="17">
        <x:f t="shared" si="15"/>
        <x:v>0</x:v>
      </x:c>
      <x:c r="N43" s="17">
        <x:f t="shared" si="15"/>
        <x:v>0</x:v>
      </x:c>
      <x:c r="O43" s="17">
        <x:f t="shared" si="15"/>
        <x:v>0</x:v>
      </x:c>
      <x:c r="P43" s="17">
        <x:f t="shared" si="15"/>
        <x:v>0</x:v>
      </x:c>
      <x:c r="Q43" s="17">
        <x:f t="shared" si="15"/>
        <x:v>0</x:v>
      </x:c>
      <x:c r="R43" s="17">
        <x:f t="shared" si="15"/>
        <x:v>0</x:v>
      </x:c>
      <x:c r="S43" s="17">
        <x:f t="shared" si="15"/>
        <x:v>0</x:v>
      </x:c>
      <x:c r="T43" s="17">
        <x:f t="shared" si="15"/>
        <x:v>0</x:v>
      </x:c>
      <x:c r="U43" s="17">
        <x:f t="shared" si="15"/>
        <x:v>0</x:v>
      </x:c>
      <x:c r="V43" s="17">
        <x:f t="shared" si="15"/>
        <x:v>0</x:v>
      </x:c>
      <x:c r="W43" s="17">
        <x:f t="shared" si="15"/>
        <x:v>0</x:v>
      </x:c>
      <x:c r="X43" s="17">
        <x:f t="shared" si="15"/>
        <x:v>0</x:v>
      </x:c>
      <x:c r="Y43" s="17">
        <x:f t="shared" si="15"/>
        <x:v>0</x:v>
      </x:c>
      <x:c r="Z43" s="17">
        <x:f t="shared" si="15"/>
        <x:v>0</x:v>
      </x:c>
      <x:c r="AA43" s="17">
        <x:f t="shared" si="15"/>
        <x:v>0</x:v>
      </x:c>
      <x:c r="AB43" s="17">
        <x:f t="shared" si="15"/>
        <x:v>0</x:v>
      </x:c>
      <x:c r="AC43" s="17">
        <x:f t="shared" si="15"/>
        <x:v>0</x:v>
      </x:c>
      <x:c r="AD43" s="17">
        <x:f t="shared" si="15"/>
        <x:v>0</x:v>
      </x:c>
      <x:c r="AE43" s="158" t="s">
        <x:v>72</x:v>
      </x:c>
      <x:c r="AF43" s="138">
        <x:v>37000</x:v>
      </x:c>
      <x:c r="BC43"/>
    </x:row>
    <x:row r="44" spans="2:55">
      <x:c r="B44" s="4" t="str">
        <x:f>+B32</x:f>
        <x:v>Brazil</x:v>
      </x:c>
      <x:c r="C44" s="17"/>
      <x:c r="D44" s="17"/>
      <x:c r="E44" s="17"/>
      <x:c r="F44" s="17">
        <x:f t="shared" ref="F44:AD44" si="16">(F55/$C$55)</x:f>
        <x:v>0.64388888888888884</x:v>
      </x:c>
      <x:c r="G44" s="17">
        <x:f t="shared" si="16"/>
        <x:v>0.32194444444444442</x:v>
      </x:c>
      <x:c r="H44" s="17">
        <x:f t="shared" si="16"/>
        <x:v>0.39222222222222225</x:v>
      </x:c>
      <x:c r="I44" s="17">
        <x:f t="shared" si="16"/>
        <x:v>0.34138888888888891</x:v>
      </x:c>
      <x:c r="J44" s="17">
        <x:f t="shared" si="16"/>
        <x:v>0.27311111111111114</x:v>
      </x:c>
      <x:c r="K44" s="17">
        <x:f t="shared" si="16"/>
        <x:v>0.22759259259259262</x:v>
      </x:c>
      <x:c r="L44" s="17">
        <x:f t="shared" si="16"/>
        <x:v>0.23785714285714288</x:v>
      </x:c>
      <x:c r="M44" s="17">
        <x:f t="shared" si="16"/>
        <x:v>0.3797638888888889</x:v>
      </x:c>
      <x:c r="N44" s="17">
        <x:f t="shared" si="16"/>
        <x:v>0.37083950617283951</x:v>
      </x:c>
      <x:c r="O44" s="17">
        <x:f t="shared" si="16"/>
        <x:v>0.35920000000000002</x:v>
      </x:c>
      <x:c r="P44" s="17">
        <x:f t="shared" si="16"/>
        <x:v>0</x:v>
      </x:c>
      <x:c r="Q44" s="17">
        <x:f t="shared" si="16"/>
        <x:v>0</x:v>
      </x:c>
      <x:c r="R44" s="17">
        <x:f t="shared" si="16"/>
        <x:v>0</x:v>
      </x:c>
      <x:c r="S44" s="17">
        <x:f t="shared" si="16"/>
        <x:v>0</x:v>
      </x:c>
      <x:c r="T44" s="17">
        <x:f t="shared" si="16"/>
        <x:v>0</x:v>
      </x:c>
      <x:c r="U44" s="17">
        <x:f t="shared" si="16"/>
        <x:v>0</x:v>
      </x:c>
      <x:c r="V44" s="17">
        <x:f t="shared" si="16"/>
        <x:v>0</x:v>
      </x:c>
      <x:c r="W44" s="17">
        <x:f t="shared" si="16"/>
        <x:v>0</x:v>
      </x:c>
      <x:c r="X44" s="17">
        <x:f t="shared" si="16"/>
        <x:v>0</x:v>
      </x:c>
      <x:c r="Y44" s="17">
        <x:f t="shared" si="16"/>
        <x:v>0</x:v>
      </x:c>
      <x:c r="Z44" s="17">
        <x:f t="shared" si="16"/>
        <x:v>0</x:v>
      </x:c>
      <x:c r="AA44" s="17">
        <x:f t="shared" si="16"/>
        <x:v>0</x:v>
      </x:c>
      <x:c r="AB44" s="17">
        <x:f t="shared" si="16"/>
        <x:v>0</x:v>
      </x:c>
      <x:c r="AC44" s="17">
        <x:f t="shared" si="16"/>
        <x:v>0</x:v>
      </x:c>
      <x:c r="AD44" s="17">
        <x:f t="shared" si="16"/>
        <x:v>0</x:v>
      </x:c>
      <x:c r="AE44" s="158" t="s">
        <x:v>94</x:v>
      </x:c>
      <x:c r="AF44" s="158">
        <x:v>75000</x:v>
      </x:c>
      <x:c r="BC44"/>
    </x:row>
    <x:row r="45" spans="2:55">
      <x:c r="B45" s="4" t="str">
        <x:f>+B33</x:f>
        <x:v>Boston</x:v>
      </x:c>
      <x:c r="C45" s="17"/>
      <x:c r="D45" s="17"/>
      <x:c r="E45" s="17"/>
      <x:c r="F45" s="17">
        <x:f>(F56/$C$56)</x:f>
        <x:v>0</x:v>
      </x:c>
      <x:c r="G45" s="17">
        <x:f t="shared" ref="G45:AD45" si="17">(G56/$C$56)</x:f>
        <x:v>0.49054545454545456</x:v>
      </x:c>
      <x:c r="H45" s="17">
        <x:f t="shared" si="17"/>
        <x:v>0.58763636363636362</x:v>
      </x:c>
      <x:c r="I45" s="17">
        <x:f t="shared" si="17"/>
        <x:v>0.72236363636363632</x:v>
      </x:c>
      <x:c r="J45" s="17">
        <x:f t="shared" si="17"/>
        <x:v>0.57789090909090912</x:v>
      </x:c>
      <x:c r="K45" s="17">
        <x:f t="shared" si="17"/>
        <x:v>0.49969696969696964</x:v>
      </x:c>
      <x:c r="L45" s="17">
        <x:f t="shared" si="17"/>
        <x:v>0.42831168831168831</x:v>
      </x:c>
      <x:c r="M45" s="17">
        <x:f t="shared" si="17"/>
        <x:v>0.54963636363636359</x:v>
      </x:c>
      <x:c r="N45" s="17">
        <x:f t="shared" si="17"/>
        <x:v>0.52084848484848489</x:v>
      </x:c>
      <x:c r="O45" s="17">
        <x:f t="shared" si="17"/>
        <x:v>0.46876363636363638</x:v>
      </x:c>
      <x:c r="P45" s="17">
        <x:f t="shared" si="17"/>
        <x:v>0</x:v>
      </x:c>
      <x:c r="Q45" s="17">
        <x:f t="shared" si="17"/>
        <x:v>0</x:v>
      </x:c>
      <x:c r="R45" s="17">
        <x:f t="shared" si="17"/>
        <x:v>0</x:v>
      </x:c>
      <x:c r="S45" s="17">
        <x:f t="shared" si="17"/>
        <x:v>0</x:v>
      </x:c>
      <x:c r="T45" s="17">
        <x:f t="shared" si="17"/>
        <x:v>0</x:v>
      </x:c>
      <x:c r="U45" s="17">
        <x:f t="shared" si="17"/>
        <x:v>0</x:v>
      </x:c>
      <x:c r="V45" s="17">
        <x:f t="shared" si="17"/>
        <x:v>0</x:v>
      </x:c>
      <x:c r="W45" s="17">
        <x:f t="shared" si="17"/>
        <x:v>0</x:v>
      </x:c>
      <x:c r="X45" s="17">
        <x:f t="shared" si="17"/>
        <x:v>0</x:v>
      </x:c>
      <x:c r="Y45" s="17">
        <x:f t="shared" si="17"/>
        <x:v>0</x:v>
      </x:c>
      <x:c r="Z45" s="17">
        <x:f t="shared" si="17"/>
        <x:v>0</x:v>
      </x:c>
      <x:c r="AA45" s="17">
        <x:f t="shared" si="17"/>
        <x:v>0</x:v>
      </x:c>
      <x:c r="AB45" s="17">
        <x:f t="shared" si="17"/>
        <x:v>0</x:v>
      </x:c>
      <x:c r="AC45" s="17">
        <x:f t="shared" si="17"/>
        <x:v>0</x:v>
      </x:c>
      <x:c r="AD45" s="17">
        <x:f t="shared" si="17"/>
        <x:v>0</x:v>
      </x:c>
      <x:c r="AE45" s="160" t="s">
        <x:v>73</x:v>
      </x:c>
      <x:c r="AF45" s="138">
        <x:v>220000</x:v>
      </x:c>
      <x:c r="BC45"/>
    </x:row>
    <x:row r="46" spans="2:55">
      <x:c r="B46" s="4" t="s">
        <x:v>2</x:v>
      </x:c>
      <x:c r="C46" s="17"/>
      <x:c r="D46" s="17"/>
      <x:c r="E46" s="17"/>
      <x:c r="F46" s="17">
        <x:f t="shared" ref="F46:AD47" si="18">(F57/$C$57)</x:f>
        <x:v>0.79843750000000002</x:v>
      </x:c>
      <x:c r="G46" s="17">
        <x:f t="shared" si="18"/>
        <x:v>0.67213541666666665</x:v>
      </x:c>
      <x:c r="H46" s="17">
        <x:f t="shared" si="18"/>
        <x:v>0.65607638888888886</x:v>
      </x:c>
      <x:c r="I46" s="17">
        <x:f t="shared" si="18"/>
        <x:v>0.71315104166666665</x:v>
      </x:c>
      <x:c r="J46" s="17">
        <x:f t="shared" si="18"/>
        <x:v>0.74583333333333335</x:v>
      </x:c>
      <x:c r="K46" s="17">
        <x:f t="shared" si="18"/>
        <x:v>0.78637152777777786</x:v>
      </x:c>
      <x:c r="L46" s="17">
        <x:f t="shared" si="18"/>
        <x:v>0.76622023809523809</x:v>
      </x:c>
      <x:c r="M46" s="17">
        <x:f t="shared" si="18"/>
        <x:v>0.76139322916666663</x:v>
      </x:c>
      <x:c r="N46" s="17">
        <x:f t="shared" si="18"/>
        <x:v>0.67679398148148151</x:v>
      </x:c>
      <x:c r="O46" s="17">
        <x:f t="shared" si="18"/>
        <x:v>0.66766666666666663</x:v>
      </x:c>
      <x:c r="P46" s="17">
        <x:f t="shared" si="18"/>
        <x:v>0</x:v>
      </x:c>
      <x:c r="Q46" s="17">
        <x:f t="shared" si="18"/>
        <x:v>0</x:v>
      </x:c>
      <x:c r="R46" s="17">
        <x:f t="shared" si="18"/>
        <x:v>0</x:v>
      </x:c>
      <x:c r="S46" s="17">
        <x:f t="shared" si="18"/>
        <x:v>0</x:v>
      </x:c>
      <x:c r="T46" s="17">
        <x:f t="shared" si="18"/>
        <x:v>0</x:v>
      </x:c>
      <x:c r="U46" s="17">
        <x:f t="shared" si="18"/>
        <x:v>0</x:v>
      </x:c>
      <x:c r="V46" s="17">
        <x:f t="shared" si="18"/>
        <x:v>0</x:v>
      </x:c>
      <x:c r="W46" s="17">
        <x:f t="shared" si="18"/>
        <x:v>0</x:v>
      </x:c>
      <x:c r="X46" s="17">
        <x:f t="shared" si="18"/>
        <x:v>0</x:v>
      </x:c>
      <x:c r="Y46" s="17">
        <x:f t="shared" si="18"/>
        <x:v>0</x:v>
      </x:c>
      <x:c r="Z46" s="17">
        <x:f t="shared" si="18"/>
        <x:v>0</x:v>
      </x:c>
      <x:c r="AA46" s="17">
        <x:f t="shared" si="18"/>
        <x:v>0</x:v>
      </x:c>
      <x:c r="AB46" s="17">
        <x:f t="shared" si="18"/>
        <x:v>0</x:v>
      </x:c>
      <x:c r="AC46" s="17">
        <x:f t="shared" si="18"/>
        <x:v>0</x:v>
      </x:c>
      <x:c r="AD46" s="17">
        <x:f t="shared" si="18"/>
        <x:v>0</x:v>
      </x:c>
      <x:c r="AE46" s="160" t="s">
        <x:v>74</x:v>
      </x:c>
      <x:c r="AF46" s="138">
        <x:v>135000</x:v>
      </x:c>
      <x:c r="BC46"/>
    </x:row>
    <x:row r="47" spans="2:55">
      <x:c r="B47" s="4" t="s">
        <x:v>99</x:v>
      </x:c>
      <x:c r="C47" s="17"/>
      <x:c r="D47" s="17"/>
      <x:c r="E47" s="17"/>
      <x:c r="F47" s="17">
        <x:f t="shared" si="18"/>
        <x:v>0</x:v>
      </x:c>
      <x:c r="G47" s="17">
        <x:f t="shared" si="18"/>
        <x:v>0</x:v>
      </x:c>
      <x:c r="H47" s="17">
        <x:f t="shared" si="18"/>
        <x:v>0</x:v>
      </x:c>
      <x:c r="I47" s="17">
        <x:f t="shared" si="18"/>
        <x:v>0</x:v>
      </x:c>
      <x:c r="J47" s="17">
        <x:f t="shared" si="18"/>
        <x:v>1.6854166666666667E-2</x:v>
      </x:c>
      <x:c r="K47" s="17">
        <x:f t="shared" si="18"/>
        <x:v>1.404513888888889E-2</x:v>
      </x:c>
      <x:c r="L47" s="17">
        <x:f t="shared" si="18"/>
        <x:v>1.2038690476190477E-2</x:v>
      </x:c>
      <x:c r="M47" s="17">
        <x:f t="shared" si="18"/>
        <x:v>1.0533854166666667E-2</x:v>
      </x:c>
      <x:c r="N47" s="17">
        <x:f t="shared" si="18"/>
        <x:v>9.3634259259259261E-3</x:v>
      </x:c>
      <x:c r="O47" s="17">
        <x:f t="shared" si="18"/>
        <x:v>8.4270833333333333E-3</x:v>
      </x:c>
      <x:c r="P47" s="17">
        <x:f t="shared" si="18"/>
        <x:v>0</x:v>
      </x:c>
      <x:c r="Q47" s="17">
        <x:f t="shared" si="18"/>
        <x:v>0</x:v>
      </x:c>
      <x:c r="R47" s="17">
        <x:f t="shared" si="18"/>
        <x:v>0</x:v>
      </x:c>
      <x:c r="S47" s="17">
        <x:f t="shared" si="18"/>
        <x:v>0</x:v>
      </x:c>
      <x:c r="T47" s="17">
        <x:f t="shared" si="18"/>
        <x:v>0</x:v>
      </x:c>
      <x:c r="U47" s="17">
        <x:f t="shared" si="18"/>
        <x:v>0</x:v>
      </x:c>
      <x:c r="V47" s="17">
        <x:f t="shared" si="18"/>
        <x:v>0</x:v>
      </x:c>
      <x:c r="W47" s="17">
        <x:f t="shared" si="18"/>
        <x:v>0</x:v>
      </x:c>
      <x:c r="X47" s="17">
        <x:f t="shared" si="18"/>
        <x:v>0</x:v>
      </x:c>
      <x:c r="Y47" s="17">
        <x:f t="shared" si="18"/>
        <x:v>0</x:v>
      </x:c>
      <x:c r="Z47" s="17">
        <x:f t="shared" si="18"/>
        <x:v>0</x:v>
      </x:c>
      <x:c r="AA47" s="17">
        <x:f t="shared" si="18"/>
        <x:v>0</x:v>
      </x:c>
      <x:c r="AB47" s="17">
        <x:f t="shared" si="18"/>
        <x:v>0</x:v>
      </x:c>
      <x:c r="AC47" s="17">
        <x:f t="shared" si="18"/>
        <x:v>0</x:v>
      </x:c>
      <x:c r="AD47" s="17">
        <x:f t="shared" si="18"/>
        <x:v>0</x:v>
      </x:c>
      <x:c r="AE47" s="160" t="s">
        <x:v>99</x:v>
      </x:c>
      <x:c r="AF47" s="138">
        <x:v>12000</x:v>
      </x:c>
      <x:c r="BC47"/>
    </x:row>
    <x:row r="48" spans="2:55">
      <x:c r="B48" s="4" t="s">
        <x:v>3</x:v>
      </x:c>
      <x:c r="C48" s="18"/>
      <x:c r="D48" s="18"/>
      <x:c r="E48" s="18"/>
      <x:c r="F48" s="18">
        <x:f t="shared" ref="F48:AD48" si="19">(F59/$C$59)</x:f>
        <x:v>0.87447532614861034</x:v>
      </x:c>
      <x:c r="G48" s="18">
        <x:f t="shared" si="19"/>
        <x:v>1.0779920589903573</x:v>
      </x:c>
      <x:c r="H48" s="18">
        <x:f t="shared" si="19"/>
        <x:v>0.80856494611457741</x:v>
      </x:c>
      <x:c r="I48" s="18">
        <x:f t="shared" si="19"/>
        <x:v>0.97088769143505393</x:v>
      </x:c>
      <x:c r="J48" s="18">
        <x:f t="shared" si="19"/>
        <x:v>1.1224730572887125</x:v>
      </x:c>
      <x:c r="K48" s="18">
        <x:f t="shared" si="19"/>
        <x:v>0.99360937795424453</x:v>
      </x:c>
      <x:c r="L48" s="18">
        <x:f t="shared" si="19"/>
        <x:v>0.91564119601328908</x:v>
      </x:c>
      <x:c r="M48" s="18">
        <x:f t="shared" si="19"/>
        <x:v>0.91251418037436194</x:v>
      </x:c>
      <x:c r="N48" s="18">
        <x:f t="shared" si="19"/>
        <x:v>0.91758366420873516</x:v>
      </x:c>
      <x:c r="O48" s="18">
        <x:f t="shared" si="19"/>
        <x:v>0.88652864435621104</x:v>
      </x:c>
      <x:c r="P48" s="18">
        <x:f t="shared" si="19"/>
        <x:v>0</x:v>
      </x:c>
      <x:c r="Q48" s="18">
        <x:f t="shared" si="19"/>
        <x:v>0</x:v>
      </x:c>
      <x:c r="R48" s="18">
        <x:f t="shared" si="19"/>
        <x:v>0</x:v>
      </x:c>
      <x:c r="S48" s="18">
        <x:f t="shared" si="19"/>
        <x:v>0</x:v>
      </x:c>
      <x:c r="T48" s="18">
        <x:f t="shared" si="19"/>
        <x:v>0</x:v>
      </x:c>
      <x:c r="U48" s="18">
        <x:f t="shared" si="19"/>
        <x:v>0</x:v>
      </x:c>
      <x:c r="V48" s="18">
        <x:f t="shared" si="19"/>
        <x:v>0</x:v>
      </x:c>
      <x:c r="W48" s="18">
        <x:f t="shared" si="19"/>
        <x:v>0</x:v>
      </x:c>
      <x:c r="X48" s="18">
        <x:f t="shared" si="19"/>
        <x:v>0</x:v>
      </x:c>
      <x:c r="Y48" s="18">
        <x:f t="shared" si="19"/>
        <x:v>0</x:v>
      </x:c>
      <x:c r="Z48" s="18">
        <x:f t="shared" si="19"/>
        <x:v>0</x:v>
      </x:c>
      <x:c r="AA48" s="18">
        <x:f t="shared" si="19"/>
        <x:v>0</x:v>
      </x:c>
      <x:c r="AB48" s="18">
        <x:f t="shared" si="19"/>
        <x:v>0</x:v>
      </x:c>
      <x:c r="AC48" s="18">
        <x:f t="shared" si="19"/>
        <x:v>0</x:v>
      </x:c>
      <x:c r="AD48" s="18">
        <x:f t="shared" si="19"/>
        <x:v>0</x:v>
      </x:c>
      <x:c r="AE48" s="159" t="s">
        <x:v>76</x:v>
      </x:c>
      <x:c r="AF48" s="138">
        <x:v>345000</x:v>
      </x:c>
      <x:c r="BC48"/>
    </x:row>
    <x:row r="49" spans="2:55">
      <x:c r="B49" s="14" t="s">
        <x:v>27</x:v>
      </x:c>
      <x:c r="C49" s="17"/>
      <x:c r="D49" s="17"/>
      <x:c r="E49" s="17"/>
      <x:c r="F49" s="17">
        <x:f t="shared" ref="F49:AD49" si="20">(F60/$C$60)</x:f>
        <x:v>0.45329677178112926</x:v>
      </x:c>
      <x:c r="G49" s="17">
        <x:f t="shared" si="20"/>
        <x:v>0.50433752960239309</x:v>
      </x:c>
      <x:c r="H49" s="17">
        <x:f t="shared" si="20"/>
        <x:v>0.49699198138684608</x:v>
      </x:c>
      <x:c r="I49" s="17">
        <x:f t="shared" si="20"/>
        <x:v>0.56983983547301509</x:v>
      </x:c>
      <x:c r="J49" s="17">
        <x:f t="shared" si="20"/>
        <x:v>0.60112676056338032</x:v>
      </x:c>
      <x:c r="K49" s="17">
        <x:f t="shared" si="20"/>
        <x:v>0.55672233993934106</x:v>
      </x:c>
      <x:c r="L49" s="17">
        <x:f t="shared" si="20"/>
        <x:v>0.51861662007442899</x:v>
      </x:c>
      <x:c r="M49" s="17">
        <x:f t="shared" si="20"/>
        <x:v>0.556852174996884</x:v>
      </x:c>
      <x:c r="N49" s="17">
        <x:f t="shared" si="20"/>
        <x:v>0.53959726896284288</x:v>
      </x:c>
      <x:c r="O49" s="17">
        <x:f t="shared" si="20"/>
        <x:v>0.52363205783372802</x:v>
      </x:c>
      <x:c r="P49" s="17">
        <x:f t="shared" si="20"/>
        <x:v>0</x:v>
      </x:c>
      <x:c r="Q49" s="17">
        <x:f t="shared" si="20"/>
        <x:v>0</x:v>
      </x:c>
      <x:c r="R49" s="17">
        <x:f t="shared" si="20"/>
        <x:v>0</x:v>
      </x:c>
      <x:c r="S49" s="17">
        <x:f t="shared" si="20"/>
        <x:v>0</x:v>
      </x:c>
      <x:c r="T49" s="17">
        <x:f t="shared" si="20"/>
        <x:v>0</x:v>
      </x:c>
      <x:c r="U49" s="17">
        <x:f t="shared" si="20"/>
        <x:v>0</x:v>
      </x:c>
      <x:c r="V49" s="17">
        <x:f t="shared" si="20"/>
        <x:v>0</x:v>
      </x:c>
      <x:c r="W49" s="17">
        <x:f t="shared" si="20"/>
        <x:v>0</x:v>
      </x:c>
      <x:c r="X49" s="17">
        <x:f t="shared" si="20"/>
        <x:v>0</x:v>
      </x:c>
      <x:c r="Y49" s="17">
        <x:f t="shared" si="20"/>
        <x:v>0</x:v>
      </x:c>
      <x:c r="Z49" s="17">
        <x:f t="shared" si="20"/>
        <x:v>0</x:v>
      </x:c>
      <x:c r="AA49" s="17">
        <x:f t="shared" si="20"/>
        <x:v>0</x:v>
      </x:c>
      <x:c r="AB49" s="17">
        <x:f t="shared" si="20"/>
        <x:v>0</x:v>
      </x:c>
      <x:c r="AC49" s="17">
        <x:f t="shared" si="20"/>
        <x:v>0</x:v>
      </x:c>
      <x:c r="AD49" s="17">
        <x:f t="shared" si="20"/>
        <x:v>0</x:v>
      </x:c>
      <x:c r="AF49" s="139">
        <x:f>SUM(AF42:AF48)</x:f>
        <x:v>1159000</x:v>
      </x:c>
      <x:c r="BC49"/>
    </x:row>
    <x:row r="50" spans="2:55">
      <x:c r="B50" s="4"/>
      <x:c r="C50" s="4"/>
      <x:c r="D50" s="4"/>
      <x:c r="E50" s="4"/>
      <x:c r="F50" s="4"/>
      <x:c r="G50" s="4"/>
      <x:c r="H50" s="4"/>
      <x:c r="I50" s="4"/>
      <x:c r="J50" s="4"/>
      <x:c r="K50" s="4"/>
      <x:c r="L50" s="4"/>
      <x:c r="M50" s="4"/>
      <x:c r="N50" s="4"/>
      <x:c r="O50" s="4"/>
      <x:c r="P50" s="4"/>
      <x:c r="Q50" s="4"/>
      <x:c r="R50" s="4"/>
      <x:c r="S50" s="4"/>
      <x:c r="T50" s="4"/>
      <x:c r="U50" s="4"/>
      <x:c r="V50" s="4"/>
      <x:c r="W50" s="4"/>
      <x:c r="X50" s="4"/>
      <x:c r="Y50" s="4"/>
      <x:c r="Z50" s="4"/>
      <x:c r="AA50" s="4"/>
      <x:c r="AB50" s="4"/>
      <x:c r="AC50" s="4"/>
      <x:c r="AD50" s="4"/>
      <x:c r="BC50"/>
    </x:row>
    <x:row r="51" spans="2:55">
      <x:c r="B51" s="9" t="s">
        <x:v>26</x:v>
      </x:c>
      <x:c r="C51" s="4"/>
      <x:c r="D51" s="4"/>
      <x:c r="E51" s="4"/>
      <x:c r="F51" s="4"/>
      <x:c r="G51" s="4"/>
      <x:c r="H51" s="4"/>
      <x:c r="I51" s="4"/>
      <x:c r="J51" s="4"/>
      <x:c r="K51" s="4"/>
      <x:c r="L51" s="4"/>
      <x:c r="M51" s="4"/>
      <x:c r="N51" s="4"/>
      <x:c r="O51" s="4"/>
      <x:c r="P51" s="4"/>
      <x:c r="Q51" s="4"/>
      <x:c r="R51" s="4"/>
      <x:c r="S51" s="4"/>
      <x:c r="T51" s="4"/>
      <x:c r="U51" s="4"/>
      <x:c r="V51" s="4"/>
      <x:c r="W51" s="4"/>
      <x:c r="X51" s="4"/>
      <x:c r="Y51" s="4"/>
      <x:c r="Z51" s="4"/>
      <x:c r="AA51" s="4"/>
      <x:c r="AB51" s="4"/>
      <x:c r="AC51" s="4"/>
      <x:c r="AD51" s="4"/>
      <x:c r="BC51"/>
    </x:row>
    <x:row r="52" spans="2:55">
      <x:c r="B52" s="4"/>
      <x:c r="C52" s="4"/>
      <x:c r="D52" s="4"/>
      <x:c r="E52" s="4"/>
      <x:c r="F52" s="4" t="str">
        <x:f>+F41</x:f>
        <x:v>Day 1</x:v>
      </x:c>
      <x:c r="G52" s="4" t="str">
        <x:f t="shared" ref="G52:AD52" si="21">+G41</x:f>
        <x:v>Day 2</x:v>
      </x:c>
      <x:c r="H52" s="4" t="str">
        <x:f t="shared" si="21"/>
        <x:v>Day 3</x:v>
      </x:c>
      <x:c r="I52" s="4" t="str">
        <x:f t="shared" si="21"/>
        <x:v>Day 4</x:v>
      </x:c>
      <x:c r="J52" s="4" t="str">
        <x:f t="shared" si="21"/>
        <x:v>Day 5</x:v>
      </x:c>
      <x:c r="K52" s="4" t="str">
        <x:f t="shared" si="21"/>
        <x:v>Day 6</x:v>
      </x:c>
      <x:c r="L52" s="4" t="str">
        <x:f t="shared" si="21"/>
        <x:v>Day 7</x:v>
      </x:c>
      <x:c r="M52" s="4" t="str">
        <x:f t="shared" si="21"/>
        <x:v>Day 8</x:v>
      </x:c>
      <x:c r="N52" s="4" t="str">
        <x:f t="shared" si="21"/>
        <x:v>Day 9</x:v>
      </x:c>
      <x:c r="O52" s="4" t="str">
        <x:f t="shared" si="21"/>
        <x:v>Day 10</x:v>
      </x:c>
      <x:c r="P52" s="4" t="str">
        <x:f t="shared" si="21"/>
        <x:v>Day 11</x:v>
      </x:c>
      <x:c r="Q52" s="4" t="str">
        <x:f t="shared" si="21"/>
        <x:v>Day 12</x:v>
      </x:c>
      <x:c r="R52" s="4" t="str">
        <x:f t="shared" si="21"/>
        <x:v>Day 13</x:v>
      </x:c>
      <x:c r="S52" s="4" t="str">
        <x:f t="shared" si="21"/>
        <x:v>Day 14</x:v>
      </x:c>
      <x:c r="T52" s="4" t="str">
        <x:f t="shared" si="21"/>
        <x:v>Day 15</x:v>
      </x:c>
      <x:c r="U52" s="4" t="str">
        <x:f t="shared" si="21"/>
        <x:v>Day 16</x:v>
      </x:c>
      <x:c r="V52" s="4" t="str">
        <x:f t="shared" si="21"/>
        <x:v>Day 17</x:v>
      </x:c>
      <x:c r="W52" s="4" t="str">
        <x:f t="shared" si="21"/>
        <x:v>Day 18</x:v>
      </x:c>
      <x:c r="X52" s="4" t="str">
        <x:f t="shared" si="21"/>
        <x:v>Day 19</x:v>
      </x:c>
      <x:c r="Y52" s="4" t="str">
        <x:f t="shared" si="21"/>
        <x:v>Day 20</x:v>
      </x:c>
      <x:c r="Z52" s="4" t="str">
        <x:f t="shared" si="21"/>
        <x:v>Day 21</x:v>
      </x:c>
      <x:c r="AA52" s="4" t="str">
        <x:f t="shared" si="21"/>
        <x:v>Day 22</x:v>
      </x:c>
      <x:c r="AB52" s="4" t="str">
        <x:f t="shared" si="21"/>
        <x:v>Day 23</x:v>
      </x:c>
      <x:c r="AC52" s="4" t="str">
        <x:f t="shared" si="21"/>
        <x:v>Day 24</x:v>
      </x:c>
      <x:c r="AD52" s="4" t="str">
        <x:f t="shared" si="21"/>
        <x:v>Day 25</x:v>
      </x:c>
      <x:c r="BC52"/>
    </x:row>
    <x:row r="53" spans="2:55">
      <x:c r="B53" s="4" t="s">
        <x:v>0</x:v>
      </x:c>
      <x:c r="C53" s="149" t="n">
        <x:v>340000</x:v>
      </x:c>
      <x:c r="D53" s="4"/>
      <x:c r="E53" s="4"/>
      <x:c r="F53" s="55">
        <x:f t="shared" ref="F53:AD59" si="22">(F30)/F$2*$Y$2</x:f>
        <x:v>149820</x:v>
      </x:c>
      <x:c r="G53" s="55">
        <x:f t="shared" si="22"/>
        <x:v>107260</x:v>
      </x:c>
      <x:c r="H53" s="55">
        <x:f t="shared" si="22"/>
        <x:v>154206.66666666666</x:v>
      </x:c>
      <x:c r="I53" s="55">
        <x:f t="shared" si="22"/>
        <x:v>175005</x:v>
      </x:c>
      <x:c r="J53" s="55">
        <x:f t="shared" si="22"/>
        <x:v>214268</x:v>
      </x:c>
      <x:c r="K53" s="55">
        <x:f t="shared" si="22"/>
        <x:v>210906.66666666669</x:v>
      </x:c>
      <x:c r="L53" s="55">
        <x:f t="shared" si="22"/>
        <x:v>199291.42857142858</x:v>
      </x:c>
      <x:c r="M53" s="55">
        <x:f t="shared" si="22"/>
        <x:v>204055</x:v>
      </x:c>
      <x:c r="N53" s="55">
        <x:f t="shared" si="22"/>
        <x:v>200571.11111111109</x:v>
      </x:c>
      <x:c r="O53" s="55">
        <x:f t="shared" si="22"/>
        <x:v>204254</x:v>
      </x:c>
      <x:c r="P53" s="55">
        <x:f t="shared" si="22"/>
        <x:v>0</x:v>
      </x:c>
      <x:c r="Q53" s="55">
        <x:f t="shared" si="22"/>
        <x:v>0</x:v>
      </x:c>
      <x:c r="R53" s="55">
        <x:f t="shared" si="22"/>
        <x:v>0</x:v>
      </x:c>
      <x:c r="S53" s="55">
        <x:f t="shared" si="22"/>
        <x:v>0</x:v>
      </x:c>
      <x:c r="T53" s="55">
        <x:f t="shared" si="22"/>
        <x:v>0</x:v>
      </x:c>
      <x:c r="U53" s="55">
        <x:f t="shared" si="22"/>
        <x:v>0</x:v>
      </x:c>
      <x:c r="V53" s="55">
        <x:f t="shared" si="22"/>
        <x:v>0</x:v>
      </x:c>
      <x:c r="W53" s="55">
        <x:f t="shared" si="22"/>
        <x:v>0</x:v>
      </x:c>
      <x:c r="X53" s="55">
        <x:f t="shared" si="22"/>
        <x:v>0</x:v>
      </x:c>
      <x:c r="Y53" s="55">
        <x:f t="shared" si="22"/>
        <x:v>0</x:v>
      </x:c>
      <x:c r="Z53" s="55">
        <x:f t="shared" si="22"/>
        <x:v>0</x:v>
      </x:c>
      <x:c r="AA53" s="55">
        <x:f t="shared" si="22"/>
        <x:v>0</x:v>
      </x:c>
      <x:c r="AB53" s="55">
        <x:f t="shared" si="22"/>
        <x:v>0</x:v>
      </x:c>
      <x:c r="AC53" s="55">
        <x:f t="shared" si="22"/>
        <x:v>0</x:v>
      </x:c>
      <x:c r="AD53" s="55">
        <x:f t="shared" si="22"/>
        <x:v>0</x:v>
      </x:c>
      <x:c r="BC53"/>
    </x:row>
    <x:row r="54" spans="2:55">
      <x:c r="B54" s="4" t="s">
        <x:v>64</x:v>
      </x:c>
      <x:c r="C54" s="149" t="n">
        <x:v>180000</x:v>
      </x:c>
      <x:c r="D54" s="4"/>
      <x:c r="E54" s="4"/>
      <x:c r="F54" s="55">
        <x:f t="shared" si="22"/>
        <x:v>0</x:v>
      </x:c>
      <x:c r="G54" s="55">
        <x:f t="shared" si="22"/>
        <x:v>0</x:v>
      </x:c>
      <x:c r="H54" s="55">
        <x:f t="shared" si="22"/>
        <x:v>0</x:v>
      </x:c>
      <x:c r="I54" s="55">
        <x:f t="shared" si="22"/>
        <x:v>0</x:v>
      </x:c>
      <x:c r="J54" s="55">
        <x:f t="shared" si="22"/>
        <x:v>0</x:v>
      </x:c>
      <x:c r="K54" s="55">
        <x:f t="shared" si="22"/>
        <x:v>0</x:v>
      </x:c>
      <x:c r="L54" s="55">
        <x:f t="shared" si="22"/>
        <x:v>0</x:v>
      </x:c>
      <x:c r="M54" s="55">
        <x:f t="shared" si="22"/>
        <x:v>0</x:v>
      </x:c>
      <x:c r="N54" s="55">
        <x:f t="shared" si="22"/>
        <x:v>0</x:v>
      </x:c>
      <x:c r="O54" s="55">
        <x:f t="shared" si="22"/>
        <x:v>0</x:v>
      </x:c>
      <x:c r="P54" s="55">
        <x:f t="shared" si="22"/>
        <x:v>0</x:v>
      </x:c>
      <x:c r="Q54" s="55">
        <x:f t="shared" si="22"/>
        <x:v>0</x:v>
      </x:c>
      <x:c r="R54" s="55">
        <x:f t="shared" si="22"/>
        <x:v>0</x:v>
      </x:c>
      <x:c r="S54" s="55">
        <x:f t="shared" si="22"/>
        <x:v>0</x:v>
      </x:c>
      <x:c r="T54" s="55">
        <x:f t="shared" si="22"/>
        <x:v>0</x:v>
      </x:c>
      <x:c r="U54" s="55">
        <x:f t="shared" si="22"/>
        <x:v>0</x:v>
      </x:c>
      <x:c r="V54" s="55">
        <x:f t="shared" si="22"/>
        <x:v>0</x:v>
      </x:c>
      <x:c r="W54" s="55">
        <x:f t="shared" si="22"/>
        <x:v>0</x:v>
      </x:c>
      <x:c r="X54" s="55">
        <x:f t="shared" si="22"/>
        <x:v>0</x:v>
      </x:c>
      <x:c r="Y54" s="55">
        <x:f t="shared" si="22"/>
        <x:v>0</x:v>
      </x:c>
      <x:c r="Z54" s="55">
        <x:f t="shared" si="22"/>
        <x:v>0</x:v>
      </x:c>
      <x:c r="AA54" s="55">
        <x:f t="shared" si="22"/>
        <x:v>0</x:v>
      </x:c>
      <x:c r="AB54" s="55">
        <x:f t="shared" si="22"/>
        <x:v>0</x:v>
      </x:c>
      <x:c r="AC54" s="55">
        <x:f t="shared" si="22"/>
        <x:v>0</x:v>
      </x:c>
      <x:c r="AD54" s="55">
        <x:f t="shared" si="22"/>
        <x:v>0</x:v>
      </x:c>
      <x:c r="BC54"/>
    </x:row>
    <x:row r="55" spans="2:55">
      <x:c r="B55" s="4" t="str">
        <x:f>+B44</x:f>
        <x:v>Brazil</x:v>
      </x:c>
      <x:c r="C55" s="149" t="n">
        <x:v>180000</x:v>
      </x:c>
      <x:c r="D55" s="4"/>
      <x:c r="E55" s="4"/>
      <x:c r="F55" s="55">
        <x:f t="shared" si="22"/>
        <x:v>115900</x:v>
      </x:c>
      <x:c r="G55" s="55">
        <x:f t="shared" si="22"/>
        <x:v>57950</x:v>
      </x:c>
      <x:c r="H55" s="55">
        <x:f t="shared" si="22"/>
        <x:v>70600</x:v>
      </x:c>
      <x:c r="I55" s="55">
        <x:f t="shared" si="22"/>
        <x:v>61450</x:v>
      </x:c>
      <x:c r="J55" s="55">
        <x:f t="shared" si="22"/>
        <x:v>49160</x:v>
      </x:c>
      <x:c r="K55" s="55">
        <x:f t="shared" si="22"/>
        <x:v>40966.666666666672</x:v>
      </x:c>
      <x:c r="L55" s="55">
        <x:f t="shared" si="22"/>
        <x:v>42814.285714285717</x:v>
      </x:c>
      <x:c r="M55" s="55">
        <x:f t="shared" si="22"/>
        <x:v>68357.5</x:v>
      </x:c>
      <x:c r="N55" s="55">
        <x:f t="shared" si="22"/>
        <x:v>66751.111111111109</x:v>
      </x:c>
      <x:c r="O55" s="55">
        <x:f t="shared" si="22"/>
        <x:v>64656</x:v>
      </x:c>
      <x:c r="P55" s="55">
        <x:f t="shared" si="22"/>
        <x:v>0</x:v>
      </x:c>
      <x:c r="Q55" s="55">
        <x:f t="shared" si="22"/>
        <x:v>0</x:v>
      </x:c>
      <x:c r="R55" s="55">
        <x:f t="shared" si="22"/>
        <x:v>0</x:v>
      </x:c>
      <x:c r="S55" s="55">
        <x:f t="shared" si="22"/>
        <x:v>0</x:v>
      </x:c>
      <x:c r="T55" s="55">
        <x:f t="shared" si="22"/>
        <x:v>0</x:v>
      </x:c>
      <x:c r="U55" s="55">
        <x:f t="shared" si="22"/>
        <x:v>0</x:v>
      </x:c>
      <x:c r="V55" s="55">
        <x:f t="shared" si="22"/>
        <x:v>0</x:v>
      </x:c>
      <x:c r="W55" s="55">
        <x:f t="shared" si="22"/>
        <x:v>0</x:v>
      </x:c>
      <x:c r="X55" s="55">
        <x:f t="shared" si="22"/>
        <x:v>0</x:v>
      </x:c>
      <x:c r="Y55" s="55">
        <x:f t="shared" si="22"/>
        <x:v>0</x:v>
      </x:c>
      <x:c r="Z55" s="55">
        <x:f t="shared" si="22"/>
        <x:v>0</x:v>
      </x:c>
      <x:c r="AA55" s="55">
        <x:f t="shared" si="22"/>
        <x:v>0</x:v>
      </x:c>
      <x:c r="AB55" s="55">
        <x:f t="shared" si="22"/>
        <x:v>0</x:v>
      </x:c>
      <x:c r="AC55" s="55">
        <x:f t="shared" si="22"/>
        <x:v>0</x:v>
      </x:c>
      <x:c r="AD55" s="55">
        <x:f t="shared" si="22"/>
        <x:v>0</x:v>
      </x:c>
      <x:c r="BC55"/>
    </x:row>
    <x:row r="56" spans="2:55">
      <x:c r="B56" s="4" t="str">
        <x:f>+B45</x:f>
        <x:v>Boston</x:v>
      </x:c>
      <x:c r="C56" s="149" t="n">
        <x:v>275000</x:v>
      </x:c>
      <x:c r="D56" s="4"/>
      <x:c r="E56" s="4"/>
      <x:c r="F56" s="55">
        <x:f>(F33)/F$2*$Y$2</x:f>
        <x:v>0</x:v>
      </x:c>
      <x:c r="G56" s="55">
        <x:f>(G33)/G$2*$Y$2</x:f>
        <x:v>134900</x:v>
      </x:c>
      <x:c r="H56" s="55">
        <x:f t="shared" si="22"/>
        <x:v>161600</x:v>
      </x:c>
      <x:c r="I56" s="55">
        <x:f t="shared" si="22"/>
        <x:v>198650</x:v>
      </x:c>
      <x:c r="J56" s="55">
        <x:f t="shared" si="22"/>
        <x:v>158920</x:v>
      </x:c>
      <x:c r="K56" s="55">
        <x:f t="shared" si="22"/>
        <x:v>137416.66666666666</x:v>
      </x:c>
      <x:c r="L56" s="55">
        <x:f t="shared" si="22"/>
        <x:v>117785.71428571429</x:v>
      </x:c>
      <x:c r="M56" s="55">
        <x:f t="shared" si="22"/>
        <x:v>151150</x:v>
      </x:c>
      <x:c r="N56" s="55">
        <x:f t="shared" si="22"/>
        <x:v>143233.33333333334</x:v>
      </x:c>
      <x:c r="O56" s="55">
        <x:f t="shared" si="22"/>
        <x:v>128910</x:v>
      </x:c>
      <x:c r="P56" s="55">
        <x:f t="shared" si="22"/>
        <x:v>0</x:v>
      </x:c>
      <x:c r="Q56" s="55">
        <x:f t="shared" si="22"/>
        <x:v>0</x:v>
      </x:c>
      <x:c r="R56" s="55">
        <x:f t="shared" si="22"/>
        <x:v>0</x:v>
      </x:c>
      <x:c r="S56" s="55">
        <x:f t="shared" si="22"/>
        <x:v>0</x:v>
      </x:c>
      <x:c r="T56" s="55">
        <x:f t="shared" si="22"/>
        <x:v>0</x:v>
      </x:c>
      <x:c r="U56" s="55">
        <x:f t="shared" si="22"/>
        <x:v>0</x:v>
      </x:c>
      <x:c r="V56" s="55">
        <x:f t="shared" si="22"/>
        <x:v>0</x:v>
      </x:c>
      <x:c r="W56" s="55">
        <x:f t="shared" si="22"/>
        <x:v>0</x:v>
      </x:c>
      <x:c r="X56" s="55">
        <x:f t="shared" si="22"/>
        <x:v>0</x:v>
      </x:c>
      <x:c r="Y56" s="55">
        <x:f t="shared" si="22"/>
        <x:v>0</x:v>
      </x:c>
      <x:c r="Z56" s="55">
        <x:f t="shared" si="22"/>
        <x:v>0</x:v>
      </x:c>
      <x:c r="AA56" s="55">
        <x:f t="shared" si="22"/>
        <x:v>0</x:v>
      </x:c>
      <x:c r="AB56" s="55">
        <x:f t="shared" si="22"/>
        <x:v>0</x:v>
      </x:c>
      <x:c r="AC56" s="55">
        <x:f t="shared" si="22"/>
        <x:v>0</x:v>
      </x:c>
      <x:c r="AD56" s="55">
        <x:f t="shared" si="22"/>
        <x:v>0</x:v>
      </x:c>
      <x:c r="BC56"/>
    </x:row>
    <x:row r="57" spans="2:55">
      <x:c r="B57" s="4" t="s">
        <x:v>2</x:v>
      </x:c>
      <x:c r="C57" s="149" t="n">
        <x:v>192000</x:v>
      </x:c>
      <x:c r="D57" s="4"/>
      <x:c r="E57" s="4"/>
      <x:c r="F57" s="55">
        <x:f t="shared" ref="F57:U59" si="23">(F34)/F$2*$Y$2</x:f>
        <x:v>153300</x:v>
      </x:c>
      <x:c r="G57" s="55">
        <x:f t="shared" si="23"/>
        <x:v>129050</x:v>
      </x:c>
      <x:c r="H57" s="55">
        <x:f t="shared" si="23"/>
        <x:v>125966.66666666666</x:v>
      </x:c>
      <x:c r="I57" s="55">
        <x:f t="shared" si="23"/>
        <x:v>136925</x:v>
      </x:c>
      <x:c r="J57" s="55">
        <x:f t="shared" si="23"/>
        <x:v>143200</x:v>
      </x:c>
      <x:c r="K57" s="55">
        <x:f t="shared" si="23"/>
        <x:v>150983.33333333334</x:v>
      </x:c>
      <x:c r="L57" s="55">
        <x:f t="shared" si="23"/>
        <x:v>147114.28571428571</x:v>
      </x:c>
      <x:c r="M57" s="55">
        <x:f t="shared" si="23"/>
        <x:v>146187.5</x:v>
      </x:c>
      <x:c r="N57" s="55">
        <x:f t="shared" si="23"/>
        <x:v>129944.44444444445</x:v>
      </x:c>
      <x:c r="O57" s="55">
        <x:f t="shared" si="23"/>
        <x:v>128192</x:v>
      </x:c>
      <x:c r="P57" s="55">
        <x:f t="shared" si="23"/>
        <x:v>0</x:v>
      </x:c>
      <x:c r="Q57" s="55">
        <x:f t="shared" si="23"/>
        <x:v>0</x:v>
      </x:c>
      <x:c r="R57" s="55">
        <x:f t="shared" si="23"/>
        <x:v>0</x:v>
      </x:c>
      <x:c r="S57" s="55">
        <x:f t="shared" si="23"/>
        <x:v>0</x:v>
      </x:c>
      <x:c r="T57" s="55">
        <x:f t="shared" si="23"/>
        <x:v>0</x:v>
      </x:c>
      <x:c r="U57" s="55">
        <x:f t="shared" si="23"/>
        <x:v>0</x:v>
      </x:c>
      <x:c r="V57" s="55">
        <x:f t="shared" si="22"/>
        <x:v>0</x:v>
      </x:c>
      <x:c r="W57" s="55">
        <x:f t="shared" si="22"/>
        <x:v>0</x:v>
      </x:c>
      <x:c r="X57" s="55">
        <x:f t="shared" si="22"/>
        <x:v>0</x:v>
      </x:c>
      <x:c r="Y57" s="55">
        <x:f t="shared" si="22"/>
        <x:v>0</x:v>
      </x:c>
      <x:c r="Z57" s="55">
        <x:f t="shared" si="22"/>
        <x:v>0</x:v>
      </x:c>
      <x:c r="AA57" s="55">
        <x:f t="shared" si="22"/>
        <x:v>0</x:v>
      </x:c>
      <x:c r="AB57" s="55">
        <x:f t="shared" si="22"/>
        <x:v>0</x:v>
      </x:c>
      <x:c r="AC57" s="55">
        <x:f t="shared" si="22"/>
        <x:v>0</x:v>
      </x:c>
      <x:c r="AD57" s="55">
        <x:f t="shared" si="22"/>
        <x:v>0</x:v>
      </x:c>
      <x:c r="AF57" s="48"/>
    </x:row>
    <x:row r="58" spans="2:55">
      <x:c r="B58" s="4" t="s">
        <x:v>99</x:v>
      </x:c>
      <x:c r="C58" s="149" t="n">
        <x:v>110000</x:v>
      </x:c>
      <x:c r="D58" s="4"/>
      <x:c r="E58" s="4"/>
      <x:c r="F58" s="55">
        <x:f t="shared" si="23"/>
        <x:v>0</x:v>
      </x:c>
      <x:c r="G58" s="55">
        <x:f t="shared" si="23"/>
        <x:v>0</x:v>
      </x:c>
      <x:c r="H58" s="55">
        <x:f t="shared" si="23"/>
        <x:v>0</x:v>
      </x:c>
      <x:c r="I58" s="55">
        <x:f t="shared" si="23"/>
        <x:v>0</x:v>
      </x:c>
      <x:c r="J58" s="55">
        <x:f t="shared" si="23"/>
        <x:v>3236</x:v>
      </x:c>
      <x:c r="K58" s="55">
        <x:f t="shared" si="23"/>
        <x:v>2696.666666666667</x:v>
      </x:c>
      <x:c r="L58" s="55">
        <x:f t="shared" si="23"/>
        <x:v>2311.4285714285716</x:v>
      </x:c>
      <x:c r="M58" s="55">
        <x:f t="shared" si="23"/>
        <x:v>2022.5</x:v>
      </x:c>
      <x:c r="N58" s="55">
        <x:f t="shared" si="23"/>
        <x:v>1797.7777777777778</x:v>
      </x:c>
      <x:c r="O58" s="55">
        <x:f t="shared" si="23"/>
        <x:v>1618</x:v>
      </x:c>
      <x:c r="P58" s="55">
        <x:f t="shared" si="23"/>
        <x:v>0</x:v>
      </x:c>
      <x:c r="Q58" s="55">
        <x:f t="shared" si="23"/>
        <x:v>0</x:v>
      </x:c>
      <x:c r="R58" s="55">
        <x:f t="shared" si="23"/>
        <x:v>0</x:v>
      </x:c>
      <x:c r="S58" s="55">
        <x:f t="shared" si="23"/>
        <x:v>0</x:v>
      </x:c>
      <x:c r="T58" s="55">
        <x:f t="shared" si="23"/>
        <x:v>0</x:v>
      </x:c>
      <x:c r="U58" s="55">
        <x:f t="shared" si="23"/>
        <x:v>0</x:v>
      </x:c>
      <x:c r="V58" s="55">
        <x:f t="shared" si="22"/>
        <x:v>0</x:v>
      </x:c>
      <x:c r="W58" s="55">
        <x:f t="shared" si="22"/>
        <x:v>0</x:v>
      </x:c>
      <x:c r="X58" s="55">
        <x:f t="shared" si="22"/>
        <x:v>0</x:v>
      </x:c>
      <x:c r="Y58" s="55">
        <x:f t="shared" si="22"/>
        <x:v>0</x:v>
      </x:c>
      <x:c r="Z58" s="55">
        <x:f t="shared" si="22"/>
        <x:v>0</x:v>
      </x:c>
      <x:c r="AA58" s="55">
        <x:f t="shared" si="22"/>
        <x:v>0</x:v>
      </x:c>
      <x:c r="AB58" s="55">
        <x:f t="shared" si="22"/>
        <x:v>0</x:v>
      </x:c>
      <x:c r="AC58" s="55">
        <x:f t="shared" si="22"/>
        <x:v>0</x:v>
      </x:c>
      <x:c r="AD58" s="55">
        <x:f t="shared" si="22"/>
        <x:v>0</x:v>
      </x:c>
      <x:c r="AF58" s="48"/>
    </x:row>
    <x:row r="59" spans="2:55">
      <x:c r="B59" s="4" t="s">
        <x:v>3</x:v>
      </x:c>
      <x:c r="C59" s="150" t="n">
        <x:v>262400</x:v>
      </x:c>
      <x:c r="D59" s="19"/>
      <x:c r="E59" s="19"/>
      <x:c r="F59" s="98">
        <x:f t="shared" si="23"/>
        <x:v>308340</x:v>
      </x:c>
      <x:c r="G59" s="98">
        <x:f t="shared" si="23"/>
        <x:v>380100</x:v>
      </x:c>
      <x:c r="H59" s="98">
        <x:f t="shared" si="23"/>
        <x:v>285100</x:v>
      </x:c>
      <x:c r="I59" s="98">
        <x:f t="shared" si="23"/>
        <x:v>342335</x:v>
      </x:c>
      <x:c r="J59" s="98">
        <x:f t="shared" si="23"/>
        <x:v>395784</x:v>
      </x:c>
      <x:c r="K59" s="98">
        <x:f t="shared" si="23"/>
        <x:v>350346.66666666663</x:v>
      </x:c>
      <x:c r="L59" s="98">
        <x:f t="shared" si="23"/>
        <x:v>322855.08571428573</x:v>
      </x:c>
      <x:c r="M59" s="98">
        <x:f t="shared" si="23"/>
        <x:v>321752.5</x:v>
      </x:c>
      <x:c r="N59" s="98">
        <x:f t="shared" si="23"/>
        <x:v>323540</x:v>
      </x:c>
      <x:c r="O59" s="98">
        <x:f t="shared" si="23"/>
        <x:v>312590</x:v>
      </x:c>
      <x:c r="P59" s="98">
        <x:f t="shared" si="23"/>
        <x:v>0</x:v>
      </x:c>
      <x:c r="Q59" s="98">
        <x:f t="shared" si="23"/>
        <x:v>0</x:v>
      </x:c>
      <x:c r="R59" s="98">
        <x:f t="shared" si="23"/>
        <x:v>0</x:v>
      </x:c>
      <x:c r="S59" s="98">
        <x:f t="shared" si="23"/>
        <x:v>0</x:v>
      </x:c>
      <x:c r="T59" s="98">
        <x:f t="shared" si="23"/>
        <x:v>0</x:v>
      </x:c>
      <x:c r="U59" s="98">
        <x:f t="shared" si="23"/>
        <x:v>0</x:v>
      </x:c>
      <x:c r="V59" s="98">
        <x:f t="shared" si="22"/>
        <x:v>0</x:v>
      </x:c>
      <x:c r="W59" s="98">
        <x:f t="shared" si="22"/>
        <x:v>0</x:v>
      </x:c>
      <x:c r="X59" s="98">
        <x:f t="shared" si="22"/>
        <x:v>0</x:v>
      </x:c>
      <x:c r="Y59" s="98">
        <x:f t="shared" si="22"/>
        <x:v>0</x:v>
      </x:c>
      <x:c r="Z59" s="98">
        <x:f t="shared" si="22"/>
        <x:v>0</x:v>
      </x:c>
      <x:c r="AA59" s="98">
        <x:f t="shared" si="22"/>
        <x:v>0</x:v>
      </x:c>
      <x:c r="AB59" s="98">
        <x:f t="shared" si="22"/>
        <x:v>0</x:v>
      </x:c>
      <x:c r="AC59" s="98">
        <x:f t="shared" si="22"/>
        <x:v>0</x:v>
      </x:c>
      <x:c r="AD59" s="98">
        <x:f t="shared" si="22"/>
        <x:v>0</x:v>
      </x:c>
    </x:row>
    <x:row r="60" spans="2:55">
      <x:c r="B60" s="153" t="s">
        <x:v>27</x:v>
      </x:c>
      <x:c r="C60" s="151">
        <x:f>SUM(C53:C59)</x:f>
        <x:v>1604600</x:v>
      </x:c>
      <x:c r="D60" s="10">
        <x:f>SUM(D53:D59)</x:f>
        <x:v>0</x:v>
      </x:c>
      <x:c r="E60" s="10"/>
      <x:c r="F60" s="10">
        <x:f t="shared" ref="F60:AD60" si="24">SUM(F53:F59)</x:f>
        <x:v>727360</x:v>
      </x:c>
      <x:c r="G60" s="10">
        <x:f t="shared" si="24"/>
        <x:v>809260</x:v>
      </x:c>
      <x:c r="H60" s="10">
        <x:f t="shared" si="24"/>
        <x:v>797473.33333333326</x:v>
      </x:c>
      <x:c r="I60" s="10">
        <x:f t="shared" si="24"/>
        <x:v>914365</x:v>
      </x:c>
      <x:c r="J60" s="10">
        <x:f t="shared" si="24"/>
        <x:v>964568</x:v>
      </x:c>
      <x:c r="K60" s="10">
        <x:f t="shared" si="24"/>
        <x:v>893316.66666666663</x:v>
      </x:c>
      <x:c r="L60" s="10">
        <x:f t="shared" si="24"/>
        <x:v>832172.22857142868</x:v>
      </x:c>
      <x:c r="M60" s="10">
        <x:f t="shared" si="24"/>
        <x:v>893525</x:v>
      </x:c>
      <x:c r="N60" s="10">
        <x:f t="shared" si="24"/>
        <x:v>865837.77777777775</x:v>
      </x:c>
      <x:c r="O60" s="10">
        <x:f t="shared" si="24"/>
        <x:v>840220</x:v>
      </x:c>
      <x:c r="P60" s="10">
        <x:f t="shared" si="24"/>
        <x:v>0</x:v>
      </x:c>
      <x:c r="Q60" s="10">
        <x:f t="shared" si="24"/>
        <x:v>0</x:v>
      </x:c>
      <x:c r="R60" s="10">
        <x:f t="shared" si="24"/>
        <x:v>0</x:v>
      </x:c>
      <x:c r="S60" s="10">
        <x:f t="shared" si="24"/>
        <x:v>0</x:v>
      </x:c>
      <x:c r="T60" s="10">
        <x:f t="shared" si="24"/>
        <x:v>0</x:v>
      </x:c>
      <x:c r="U60" s="10">
        <x:f t="shared" si="24"/>
        <x:v>0</x:v>
      </x:c>
      <x:c r="V60" s="10">
        <x:f t="shared" si="24"/>
        <x:v>0</x:v>
      </x:c>
      <x:c r="W60" s="10">
        <x:f t="shared" si="24"/>
        <x:v>0</x:v>
      </x:c>
      <x:c r="X60" s="10">
        <x:f t="shared" si="24"/>
        <x:v>0</x:v>
      </x:c>
      <x:c r="Y60" s="10">
        <x:f t="shared" si="24"/>
        <x:v>0</x:v>
      </x:c>
      <x:c r="Z60" s="10">
        <x:f t="shared" si="24"/>
        <x:v>0</x:v>
      </x:c>
      <x:c r="AA60" s="10">
        <x:f t="shared" si="24"/>
        <x:v>0</x:v>
      </x:c>
      <x:c r="AB60" s="10">
        <x:f t="shared" si="24"/>
        <x:v>0</x:v>
      </x:c>
      <x:c r="AC60" s="10">
        <x:f t="shared" si="24"/>
        <x:v>0</x:v>
      </x:c>
      <x:c r="AD60" s="10">
        <x:f t="shared" si="24"/>
        <x:v>0</x:v>
      </x:c>
    </x:row>
    <x:row r="61" spans="2:55">
      <x:c r="B61" s="5"/>
      <x:c r="C61" s="152" t="s">
        <x:v>28</x:v>
      </x:c>
      <x:c r="D61" s="4"/>
      <x:c r="E61" s="4"/>
      <x:c r="F61" s="4"/>
      <x:c r="G61" s="4"/>
      <x:c r="H61" s="4"/>
      <x:c r="I61" s="4"/>
      <x:c r="J61" s="4"/>
      <x:c r="K61" s="4"/>
      <x:c r="L61" s="4"/>
      <x:c r="M61" s="4"/>
      <x:c r="N61" s="4"/>
      <x:c r="O61" s="4"/>
      <x:c r="P61" s="4"/>
      <x:c r="Q61" s="4"/>
      <x:c r="R61" s="4"/>
      <x:c r="S61" s="4"/>
      <x:c r="T61" s="4"/>
      <x:c r="U61" s="4"/>
      <x:c r="V61" s="4"/>
      <x:c r="W61" s="4"/>
      <x:c r="X61" s="4"/>
    </x:row>
    <x:row r="62" spans="2:55">
      <x:c r="B62" s="1"/>
      <x:c r="J62" s="28"/>
      <x:c r="K62" s="28"/>
      <x:c r="L62" s="28"/>
    </x:row>
    <x:row r="63" spans="2:55">
      <x:c r="B63" s="1"/>
      <x:c r="C63" s="28"/>
      <x:c r="E63" s="3" t="str">
        <x:f>+B14</x:f>
        <x:v>Group</x:v>
      </x:c>
      <x:c r="F63" s="144">
        <x:f>+$C$14*F2</x:f>
        <x:v>80230</x:v>
      </x:c>
      <x:c r="G63" s="144">
        <x:f t="shared" ref="G63:AD63" si="25">+$C$14*G2</x:f>
        <x:v>160460</x:v>
      </x:c>
      <x:c r="H63" s="144">
        <x:f t="shared" si="25"/>
        <x:v>240690</x:v>
      </x:c>
      <x:c r="I63" s="144">
        <x:f t="shared" si="25"/>
        <x:v>320920</x:v>
      </x:c>
      <x:c r="J63" s="144">
        <x:f t="shared" si="25"/>
        <x:v>401150</x:v>
      </x:c>
      <x:c r="K63" s="144">
        <x:f t="shared" si="25"/>
        <x:v>481380</x:v>
      </x:c>
      <x:c r="L63" s="144">
        <x:f t="shared" si="25"/>
        <x:v>561610</x:v>
      </x:c>
      <x:c r="M63" s="144">
        <x:f t="shared" si="25"/>
        <x:v>641840</x:v>
      </x:c>
      <x:c r="N63" s="144">
        <x:f t="shared" si="25"/>
        <x:v>722070</x:v>
      </x:c>
      <x:c r="O63" s="144">
        <x:f t="shared" si="25"/>
        <x:v>802300</x:v>
      </x:c>
      <x:c r="P63" s="144">
        <x:f t="shared" si="25"/>
        <x:v>882530</x:v>
      </x:c>
      <x:c r="Q63" s="144">
        <x:f t="shared" si="25"/>
        <x:v>962760</x:v>
      </x:c>
      <x:c r="R63" s="144">
        <x:f t="shared" si="25"/>
        <x:v>1042990</x:v>
      </x:c>
      <x:c r="S63" s="144">
        <x:f t="shared" si="25"/>
        <x:v>1123220</x:v>
      </x:c>
      <x:c r="T63" s="144">
        <x:f t="shared" si="25"/>
        <x:v>1203450</x:v>
      </x:c>
      <x:c r="U63" s="144">
        <x:f t="shared" si="25"/>
        <x:v>1283680</x:v>
      </x:c>
      <x:c r="V63" s="144">
        <x:f t="shared" si="25"/>
        <x:v>1363910</x:v>
      </x:c>
      <x:c r="W63" s="144">
        <x:f t="shared" si="25"/>
        <x:v>1444140</x:v>
      </x:c>
      <x:c r="X63" s="144">
        <x:f t="shared" si="25"/>
        <x:v>1524370</x:v>
      </x:c>
      <x:c r="Y63" s="144">
        <x:f t="shared" si="25"/>
        <x:v>1604600</x:v>
      </x:c>
      <x:c r="Z63" s="144">
        <x:f t="shared" si="25"/>
        <x:v>1684830</x:v>
      </x:c>
      <x:c r="AA63" s="144">
        <x:f t="shared" si="25"/>
        <x:v>1765060</x:v>
      </x:c>
      <x:c r="AB63" s="144">
        <x:f t="shared" si="25"/>
        <x:v>1845290</x:v>
      </x:c>
      <x:c r="AC63" s="144">
        <x:f t="shared" si="25"/>
        <x:v>1925520</x:v>
      </x:c>
      <x:c r="AD63" s="144">
        <x:f t="shared" si="25"/>
        <x:v>2005750</x:v>
      </x:c>
    </x:row>
    <x:row r="64" spans="2:55">
      <x:c r="B64" s="1"/>
      <x:c r="E64" s="3"/>
      <x:c r="F64" s="144"/>
      <x:c r="G64" s="3"/>
      <x:c r="H64" s="3"/>
      <x:c r="I64" s="3"/>
      <x:c r="J64" s="3"/>
      <x:c r="K64" s="3"/>
      <x:c r="L64" s="3"/>
      <x:c r="M64" s="3"/>
      <x:c r="N64" s="3"/>
      <x:c r="O64" s="3"/>
      <x:c r="P64" s="3"/>
      <x:c r="Q64" s="3"/>
      <x:c r="R64" s="3"/>
      <x:c r="S64" s="3"/>
      <x:c r="T64" s="3"/>
      <x:c r="U64" s="3"/>
      <x:c r="V64" s="3"/>
      <x:c r="W64" s="3"/>
      <x:c r="X64" s="3"/>
      <x:c r="Y64" s="3"/>
      <x:c r="Z64" s="3"/>
      <x:c r="AA64" s="3"/>
      <x:c r="AB64" s="3"/>
      <x:c r="AC64" s="3"/>
      <x:c r="AD64" s="3"/>
    </x:row>
    <x:row r="65" spans="2:30">
      <x:c r="E65" s="3"/>
      <x:c r="F65" s="144"/>
      <x:c r="G65" s="3"/>
      <x:c r="H65" s="3"/>
      <x:c r="I65" s="3"/>
      <x:c r="J65" s="3"/>
      <x:c r="K65" s="3"/>
      <x:c r="L65" s="3"/>
      <x:c r="M65" s="3"/>
      <x:c r="N65" s="3"/>
      <x:c r="O65" s="3"/>
      <x:c r="P65" s="3"/>
      <x:c r="Q65" s="3"/>
      <x:c r="R65" s="3"/>
      <x:c r="S65" s="3"/>
      <x:c r="T65" s="3"/>
      <x:c r="U65" s="3"/>
      <x:c r="V65" s="3"/>
      <x:c r="W65" s="3"/>
      <x:c r="X65" s="3"/>
      <x:c r="Y65" s="3"/>
      <x:c r="Z65" s="3"/>
      <x:c r="AA65" s="3"/>
      <x:c r="AB65" s="3"/>
      <x:c r="AC65" s="3"/>
      <x:c r="AD65" s="3"/>
    </x:row>
    <x:row r="66" spans="2:30">
      <x:c r="E66" s="3"/>
      <x:c r="F66" s="144"/>
      <x:c r="G66" s="3"/>
      <x:c r="H66" s="3"/>
      <x:c r="I66" s="3"/>
      <x:c r="J66" s="3"/>
      <x:c r="K66" s="3"/>
      <x:c r="L66" s="3"/>
      <x:c r="M66" s="3"/>
      <x:c r="N66" s="3"/>
      <x:c r="O66" s="3"/>
      <x:c r="P66" s="3"/>
      <x:c r="Q66" s="3"/>
      <x:c r="R66" s="3"/>
      <x:c r="S66" s="3"/>
      <x:c r="T66" s="3"/>
      <x:c r="U66" s="3"/>
      <x:c r="V66" s="3"/>
      <x:c r="W66" s="3"/>
      <x:c r="X66" s="3"/>
      <x:c r="Y66" s="3"/>
      <x:c r="Z66" s="3"/>
      <x:c r="AA66" s="3"/>
      <x:c r="AB66" s="3"/>
      <x:c r="AC66" s="3"/>
      <x:c r="AD66" s="3"/>
    </x:row>
    <x:row r="67" spans="2:30">
      <x:c r="B67" s="1"/>
      <x:c r="E67" s="3"/>
      <x:c r="F67" s="144"/>
      <x:c r="G67" s="3"/>
      <x:c r="H67" s="3"/>
      <x:c r="I67" s="3"/>
      <x:c r="J67" s="3"/>
      <x:c r="K67" s="3"/>
      <x:c r="L67" s="3"/>
      <x:c r="M67" s="3"/>
      <x:c r="N67" s="3"/>
      <x:c r="O67" s="3"/>
      <x:c r="P67" s="3"/>
      <x:c r="Q67" s="3"/>
      <x:c r="R67" s="3"/>
      <x:c r="S67" s="3"/>
      <x:c r="T67" s="3"/>
      <x:c r="U67" s="3"/>
      <x:c r="V67" s="3"/>
      <x:c r="W67" s="3"/>
      <x:c r="X67" s="3"/>
      <x:c r="Y67" s="3"/>
      <x:c r="Z67" s="3"/>
      <x:c r="AA67" s="3"/>
      <x:c r="AB67" s="3"/>
      <x:c r="AC67" s="3"/>
      <x:c r="AD67" s="3"/>
    </x:row>
    <x:row r="68" spans="2:30">
      <x:c r="B68" s="1"/>
      <x:c r="E68" s="3"/>
      <x:c r="F68" s="144"/>
      <x:c r="G68" s="3"/>
      <x:c r="H68" s="3"/>
      <x:c r="I68" s="3"/>
      <x:c r="J68" s="3"/>
      <x:c r="K68" s="3"/>
      <x:c r="L68" s="3"/>
      <x:c r="M68" s="3"/>
      <x:c r="N68" s="3"/>
      <x:c r="O68" s="3"/>
      <x:c r="P68" s="3"/>
      <x:c r="Q68" s="3"/>
      <x:c r="R68" s="3"/>
      <x:c r="S68" s="3"/>
      <x:c r="T68" s="3"/>
      <x:c r="U68" s="3"/>
      <x:c r="V68" s="3"/>
      <x:c r="W68" s="3"/>
      <x:c r="X68" s="3"/>
      <x:c r="Y68" s="3"/>
      <x:c r="Z68" s="3"/>
      <x:c r="AA68" s="3"/>
      <x:c r="AB68" s="3"/>
      <x:c r="AC68" s="3"/>
      <x:c r="AD68" s="3"/>
    </x:row>
    <x:row r="69" spans="2:30">
      <x:c r="B69" s="1"/>
      <x:c r="E69" s="3"/>
      <x:c r="F69" s="144"/>
      <x:c r="G69" s="3"/>
      <x:c r="H69" s="3"/>
      <x:c r="I69" s="3"/>
      <x:c r="J69" s="3"/>
      <x:c r="K69" s="3"/>
      <x:c r="L69" s="3"/>
      <x:c r="M69" s="3"/>
      <x:c r="N69" s="3"/>
      <x:c r="O69" s="3"/>
      <x:c r="P69" s="3"/>
      <x:c r="Q69" s="3"/>
      <x:c r="R69" s="3"/>
      <x:c r="S69" s="3"/>
      <x:c r="T69" s="3"/>
      <x:c r="U69" s="3"/>
      <x:c r="V69" s="3"/>
      <x:c r="W69" s="3"/>
      <x:c r="X69" s="3"/>
      <x:c r="Y69" s="3"/>
      <x:c r="Z69" s="3"/>
      <x:c r="AA69" s="3"/>
      <x:c r="AB69" s="3"/>
      <x:c r="AC69" s="3"/>
      <x:c r="AD69" s="3"/>
    </x:row>
    <x:row r="70" spans="2:30">
      <x:c r="E70" s="143"/>
      <x:c r="F70" s="144"/>
      <x:c r="G70" s="143"/>
      <x:c r="H70" s="143"/>
      <x:c r="I70" s="143"/>
      <x:c r="J70" s="143"/>
      <x:c r="K70" s="143"/>
      <x:c r="L70" s="143"/>
      <x:c r="M70" s="143"/>
      <x:c r="N70" s="143"/>
      <x:c r="O70" s="143"/>
      <x:c r="P70" s="143"/>
      <x:c r="Q70" s="143"/>
      <x:c r="R70" s="143"/>
      <x:c r="S70" s="143"/>
      <x:c r="T70" s="143"/>
      <x:c r="U70" s="143"/>
      <x:c r="V70" s="143"/>
      <x:c r="W70" s="143"/>
      <x:c r="X70" s="143"/>
      <x:c r="Y70" s="143"/>
      <x:c r="Z70" s="143"/>
      <x:c r="AA70" s="143"/>
      <x:c r="AB70" s="143"/>
      <x:c r="AC70" s="143"/>
      <x:c r="AD70" s="143"/>
    </x:row>
    <x:row r="71" spans="2:30">
      <x:c r="B71" s="1"/>
      <x:c r="E71" s="143"/>
      <x:c r="F71" s="143"/>
    </x:row>
    <x:row r="72" spans="2:30">
      <x:c r="B72" s="1"/>
      <x:c r="E72" s="143"/>
      <x:c r="F72" s="143"/>
    </x:row>
    <x:row r="73" spans="2:30">
      <x:c r="B73" s="1"/>
      <x:c r="E73" s="3"/>
      <x:c r="F73" s="143"/>
    </x:row>
    <x:row r="74" spans="2:30">
      <x:c r="E74" s="143"/>
      <x:c r="F74" s="143"/>
    </x:row>
    <x:row r="75" spans="2:30">
      <x:c r="B75" s="1"/>
      <x:c r="E75" s="1"/>
      <x:c r="F75" s="1"/>
    </x:row>
    <x:row r="76" spans="2:30">
      <x:c r="B76" s="1"/>
      <x:c r="E76" s="1"/>
      <x:c r="F76" s="1"/>
    </x:row>
    <x:row r="77" spans="2:30">
      <x:c r="B77" s="1"/>
      <x:c r="F77" s="1"/>
    </x:row>
    <x:row r="78" spans="2:30">
      <x:c r="B78" s="1"/>
      <x:c r="E78" s="1"/>
      <x:c r="F78" s="1"/>
    </x:row>
    <x:row r="79" spans="2:30">
      <x:c r="E79" s="1"/>
      <x:c r="F79" s="1"/>
    </x:row>
    <x:row r="80" spans="2:30">
      <x:c r="E80" s="1"/>
      <x:c r="F80" s="1"/>
    </x:row>
    <x:row r="81" spans="5:6">
      <x:c r="E81" s="1"/>
      <x:c r="F81" s="1"/>
    </x:row>
  </x:sheetData>
  <x:mergeCells count="1">
    <x:mergeCell ref="AE41:AF41"/>
  </x:mergeCells>
  <x:conditionalFormatting sqref="AE15">
    <x:cfRule type="cellIs" dxfId="10" priority="8" stopIfTrue="1" operator="lessThan">
      <x:formula>$C$14</x:formula>
    </x:cfRule>
    <x:cfRule type="cellIs" dxfId="9" priority="9" stopIfTrue="1" operator="lessThan">
      <x:formula>$C$14</x:formula>
    </x:cfRule>
    <x:cfRule type="cellIs" dxfId="8" priority="10" stopIfTrue="1" operator="greaterThan">
      <x:formula>$C$14</x:formula>
    </x:cfRule>
    <x:cfRule type="cellIs" dxfId="7" priority="11" stopIfTrue="1" operator="greaterThan">
      <x:formula>$C$14</x:formula>
    </x:cfRule>
  </x:conditionalFormatting>
  <x:conditionalFormatting sqref="AF30:AF37">
    <x:cfRule type="cellIs" dxfId="6" priority="4" stopIfTrue="1" operator="lessThan">
      <x:formula>0</x:formula>
    </x:cfRule>
    <x:cfRule type="cellIs" dxfId="5" priority="5" stopIfTrue="1" operator="greaterThan">
      <x:formula>0</x:formula>
    </x:cfRule>
    <x:cfRule type="cellIs" dxfId="4" priority="6" stopIfTrue="1" operator="lessThan">
      <x:formula>0</x:formula>
    </x:cfRule>
    <x:cfRule type="cellIs" dxfId="3" priority="7" stopIfTrue="1" operator="greaterThan">
      <x:formula>0</x:formula>
    </x:cfRule>
  </x:conditionalFormatting>
  <x:conditionalFormatting sqref="AE7:AE13">
    <x:cfRule type="cellIs" dxfId="2" priority="2" stopIfTrue="1" operator="lessThan">
      <x:formula>$C$7</x:formula>
    </x:cfRule>
    <x:cfRule type="cellIs" dxfId="1" priority="3" stopIfTrue="1" operator="greaterThan">
      <x:formula>$C$7</x:formula>
    </x:cfRule>
  </x:conditionalFormatting>
  <x:conditionalFormatting sqref="AE7:AE13">
    <x:cfRule type="cellIs" dxfId="0" priority="1" stopIfTrue="1" operator="greaterThan">
      <x:formula>#REF!</x:formula>
    </x:cfRule>
  </x:conditionalFormatting>
  <x:pageMargins left="0.7" right="0.7" top="0.75" bottom="0.75" header="0.3" footer="0.3"/>
  <x:pageSetup paperSize="9" orientation="portrait" r:id="rId1"/>
  <x:drawing r:id="rId2"/>
</x:worksheet>
</file>

<file path=xl/worksheets/sheet4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J1" workbookViewId="0">
      <selection activeCell="R23" sqref="R23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49</v>
      </c>
    </row>
    <row r="3" spans="2:50">
      <c r="F3" s="28"/>
    </row>
    <row r="4" spans="2:50" ht="15.75" thickBot="1">
      <c r="B4" s="9" t="s">
        <v>24</v>
      </c>
      <c r="C4" s="4"/>
      <c r="D4" s="4"/>
      <c r="E4" s="4"/>
      <c r="F4" s="4"/>
      <c r="G4" s="4"/>
      <c r="H4" s="4"/>
      <c r="I4" s="4"/>
      <c r="J4" s="82" t="s">
        <v>45</v>
      </c>
      <c r="K4" s="82" t="s">
        <v>45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44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13000</v>
      </c>
      <c r="D6" s="10"/>
      <c r="E6" s="11">
        <v>97247</v>
      </c>
      <c r="F6" s="10">
        <v>13725</v>
      </c>
      <c r="G6" s="10">
        <v>7894</v>
      </c>
      <c r="H6" s="10">
        <v>18107</v>
      </c>
      <c r="I6" s="10">
        <v>17177</v>
      </c>
      <c r="J6" s="10">
        <v>2695</v>
      </c>
      <c r="K6" s="81"/>
      <c r="L6" s="10">
        <v>32877</v>
      </c>
      <c r="M6" s="10">
        <v>17641</v>
      </c>
      <c r="N6" s="10">
        <v>16775</v>
      </c>
      <c r="O6" s="10">
        <v>6127</v>
      </c>
      <c r="P6" s="10">
        <v>36548</v>
      </c>
      <c r="Q6" s="10">
        <v>12689</v>
      </c>
      <c r="R6" s="10">
        <v>16747</v>
      </c>
      <c r="S6" s="10">
        <v>12913</v>
      </c>
      <c r="T6" s="10">
        <v>12799</v>
      </c>
      <c r="U6" s="10">
        <v>12537</v>
      </c>
      <c r="V6" s="10">
        <v>13835</v>
      </c>
      <c r="W6" s="10">
        <v>5390</v>
      </c>
      <c r="X6" s="10">
        <v>7804</v>
      </c>
      <c r="Y6" s="10">
        <v>12325</v>
      </c>
      <c r="Z6" s="78">
        <f>SUM(F6:Y6)/Y$1</f>
        <v>13830.25</v>
      </c>
      <c r="AX6"/>
    </row>
    <row r="7" spans="2:50">
      <c r="B7" s="4" t="s">
        <v>1</v>
      </c>
      <c r="C7" s="20">
        <f>+C41/20</f>
        <v>16250</v>
      </c>
      <c r="D7" s="10"/>
      <c r="E7" s="11">
        <f>50855-5790</f>
        <v>45065</v>
      </c>
      <c r="F7" s="10">
        <v>5790</v>
      </c>
      <c r="G7" s="10">
        <v>3500</v>
      </c>
      <c r="H7" s="10">
        <v>8690</v>
      </c>
      <c r="I7" s="10">
        <v>4795</v>
      </c>
      <c r="J7" s="10">
        <v>0</v>
      </c>
      <c r="K7" s="10">
        <v>4985</v>
      </c>
      <c r="L7" s="10">
        <v>4795</v>
      </c>
      <c r="M7" s="10">
        <v>6995</v>
      </c>
      <c r="N7" s="10">
        <v>10185</v>
      </c>
      <c r="O7" s="10">
        <v>12040</v>
      </c>
      <c r="P7" s="10">
        <v>13080</v>
      </c>
      <c r="Q7" s="10">
        <v>10185</v>
      </c>
      <c r="R7" s="10">
        <v>5695</v>
      </c>
      <c r="S7" s="10">
        <v>11440</v>
      </c>
      <c r="T7" s="10">
        <v>10695</v>
      </c>
      <c r="U7" s="10">
        <v>12385</v>
      </c>
      <c r="V7" s="10">
        <v>13485</v>
      </c>
      <c r="W7" s="10">
        <v>15635</v>
      </c>
      <c r="X7" s="10">
        <v>10931</v>
      </c>
      <c r="Y7" s="10">
        <v>12260</v>
      </c>
      <c r="Z7" s="69">
        <f>SUM(F7:Y7)/Y$1</f>
        <v>8878.2999999999993</v>
      </c>
      <c r="AX7"/>
    </row>
    <row r="8" spans="2:50">
      <c r="B8" s="4" t="s">
        <v>2</v>
      </c>
      <c r="C8" s="20">
        <f>+C42/20</f>
        <v>9900</v>
      </c>
      <c r="D8" s="10"/>
      <c r="E8" s="11">
        <f>44190*0.9</f>
        <v>39771</v>
      </c>
      <c r="F8" s="10">
        <v>0</v>
      </c>
      <c r="G8" s="10">
        <f>7295*0.9</f>
        <v>6565.5</v>
      </c>
      <c r="H8" s="10">
        <f>8990*0.9</f>
        <v>8091</v>
      </c>
      <c r="I8" s="10">
        <f>15985*0.9</f>
        <v>14386.5</v>
      </c>
      <c r="J8" s="81"/>
      <c r="K8" s="10">
        <v>4790</v>
      </c>
      <c r="L8" s="10">
        <f>17080*0.9</f>
        <v>15372</v>
      </c>
      <c r="M8" s="10">
        <f>6640*0.9</f>
        <v>5976</v>
      </c>
      <c r="N8" s="10">
        <f>20830*0.9</f>
        <v>18747</v>
      </c>
      <c r="O8" s="10">
        <f>10185*0.9</f>
        <v>9166.5</v>
      </c>
      <c r="P8" s="10">
        <f>17685*0.9</f>
        <v>15916.5</v>
      </c>
      <c r="Q8" s="10">
        <f>8645*0.9</f>
        <v>7780.5</v>
      </c>
      <c r="R8" s="10">
        <f>9690*0.9</f>
        <v>8721</v>
      </c>
      <c r="S8" s="10">
        <f>11742*0.9</f>
        <v>10567.800000000001</v>
      </c>
      <c r="T8" s="10">
        <f>5450*0.9</f>
        <v>4905</v>
      </c>
      <c r="U8" s="10">
        <f>4695*0.9</f>
        <v>4225.5</v>
      </c>
      <c r="V8" s="10">
        <v>0</v>
      </c>
      <c r="W8" s="10">
        <f>14290*0.9</f>
        <v>12861</v>
      </c>
      <c r="X8" s="10">
        <f>22645*0.9</f>
        <v>20380.5</v>
      </c>
      <c r="Y8" s="10">
        <v>3866</v>
      </c>
      <c r="Z8" s="69">
        <f>SUM(F8:Y8)/Y$1</f>
        <v>8615.9149999999991</v>
      </c>
      <c r="AX8"/>
    </row>
    <row r="9" spans="2:50">
      <c r="B9" s="4" t="s">
        <v>3</v>
      </c>
      <c r="C9" s="21">
        <f>+C43/20</f>
        <v>19270</v>
      </c>
      <c r="D9" s="13"/>
      <c r="E9" s="40">
        <f>(91103-13894)*1.64</f>
        <v>126622.76</v>
      </c>
      <c r="F9" s="13">
        <f>13984*1.64</f>
        <v>22933.759999999998</v>
      </c>
      <c r="G9" s="13">
        <f>15357*1.64</f>
        <v>25185.48</v>
      </c>
      <c r="H9" s="13">
        <f>17903*1.64</f>
        <v>29360.92</v>
      </c>
      <c r="I9" s="13">
        <f>19625*1.64</f>
        <v>32184.999999999996</v>
      </c>
      <c r="J9" s="80"/>
      <c r="K9" s="80"/>
      <c r="L9" s="13">
        <f>14993*1.64</f>
        <v>24588.519999999997</v>
      </c>
      <c r="M9" s="13">
        <f>10714*1.64</f>
        <v>17570.96</v>
      </c>
      <c r="N9" s="13">
        <f>21103*1.64</f>
        <v>34608.92</v>
      </c>
      <c r="O9" s="13">
        <f>8328*1.64</f>
        <v>13657.92</v>
      </c>
      <c r="P9" s="13">
        <f>4528*1.64</f>
        <v>7425.9199999999992</v>
      </c>
      <c r="Q9" s="13">
        <f>11767*1.64</f>
        <v>19297.879999999997</v>
      </c>
      <c r="R9" s="13">
        <f>12410*1.64</f>
        <v>20352.399999999998</v>
      </c>
      <c r="S9" s="13">
        <f>10491*1.64</f>
        <v>17205.239999999998</v>
      </c>
      <c r="T9" s="13">
        <f>16684*1.64</f>
        <v>27361.759999999998</v>
      </c>
      <c r="U9" s="13">
        <f>11713*1.64</f>
        <v>19209.32</v>
      </c>
      <c r="V9" s="13">
        <f>16348*1.64</f>
        <v>26810.719999999998</v>
      </c>
      <c r="W9" s="13">
        <f>11699*1.64</f>
        <v>19186.36</v>
      </c>
      <c r="X9" s="13">
        <f>8245*1.64</f>
        <v>13521.8</v>
      </c>
      <c r="Y9" s="13">
        <f>12114*1.64</f>
        <v>19866.96</v>
      </c>
      <c r="Z9" s="85">
        <f>SUM(F9:Y9)/Y$1</f>
        <v>19516.492000000002</v>
      </c>
      <c r="AX9"/>
    </row>
    <row r="10" spans="2:50" ht="15.75" thickBot="1">
      <c r="B10" s="14" t="s">
        <v>27</v>
      </c>
      <c r="C10" s="20">
        <f>SUM(C6:C9)</f>
        <v>58420</v>
      </c>
      <c r="D10" s="10"/>
      <c r="E10" s="11">
        <f t="shared" ref="E10:Y10" si="0">SUM(E6:E9)</f>
        <v>308705.76</v>
      </c>
      <c r="F10" s="10">
        <f t="shared" si="0"/>
        <v>42448.759999999995</v>
      </c>
      <c r="G10" s="10">
        <f t="shared" si="0"/>
        <v>43144.979999999996</v>
      </c>
      <c r="H10" s="10">
        <f t="shared" si="0"/>
        <v>64248.92</v>
      </c>
      <c r="I10" s="10">
        <f t="shared" si="0"/>
        <v>68543.5</v>
      </c>
      <c r="J10" s="10">
        <f t="shared" si="0"/>
        <v>2695</v>
      </c>
      <c r="K10" s="10">
        <f t="shared" si="0"/>
        <v>9775</v>
      </c>
      <c r="L10" s="10">
        <f t="shared" si="0"/>
        <v>77632.51999999999</v>
      </c>
      <c r="M10" s="10">
        <f t="shared" si="0"/>
        <v>48182.96</v>
      </c>
      <c r="N10" s="10">
        <f t="shared" si="0"/>
        <v>80315.92</v>
      </c>
      <c r="O10" s="10">
        <f t="shared" si="0"/>
        <v>40991.42</v>
      </c>
      <c r="P10" s="10">
        <f t="shared" si="0"/>
        <v>72970.42</v>
      </c>
      <c r="Q10" s="10">
        <f t="shared" si="0"/>
        <v>49952.38</v>
      </c>
      <c r="R10" s="10">
        <f t="shared" si="0"/>
        <v>51515.399999999994</v>
      </c>
      <c r="S10" s="10">
        <f t="shared" si="0"/>
        <v>52126.04</v>
      </c>
      <c r="T10" s="10">
        <f>SUM(T6:T9)</f>
        <v>55760.759999999995</v>
      </c>
      <c r="U10" s="10">
        <f t="shared" si="0"/>
        <v>48356.82</v>
      </c>
      <c r="V10" s="10">
        <f t="shared" si="0"/>
        <v>54130.720000000001</v>
      </c>
      <c r="W10" s="10">
        <f t="shared" si="0"/>
        <v>53072.36</v>
      </c>
      <c r="X10" s="10">
        <f t="shared" si="0"/>
        <v>52637.3</v>
      </c>
      <c r="Y10" s="10">
        <f t="shared" si="0"/>
        <v>48317.96</v>
      </c>
      <c r="Z10" s="67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SUM(F10:Y10)/Y$1</f>
        <v>50840.956999999995</v>
      </c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1.0557692307692308</v>
      </c>
      <c r="G15" s="25">
        <f t="shared" si="2"/>
        <v>0.60723076923076924</v>
      </c>
      <c r="H15" s="25">
        <f t="shared" si="2"/>
        <v>1.3928461538461538</v>
      </c>
      <c r="I15" s="25">
        <f t="shared" si="2"/>
        <v>1.3213076923076923</v>
      </c>
      <c r="J15" s="25">
        <f t="shared" si="2"/>
        <v>0.2073076923076923</v>
      </c>
      <c r="K15" s="25">
        <f t="shared" si="2"/>
        <v>0</v>
      </c>
      <c r="L15" s="25">
        <f t="shared" si="2"/>
        <v>2.5289999999999999</v>
      </c>
      <c r="M15" s="25">
        <f t="shared" si="2"/>
        <v>1.357</v>
      </c>
      <c r="N15" s="25">
        <f t="shared" si="2"/>
        <v>1.2903846153846155</v>
      </c>
      <c r="O15" s="25">
        <f t="shared" si="2"/>
        <v>0.47130769230769232</v>
      </c>
      <c r="P15" s="25">
        <f t="shared" si="2"/>
        <v>2.8113846153846156</v>
      </c>
      <c r="Q15" s="25">
        <f t="shared" si="2"/>
        <v>0.97607692307692306</v>
      </c>
      <c r="R15" s="25">
        <f t="shared" si="2"/>
        <v>1.2882307692307693</v>
      </c>
      <c r="S15" s="25">
        <f t="shared" si="2"/>
        <v>0.99330769230769234</v>
      </c>
      <c r="T15" s="25">
        <f t="shared" si="2"/>
        <v>0.98453846153846158</v>
      </c>
      <c r="U15" s="25">
        <f t="shared" si="2"/>
        <v>0.9643846153846154</v>
      </c>
      <c r="V15" s="25">
        <f t="shared" si="2"/>
        <v>1.0642307692307693</v>
      </c>
      <c r="W15" s="25">
        <f t="shared" si="2"/>
        <v>0.41461538461538461</v>
      </c>
      <c r="X15" s="25">
        <f t="shared" si="2"/>
        <v>0.60030769230769232</v>
      </c>
      <c r="Y15" s="25">
        <f t="shared" si="2"/>
        <v>0.94807692307692304</v>
      </c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0.35630769230769233</v>
      </c>
      <c r="G16" s="25">
        <f t="shared" si="2"/>
        <v>0.2153846153846154</v>
      </c>
      <c r="H16" s="25">
        <f t="shared" si="2"/>
        <v>0.53476923076923077</v>
      </c>
      <c r="I16" s="25">
        <f t="shared" si="2"/>
        <v>0.29507692307692313</v>
      </c>
      <c r="J16" s="25">
        <f t="shared" si="2"/>
        <v>0</v>
      </c>
      <c r="K16" s="25">
        <f t="shared" si="2"/>
        <v>0.30676923076923079</v>
      </c>
      <c r="L16" s="25">
        <f t="shared" si="2"/>
        <v>0.29507692307692313</v>
      </c>
      <c r="M16" s="25">
        <f t="shared" si="2"/>
        <v>0.43046153846153845</v>
      </c>
      <c r="N16" s="25">
        <f t="shared" si="2"/>
        <v>0.62676923076923075</v>
      </c>
      <c r="O16" s="25">
        <f t="shared" si="2"/>
        <v>0.74092307692307691</v>
      </c>
      <c r="P16" s="25">
        <f t="shared" si="2"/>
        <v>0.80492307692307696</v>
      </c>
      <c r="Q16" s="25">
        <f t="shared" si="2"/>
        <v>0.62676923076923075</v>
      </c>
      <c r="R16" s="25">
        <f t="shared" si="2"/>
        <v>0.35046153846153849</v>
      </c>
      <c r="S16" s="25">
        <f t="shared" si="2"/>
        <v>0.70399999999999996</v>
      </c>
      <c r="T16" s="25">
        <f t="shared" si="2"/>
        <v>0.65815384615384609</v>
      </c>
      <c r="U16" s="25">
        <f t="shared" si="2"/>
        <v>0.76215384615384618</v>
      </c>
      <c r="V16" s="25">
        <f t="shared" si="2"/>
        <v>0.8298461538461539</v>
      </c>
      <c r="W16" s="25">
        <f t="shared" si="2"/>
        <v>0.96215384615384614</v>
      </c>
      <c r="X16" s="25">
        <f t="shared" si="2"/>
        <v>0.67267692307692306</v>
      </c>
      <c r="Y16" s="25">
        <f t="shared" si="2"/>
        <v>0.75446153846153852</v>
      </c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</v>
      </c>
      <c r="G17" s="25">
        <f t="shared" si="2"/>
        <v>0.66318181818181821</v>
      </c>
      <c r="H17" s="25">
        <f t="shared" si="2"/>
        <v>0.81727272727272726</v>
      </c>
      <c r="I17" s="25">
        <f t="shared" si="2"/>
        <v>1.4531818181818181</v>
      </c>
      <c r="J17" s="25">
        <f t="shared" si="2"/>
        <v>0</v>
      </c>
      <c r="K17" s="25">
        <f t="shared" si="2"/>
        <v>0.48383838383838385</v>
      </c>
      <c r="L17" s="25">
        <f t="shared" si="2"/>
        <v>1.5527272727272727</v>
      </c>
      <c r="M17" s="25">
        <f t="shared" si="2"/>
        <v>0.60363636363636364</v>
      </c>
      <c r="N17" s="25">
        <f t="shared" si="2"/>
        <v>1.8936363636363636</v>
      </c>
      <c r="O17" s="25">
        <f t="shared" si="2"/>
        <v>0.9259090909090909</v>
      </c>
      <c r="P17" s="25">
        <f t="shared" si="2"/>
        <v>1.6077272727272729</v>
      </c>
      <c r="Q17" s="25">
        <f t="shared" si="2"/>
        <v>0.78590909090909089</v>
      </c>
      <c r="R17" s="25">
        <f t="shared" si="2"/>
        <v>0.88090909090909086</v>
      </c>
      <c r="S17" s="25">
        <f t="shared" si="2"/>
        <v>1.0674545454545457</v>
      </c>
      <c r="T17" s="25">
        <f t="shared" si="2"/>
        <v>0.49545454545454548</v>
      </c>
      <c r="U17" s="25">
        <f t="shared" si="2"/>
        <v>0.42681818181818176</v>
      </c>
      <c r="V17" s="25">
        <f t="shared" si="2"/>
        <v>0</v>
      </c>
      <c r="W17" s="25">
        <f t="shared" si="2"/>
        <v>1.2990909090909091</v>
      </c>
      <c r="X17" s="25">
        <f t="shared" si="2"/>
        <v>2.0586363636363636</v>
      </c>
      <c r="Y17" s="25">
        <f t="shared" si="2"/>
        <v>0.39050505050505047</v>
      </c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1.1901276595744681</v>
      </c>
      <c r="G18" s="27">
        <f t="shared" si="2"/>
        <v>1.3069787234042554</v>
      </c>
      <c r="H18" s="27">
        <f t="shared" si="2"/>
        <v>1.523659574468085</v>
      </c>
      <c r="I18" s="27">
        <f t="shared" si="2"/>
        <v>1.6702127659574466</v>
      </c>
      <c r="J18" s="27">
        <f t="shared" si="2"/>
        <v>0</v>
      </c>
      <c r="K18" s="27">
        <f t="shared" si="2"/>
        <v>0</v>
      </c>
      <c r="L18" s="27">
        <f t="shared" si="2"/>
        <v>1.2759999999999998</v>
      </c>
      <c r="M18" s="27">
        <f t="shared" si="2"/>
        <v>0.91182978723404251</v>
      </c>
      <c r="N18" s="27">
        <f t="shared" si="2"/>
        <v>1.7959999999999998</v>
      </c>
      <c r="O18" s="27">
        <f t="shared" si="2"/>
        <v>0.70876595744680859</v>
      </c>
      <c r="P18" s="27">
        <f t="shared" si="2"/>
        <v>0.38536170212765952</v>
      </c>
      <c r="Q18" s="27">
        <f t="shared" si="2"/>
        <v>1.0014468085106381</v>
      </c>
      <c r="R18" s="27">
        <f t="shared" si="2"/>
        <v>1.0561702127659574</v>
      </c>
      <c r="S18" s="27">
        <f t="shared" si="2"/>
        <v>0.89285106382978707</v>
      </c>
      <c r="T18" s="27">
        <f t="shared" si="2"/>
        <v>1.4199148936170212</v>
      </c>
      <c r="U18" s="27">
        <f t="shared" si="2"/>
        <v>0.99685106382978717</v>
      </c>
      <c r="V18" s="27">
        <f t="shared" si="2"/>
        <v>1.39131914893617</v>
      </c>
      <c r="W18" s="27">
        <f t="shared" si="2"/>
        <v>0.99565957446808517</v>
      </c>
      <c r="X18" s="27">
        <f t="shared" si="2"/>
        <v>0.7017021276595744</v>
      </c>
      <c r="Y18" s="27">
        <f t="shared" si="2"/>
        <v>1.0309787234042553</v>
      </c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0.72661348853132479</v>
      </c>
      <c r="G19" s="25">
        <f t="shared" si="2"/>
        <v>0.73853098254022587</v>
      </c>
      <c r="H19" s="25">
        <f t="shared" si="2"/>
        <v>1.0997761040739473</v>
      </c>
      <c r="I19" s="25">
        <f t="shared" si="2"/>
        <v>1.1732882574460801</v>
      </c>
      <c r="J19" s="25">
        <f>(J10-$C10)/$C10+1</f>
        <v>4.6131461828141096E-2</v>
      </c>
      <c r="K19" s="25">
        <f>(K10-$C10)/$C10+1</f>
        <v>0.16732283464566933</v>
      </c>
      <c r="L19" s="25">
        <f>(L10-$C10)/$C10+1</f>
        <v>1.3288688805203694</v>
      </c>
      <c r="M19" s="25">
        <f t="shared" si="2"/>
        <v>0.82476823005819921</v>
      </c>
      <c r="N19" s="25">
        <f t="shared" si="2"/>
        <v>1.3748017802122561</v>
      </c>
      <c r="O19" s="25">
        <f t="shared" si="2"/>
        <v>0.70166757959602877</v>
      </c>
      <c r="P19" s="25">
        <f t="shared" si="2"/>
        <v>1.2490657309140705</v>
      </c>
      <c r="Q19" s="25">
        <f t="shared" si="2"/>
        <v>0.85505614515576855</v>
      </c>
      <c r="R19" s="25">
        <f t="shared" si="2"/>
        <v>0.88181102362204711</v>
      </c>
      <c r="S19" s="25">
        <f>(S10-$C10)/$C10+1</f>
        <v>0.89226360835330365</v>
      </c>
      <c r="T19" s="25">
        <f>(T10-$C10)/$C10+1</f>
        <v>0.95448065730914067</v>
      </c>
      <c r="U19" s="25">
        <f>(U10-$C10)/$C10+1</f>
        <v>0.8277442656624443</v>
      </c>
      <c r="V19" s="25">
        <f>(V10-$C10)/$C10+1</f>
        <v>0.92657856898322488</v>
      </c>
      <c r="W19" s="25">
        <f>(W10-$C10)/$C10+1</f>
        <v>0.90846217048955835</v>
      </c>
      <c r="X19" s="25">
        <f t="shared" si="2"/>
        <v>0.90101506333447456</v>
      </c>
      <c r="Y19" s="25">
        <f t="shared" si="2"/>
        <v>0.82707908250599105</v>
      </c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44" t="s">
        <v>39</v>
      </c>
      <c r="AA21" s="50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45" t="s">
        <v>40</v>
      </c>
      <c r="AA22" s="51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111152</v>
      </c>
      <c r="G23" s="23">
        <v>119046</v>
      </c>
      <c r="H23" s="23">
        <v>136872</v>
      </c>
      <c r="I23" s="23">
        <v>154049</v>
      </c>
      <c r="J23" s="23">
        <v>156744</v>
      </c>
      <c r="K23" s="23">
        <v>189621</v>
      </c>
      <c r="L23" s="23">
        <v>207262</v>
      </c>
      <c r="M23" s="23">
        <v>222933</v>
      </c>
      <c r="N23" s="23">
        <v>227060</v>
      </c>
      <c r="O23" s="23">
        <v>227060</v>
      </c>
      <c r="P23" s="23">
        <v>240705</v>
      </c>
      <c r="Q23" s="23">
        <v>253394</v>
      </c>
      <c r="R23" s="60">
        <v>267356</v>
      </c>
      <c r="S23" s="60">
        <v>272465</v>
      </c>
      <c r="T23" s="60">
        <v>280269</v>
      </c>
      <c r="U23" s="60">
        <v>285378</v>
      </c>
      <c r="V23" s="60">
        <v>285378</v>
      </c>
      <c r="W23" s="60">
        <v>285378</v>
      </c>
      <c r="X23" s="60">
        <v>285378</v>
      </c>
      <c r="Y23" s="60">
        <v>282593</v>
      </c>
      <c r="Z23" s="46">
        <f>+Y23/C40</f>
        <v>1.0868961538461539</v>
      </c>
      <c r="AA23" s="52">
        <f>+Z23-Y$21</f>
        <v>8.6896153846153901E-2</v>
      </c>
      <c r="AX23"/>
    </row>
    <row r="24" spans="2:50">
      <c r="B24" s="4" t="str">
        <f>+B16</f>
        <v>Boston</v>
      </c>
      <c r="C24" s="4"/>
      <c r="D24" s="4"/>
      <c r="E24" s="23"/>
      <c r="F24" s="34">
        <v>50855</v>
      </c>
      <c r="G24" s="34">
        <v>57050</v>
      </c>
      <c r="H24" s="34">
        <v>65740</v>
      </c>
      <c r="I24" s="34">
        <v>70135</v>
      </c>
      <c r="J24" s="34">
        <v>70135</v>
      </c>
      <c r="K24" s="34">
        <v>75520</v>
      </c>
      <c r="L24" s="34">
        <v>80315</v>
      </c>
      <c r="M24" s="34">
        <v>87310</v>
      </c>
      <c r="N24" s="34">
        <v>97495</v>
      </c>
      <c r="O24" s="34">
        <v>109535</v>
      </c>
      <c r="P24" s="23">
        <v>123020</v>
      </c>
      <c r="Q24" s="23">
        <v>132800</v>
      </c>
      <c r="R24" s="23">
        <v>138495</v>
      </c>
      <c r="S24" s="23">
        <v>149935</v>
      </c>
      <c r="T24" s="23">
        <v>160630</v>
      </c>
      <c r="U24" s="23">
        <v>173015</v>
      </c>
      <c r="V24" s="23">
        <v>186500</v>
      </c>
      <c r="W24" s="23">
        <v>202135</v>
      </c>
      <c r="X24" s="23">
        <v>213066</v>
      </c>
      <c r="Y24" s="23">
        <v>215001</v>
      </c>
      <c r="Z24" s="46">
        <f>+Y24/C41</f>
        <v>0.66154153846153851</v>
      </c>
      <c r="AA24" s="79">
        <f>+Z24-Y$21</f>
        <v>-0.33845846153846149</v>
      </c>
      <c r="AX24"/>
    </row>
    <row r="25" spans="2:50" s="4" customFormat="1" ht="12.75">
      <c r="B25" s="4" t="str">
        <f>+B17</f>
        <v>Canada</v>
      </c>
      <c r="E25" s="23"/>
      <c r="F25" s="34">
        <f>44190*0.9</f>
        <v>39771</v>
      </c>
      <c r="G25" s="34">
        <f>51485*0.9</f>
        <v>46336.5</v>
      </c>
      <c r="H25" s="34">
        <f>60475*0.9</f>
        <v>54427.5</v>
      </c>
      <c r="I25" s="34">
        <f>76460*0.9</f>
        <v>68814</v>
      </c>
      <c r="J25" s="81">
        <v>68814</v>
      </c>
      <c r="K25" s="34">
        <f>81250*0.9</f>
        <v>73125</v>
      </c>
      <c r="L25" s="34">
        <f>101025*0.9</f>
        <v>90922.5</v>
      </c>
      <c r="M25" s="34">
        <f>107665*0.9</f>
        <v>96898.5</v>
      </c>
      <c r="N25" s="34">
        <f>128495*0.9</f>
        <v>115645.5</v>
      </c>
      <c r="O25" s="68">
        <f>138680*0.9</f>
        <v>124812</v>
      </c>
      <c r="P25" s="34">
        <f>156365*0.9</f>
        <v>140728.5</v>
      </c>
      <c r="Q25" s="34">
        <f>165010*0.9</f>
        <v>148509</v>
      </c>
      <c r="R25" s="34">
        <f>174000*0.9</f>
        <v>156600</v>
      </c>
      <c r="S25" s="34">
        <f>186472*0.9</f>
        <v>167824.80000000002</v>
      </c>
      <c r="T25" s="34">
        <f>191923*0.9</f>
        <v>172730.7</v>
      </c>
      <c r="U25" s="34">
        <f>193923*0.9</f>
        <v>174530.7</v>
      </c>
      <c r="V25" s="34">
        <f>193923*0.9</f>
        <v>174530.7</v>
      </c>
      <c r="W25" s="34">
        <f>208213*0.9</f>
        <v>187391.7</v>
      </c>
      <c r="X25" s="74">
        <f>223368*0.9</f>
        <v>201031.2</v>
      </c>
      <c r="Y25" s="74">
        <f>230358*0.9</f>
        <v>207322.2</v>
      </c>
      <c r="Z25" s="46">
        <f>+Y25/C42</f>
        <v>1.0470818181818182</v>
      </c>
      <c r="AA25" s="53">
        <f>+Z25-Y$21</f>
        <v>4.7081818181818225E-2</v>
      </c>
    </row>
    <row r="26" spans="2:50">
      <c r="B26" s="5" t="str">
        <f>+B18</f>
        <v>Norwich</v>
      </c>
      <c r="C26" s="19"/>
      <c r="D26" s="19"/>
      <c r="E26" s="35"/>
      <c r="F26" s="35">
        <f>91103*1.64</f>
        <v>149408.91999999998</v>
      </c>
      <c r="G26" s="35">
        <f>107702*1.64</f>
        <v>176631.28</v>
      </c>
      <c r="H26" s="35">
        <f>125605*1.64</f>
        <v>205992.19999999998</v>
      </c>
      <c r="I26" s="35">
        <f>145230*1.64</f>
        <v>238177.19999999998</v>
      </c>
      <c r="J26" s="80">
        <f>145230*1.64</f>
        <v>238177.19999999998</v>
      </c>
      <c r="K26" s="80">
        <f>145230*1.64</f>
        <v>238177.19999999998</v>
      </c>
      <c r="L26" s="35">
        <f>160223*1.64</f>
        <v>262765.71999999997</v>
      </c>
      <c r="M26" s="35">
        <f>170937*1.64</f>
        <v>280336.68</v>
      </c>
      <c r="N26" s="35">
        <f>192040*1.64</f>
        <v>314945.59999999998</v>
      </c>
      <c r="O26" s="35">
        <f>314946+O9</f>
        <v>328603.92</v>
      </c>
      <c r="P26" s="35">
        <f>196457*1.64</f>
        <v>322189.48</v>
      </c>
      <c r="Q26" s="35">
        <f>208224*1.64</f>
        <v>341487.35999999999</v>
      </c>
      <c r="R26" s="35">
        <f>212000*1.64</f>
        <v>347680</v>
      </c>
      <c r="S26" s="35">
        <f>231063*1.64</f>
        <v>378943.31999999995</v>
      </c>
      <c r="T26" s="56">
        <f>236899*1.64</f>
        <v>388514.36</v>
      </c>
      <c r="U26" s="56">
        <f>243298*1.64</f>
        <v>399008.72</v>
      </c>
      <c r="V26" s="56">
        <f>242250*1.64</f>
        <v>397290</v>
      </c>
      <c r="W26" s="56">
        <f>245196*1.64</f>
        <v>402121.44</v>
      </c>
      <c r="X26" s="56">
        <f>249286*1.64</f>
        <v>408829.04</v>
      </c>
      <c r="Y26" s="56">
        <f>250913*1.64</f>
        <v>411497.31999999995</v>
      </c>
      <c r="Z26" s="47">
        <f>+Y26/C43</f>
        <v>1.0677148936170211</v>
      </c>
      <c r="AA26" s="53">
        <f>+Z26-Y$21</f>
        <v>6.7714893617021099E-2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351186.92</v>
      </c>
      <c r="G27" s="10">
        <f t="shared" ref="G27:Y27" si="5">SUM(G23:G26)</f>
        <v>399063.78</v>
      </c>
      <c r="H27" s="4">
        <f t="shared" si="5"/>
        <v>463031.69999999995</v>
      </c>
      <c r="I27" s="4">
        <f t="shared" si="5"/>
        <v>531175.19999999995</v>
      </c>
      <c r="J27" s="4">
        <f t="shared" si="5"/>
        <v>533870.19999999995</v>
      </c>
      <c r="K27" s="4">
        <f t="shared" si="5"/>
        <v>576443.19999999995</v>
      </c>
      <c r="L27" s="10">
        <f t="shared" si="5"/>
        <v>641265.22</v>
      </c>
      <c r="M27" s="10">
        <f t="shared" si="5"/>
        <v>687478.17999999993</v>
      </c>
      <c r="N27" s="10">
        <f t="shared" si="5"/>
        <v>755146.1</v>
      </c>
      <c r="O27" s="4">
        <f>SUM(O23:O26)</f>
        <v>790010.91999999993</v>
      </c>
      <c r="P27" s="10">
        <f t="shared" si="5"/>
        <v>826642.98</v>
      </c>
      <c r="Q27" s="10">
        <f t="shared" si="5"/>
        <v>876190.36</v>
      </c>
      <c r="R27" s="10">
        <f t="shared" si="5"/>
        <v>910131</v>
      </c>
      <c r="S27" s="10">
        <f t="shared" si="5"/>
        <v>969168.12</v>
      </c>
      <c r="T27" s="4">
        <f t="shared" si="5"/>
        <v>1002144.0599999999</v>
      </c>
      <c r="U27" s="10">
        <f t="shared" si="5"/>
        <v>1031932.4199999999</v>
      </c>
      <c r="V27" s="10">
        <f t="shared" si="5"/>
        <v>1043698.7</v>
      </c>
      <c r="W27" s="10">
        <f t="shared" si="5"/>
        <v>1077026.1399999999</v>
      </c>
      <c r="X27" s="10">
        <f t="shared" si="5"/>
        <v>1108304.24</v>
      </c>
      <c r="Y27" s="10">
        <f t="shared" si="5"/>
        <v>1116413.52</v>
      </c>
      <c r="Z27" s="83">
        <f>+Y27/C44</f>
        <v>0.95550626497774738</v>
      </c>
      <c r="AA27" s="84">
        <f>+Z27-Y$21</f>
        <v>-4.4493735022252623E-2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0.3005707976720301</v>
      </c>
      <c r="G28" s="30">
        <f t="shared" si="6"/>
        <v>0.34154722697706269</v>
      </c>
      <c r="H28" s="30">
        <f t="shared" si="6"/>
        <v>0.39629553235193421</v>
      </c>
      <c r="I28" s="30">
        <f t="shared" si="6"/>
        <v>0.45461759671345425</v>
      </c>
      <c r="J28" s="30">
        <f t="shared" si="6"/>
        <v>0.45692416980486134</v>
      </c>
      <c r="K28" s="30">
        <f t="shared" si="6"/>
        <v>0.49336117767887705</v>
      </c>
      <c r="L28" s="30">
        <f t="shared" si="6"/>
        <v>0.54884048271140018</v>
      </c>
      <c r="M28" s="30">
        <f t="shared" si="6"/>
        <v>0.58839282779869906</v>
      </c>
      <c r="N28" s="30">
        <f t="shared" si="6"/>
        <v>0.64630785689832249</v>
      </c>
      <c r="O28" s="30">
        <f>+O27/$C$44</f>
        <v>0.67614765491270101</v>
      </c>
      <c r="P28" s="30">
        <f t="shared" ref="P28:Y28" si="7">+P27/$C$44</f>
        <v>0.70749998288257443</v>
      </c>
      <c r="Q28" s="30">
        <f t="shared" si="7"/>
        <v>0.74990616227319407</v>
      </c>
      <c r="R28" s="30">
        <f t="shared" si="7"/>
        <v>0.77895498117083195</v>
      </c>
      <c r="S28" s="30">
        <f t="shared" si="7"/>
        <v>0.82948315645326942</v>
      </c>
      <c r="T28" s="30">
        <f t="shared" si="7"/>
        <v>0.85770631633002392</v>
      </c>
      <c r="U28" s="30">
        <f t="shared" si="7"/>
        <v>0.88320131804176649</v>
      </c>
      <c r="V28" s="30">
        <f t="shared" si="7"/>
        <v>0.89327173913043478</v>
      </c>
      <c r="W28" s="30">
        <f t="shared" si="7"/>
        <v>0.92179573776104062</v>
      </c>
      <c r="X28" s="30">
        <f t="shared" si="7"/>
        <v>0.94856576514892155</v>
      </c>
      <c r="Y28" s="30">
        <f t="shared" si="7"/>
        <v>0.95550626497774738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8.5501538461538455</v>
      </c>
      <c r="G32" s="17">
        <f t="shared" si="9"/>
        <v>4.5786923076923074</v>
      </c>
      <c r="H32" s="17">
        <f t="shared" si="9"/>
        <v>3.5095384615384617</v>
      </c>
      <c r="I32" s="17">
        <f t="shared" si="9"/>
        <v>2.9624807692307691</v>
      </c>
      <c r="J32" s="17">
        <f t="shared" si="9"/>
        <v>2.4114461538461538</v>
      </c>
      <c r="K32" s="17">
        <f t="shared" si="9"/>
        <v>2.4310384615384617</v>
      </c>
      <c r="L32" s="17">
        <f t="shared" si="9"/>
        <v>2.2776043956043956</v>
      </c>
      <c r="M32" s="17">
        <f t="shared" si="9"/>
        <v>2.1435865384615385</v>
      </c>
      <c r="N32" s="17">
        <f t="shared" si="9"/>
        <v>1.9406837606837608</v>
      </c>
      <c r="O32" s="17">
        <f t="shared" si="9"/>
        <v>1.7466153846153847</v>
      </c>
      <c r="P32" s="17">
        <f t="shared" si="9"/>
        <v>1.6832517482517484</v>
      </c>
      <c r="Q32" s="17">
        <f t="shared" si="9"/>
        <v>1.6243205128205129</v>
      </c>
      <c r="R32" s="17">
        <f t="shared" si="9"/>
        <v>1.5819881656804733</v>
      </c>
      <c r="S32" s="17">
        <f t="shared" si="9"/>
        <v>1.4970604395604394</v>
      </c>
      <c r="T32" s="17">
        <f t="shared" si="9"/>
        <v>1.4372769230769231</v>
      </c>
      <c r="U32" s="17">
        <f t="shared" si="9"/>
        <v>1.3720096153846153</v>
      </c>
      <c r="V32" s="17">
        <f t="shared" si="9"/>
        <v>1.2913031674208144</v>
      </c>
      <c r="W32" s="17">
        <f t="shared" si="9"/>
        <v>1.2195641025641026</v>
      </c>
      <c r="X32" s="17">
        <f t="shared" si="9"/>
        <v>1.1553765182186233</v>
      </c>
      <c r="Y32" s="17">
        <f t="shared" si="9"/>
        <v>1.0868961538461539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3.1295384615384614</v>
      </c>
      <c r="G33" s="17">
        <f t="shared" si="10"/>
        <v>1.7553846153846153</v>
      </c>
      <c r="H33" s="17">
        <f t="shared" si="10"/>
        <v>1.3485128205128203</v>
      </c>
      <c r="I33" s="17">
        <f t="shared" si="10"/>
        <v>1.079</v>
      </c>
      <c r="J33" s="17">
        <f t="shared" si="10"/>
        <v>0.86319999999999997</v>
      </c>
      <c r="K33" s="17">
        <f t="shared" si="10"/>
        <v>0.77456410256410246</v>
      </c>
      <c r="L33" s="17">
        <f t="shared" si="10"/>
        <v>0.7060659340659341</v>
      </c>
      <c r="M33" s="17">
        <f t="shared" si="10"/>
        <v>0.67161538461538461</v>
      </c>
      <c r="N33" s="17">
        <f t="shared" si="10"/>
        <v>0.66663247863247865</v>
      </c>
      <c r="O33" s="17">
        <f t="shared" si="10"/>
        <v>0.67406153846153849</v>
      </c>
      <c r="P33" s="17">
        <f t="shared" si="10"/>
        <v>0.68822377622377628</v>
      </c>
      <c r="Q33" s="17">
        <f t="shared" si="10"/>
        <v>0.681025641025641</v>
      </c>
      <c r="R33" s="17">
        <f t="shared" si="10"/>
        <v>0.65559763313609476</v>
      </c>
      <c r="S33" s="17">
        <f t="shared" si="10"/>
        <v>0.659054945054945</v>
      </c>
      <c r="T33" s="17">
        <f t="shared" si="10"/>
        <v>0.65899487179487171</v>
      </c>
      <c r="U33" s="17">
        <f t="shared" si="10"/>
        <v>0.66544230769230772</v>
      </c>
      <c r="V33" s="17">
        <f t="shared" si="10"/>
        <v>0.67511312217194575</v>
      </c>
      <c r="W33" s="17">
        <f t="shared" si="10"/>
        <v>0.69105982905982899</v>
      </c>
      <c r="X33" s="17">
        <f t="shared" si="10"/>
        <v>0.69009230769230767</v>
      </c>
      <c r="Y33" s="17">
        <f t="shared" si="10"/>
        <v>0.66154153846153851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4.0172727272727276</v>
      </c>
      <c r="G34" s="17">
        <f t="shared" si="11"/>
        <v>2.3402272727272728</v>
      </c>
      <c r="H34" s="17">
        <f t="shared" si="11"/>
        <v>1.8325757575757575</v>
      </c>
      <c r="I34" s="17">
        <f t="shared" si="11"/>
        <v>1.7377272727272728</v>
      </c>
      <c r="J34" s="17">
        <f t="shared" si="11"/>
        <v>1.3901818181818182</v>
      </c>
      <c r="K34" s="17">
        <f t="shared" si="11"/>
        <v>1.231060606060606</v>
      </c>
      <c r="L34" s="17">
        <f t="shared" si="11"/>
        <v>1.3120129870129871</v>
      </c>
      <c r="M34" s="17">
        <f t="shared" si="11"/>
        <v>1.223465909090909</v>
      </c>
      <c r="N34" s="17">
        <f t="shared" si="11"/>
        <v>1.2979292929292929</v>
      </c>
      <c r="O34" s="17">
        <f t="shared" si="11"/>
        <v>1.2607272727272727</v>
      </c>
      <c r="P34" s="17">
        <f t="shared" si="11"/>
        <v>1.2922727272727272</v>
      </c>
      <c r="Q34" s="17">
        <f t="shared" si="11"/>
        <v>1.2500757575757575</v>
      </c>
      <c r="R34" s="17">
        <f t="shared" si="11"/>
        <v>1.2167832167832167</v>
      </c>
      <c r="S34" s="17">
        <f t="shared" si="11"/>
        <v>1.2108571428571431</v>
      </c>
      <c r="T34" s="17">
        <f t="shared" si="11"/>
        <v>1.1631696969696972</v>
      </c>
      <c r="U34" s="17">
        <f t="shared" si="11"/>
        <v>1.1018352272727272</v>
      </c>
      <c r="V34" s="17">
        <f t="shared" si="11"/>
        <v>1.0370213903743315</v>
      </c>
      <c r="W34" s="17">
        <f t="shared" si="11"/>
        <v>1.0515808080808082</v>
      </c>
      <c r="X34" s="17">
        <f t="shared" si="11"/>
        <v>1.0687464114832537</v>
      </c>
      <c r="Y34" s="17">
        <f t="shared" si="11"/>
        <v>1.0470818181818182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7.7534468085106365</v>
      </c>
      <c r="G35" s="18">
        <f t="shared" si="12"/>
        <v>4.5830638297872346</v>
      </c>
      <c r="H35" s="18">
        <f t="shared" si="12"/>
        <v>3.5632624113475173</v>
      </c>
      <c r="I35" s="18">
        <f t="shared" si="12"/>
        <v>3.09</v>
      </c>
      <c r="J35" s="18">
        <f t="shared" si="12"/>
        <v>2.472</v>
      </c>
      <c r="K35" s="18">
        <f t="shared" si="12"/>
        <v>2.06</v>
      </c>
      <c r="L35" s="18">
        <f t="shared" si="12"/>
        <v>1.948</v>
      </c>
      <c r="M35" s="18">
        <f t="shared" si="12"/>
        <v>1.8184787234042552</v>
      </c>
      <c r="N35" s="18">
        <f t="shared" si="12"/>
        <v>1.8159810874704492</v>
      </c>
      <c r="O35" s="18">
        <f t="shared" si="12"/>
        <v>1.7052616502335236</v>
      </c>
      <c r="P35" s="18">
        <f t="shared" si="12"/>
        <v>1.5199767891682783</v>
      </c>
      <c r="Q35" s="18">
        <f t="shared" si="12"/>
        <v>1.4767659574468084</v>
      </c>
      <c r="R35" s="18">
        <f t="shared" si="12"/>
        <v>1.3878887070376431</v>
      </c>
      <c r="S35" s="18">
        <f t="shared" si="12"/>
        <v>1.4046382978723404</v>
      </c>
      <c r="T35" s="18">
        <f t="shared" si="12"/>
        <v>1.3441078014184396</v>
      </c>
      <c r="U35" s="18">
        <f t="shared" si="12"/>
        <v>1.2941382978723404</v>
      </c>
      <c r="V35" s="18">
        <f t="shared" si="12"/>
        <v>1.2127659574468086</v>
      </c>
      <c r="W35" s="18">
        <f t="shared" si="12"/>
        <v>1.1593191489361703</v>
      </c>
      <c r="X35" s="18">
        <f t="shared" si="12"/>
        <v>1.116622620380739</v>
      </c>
      <c r="Y35" s="18">
        <f t="shared" si="12"/>
        <v>1.0677148936170211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6.0114159534406024</v>
      </c>
      <c r="G36" s="17">
        <f t="shared" si="13"/>
        <v>3.4154722697706261</v>
      </c>
      <c r="H36" s="17">
        <f t="shared" si="13"/>
        <v>2.6419702156795619</v>
      </c>
      <c r="I36" s="17">
        <f t="shared" si="13"/>
        <v>2.2730879835672715</v>
      </c>
      <c r="J36" s="17">
        <f t="shared" si="13"/>
        <v>1.8276966792194453</v>
      </c>
      <c r="K36" s="17">
        <f t="shared" si="13"/>
        <v>1.6445372589295904</v>
      </c>
      <c r="L36" s="17">
        <f t="shared" si="13"/>
        <v>1.5681156648897148</v>
      </c>
      <c r="M36" s="17">
        <f t="shared" si="13"/>
        <v>1.4709820694967477</v>
      </c>
      <c r="N36" s="17">
        <f t="shared" si="13"/>
        <v>1.4362396819962722</v>
      </c>
      <c r="O36" s="17">
        <f t="shared" si="13"/>
        <v>1.352295309825402</v>
      </c>
      <c r="P36" s="17">
        <f t="shared" si="13"/>
        <v>1.2863636052410445</v>
      </c>
      <c r="Q36" s="17">
        <f t="shared" si="13"/>
        <v>1.2498436037886569</v>
      </c>
      <c r="R36" s="17">
        <f t="shared" si="13"/>
        <v>1.1983922787243568</v>
      </c>
      <c r="S36" s="17">
        <f t="shared" si="13"/>
        <v>1.1849759377903848</v>
      </c>
      <c r="T36" s="17">
        <f t="shared" si="13"/>
        <v>1.1436084217733653</v>
      </c>
      <c r="U36" s="17">
        <f t="shared" si="13"/>
        <v>1.1040016475522081</v>
      </c>
      <c r="V36" s="17">
        <f t="shared" si="13"/>
        <v>1.0509079283887468</v>
      </c>
      <c r="W36" s="17">
        <f t="shared" si="13"/>
        <v>1.0242174864011564</v>
      </c>
      <c r="X36" s="17">
        <f t="shared" si="13"/>
        <v>0.99849027910412791</v>
      </c>
      <c r="Y36" s="17">
        <f t="shared" si="13"/>
        <v>0.95550626497774738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260000</v>
      </c>
      <c r="D40" s="4"/>
      <c r="E40" s="4"/>
      <c r="F40" s="10">
        <f t="shared" ref="F40:Y43" si="15">(F23)/F$1*$Y$1</f>
        <v>2223040</v>
      </c>
      <c r="G40" s="10">
        <f t="shared" si="15"/>
        <v>1190460</v>
      </c>
      <c r="H40" s="10">
        <f t="shared" si="15"/>
        <v>912480</v>
      </c>
      <c r="I40" s="10">
        <f t="shared" si="15"/>
        <v>770245</v>
      </c>
      <c r="J40" s="10">
        <f t="shared" si="15"/>
        <v>626976</v>
      </c>
      <c r="K40" s="10">
        <f t="shared" si="15"/>
        <v>632070</v>
      </c>
      <c r="L40" s="10">
        <f t="shared" si="15"/>
        <v>592177.14285714284</v>
      </c>
      <c r="M40" s="10">
        <f t="shared" si="15"/>
        <v>557332.5</v>
      </c>
      <c r="N40" s="10">
        <f t="shared" si="15"/>
        <v>504577.77777777781</v>
      </c>
      <c r="O40" s="10">
        <f t="shared" si="15"/>
        <v>454120</v>
      </c>
      <c r="P40" s="10">
        <f t="shared" si="15"/>
        <v>437645.45454545459</v>
      </c>
      <c r="Q40" s="10">
        <f t="shared" si="15"/>
        <v>422323.33333333337</v>
      </c>
      <c r="R40" s="10">
        <f t="shared" si="15"/>
        <v>411316.92307692306</v>
      </c>
      <c r="S40" s="10">
        <f t="shared" si="15"/>
        <v>389235.71428571426</v>
      </c>
      <c r="T40" s="10">
        <f t="shared" si="15"/>
        <v>373692</v>
      </c>
      <c r="U40" s="10">
        <f t="shared" si="15"/>
        <v>356722.5</v>
      </c>
      <c r="V40" s="10">
        <f t="shared" si="15"/>
        <v>335738.82352941175</v>
      </c>
      <c r="W40" s="10">
        <f t="shared" si="15"/>
        <v>317086.66666666669</v>
      </c>
      <c r="X40" s="10">
        <f>(X23)/X$1*$Y$1</f>
        <v>300397.89473684208</v>
      </c>
      <c r="Y40" s="10">
        <f t="shared" si="15"/>
        <v>282593</v>
      </c>
      <c r="AX40"/>
    </row>
    <row r="41" spans="2:50">
      <c r="B41" s="4" t="s">
        <v>1</v>
      </c>
      <c r="C41" s="37">
        <v>325000</v>
      </c>
      <c r="D41" s="4"/>
      <c r="E41" s="4"/>
      <c r="F41" s="55">
        <f t="shared" si="15"/>
        <v>1017100</v>
      </c>
      <c r="G41" s="55">
        <f t="shared" si="15"/>
        <v>570500</v>
      </c>
      <c r="H41" s="55">
        <f t="shared" si="15"/>
        <v>438266.66666666663</v>
      </c>
      <c r="I41" s="55">
        <f t="shared" si="15"/>
        <v>350675</v>
      </c>
      <c r="J41" s="48">
        <f t="shared" si="15"/>
        <v>280540</v>
      </c>
      <c r="K41" s="48">
        <f t="shared" si="15"/>
        <v>251733.33333333331</v>
      </c>
      <c r="L41" s="48">
        <f t="shared" si="15"/>
        <v>229471.42857142858</v>
      </c>
      <c r="M41" s="48">
        <f t="shared" si="15"/>
        <v>218275</v>
      </c>
      <c r="N41" s="48">
        <f t="shared" si="15"/>
        <v>216655.55555555556</v>
      </c>
      <c r="O41" s="48">
        <f t="shared" si="15"/>
        <v>219070</v>
      </c>
      <c r="P41" s="48">
        <f t="shared" si="15"/>
        <v>223672.72727272729</v>
      </c>
      <c r="Q41" s="48">
        <f t="shared" si="15"/>
        <v>221333.33333333331</v>
      </c>
      <c r="R41" s="48">
        <f t="shared" si="15"/>
        <v>213069.23076923078</v>
      </c>
      <c r="S41" s="48">
        <f t="shared" si="15"/>
        <v>214192.85714285713</v>
      </c>
      <c r="T41" s="48">
        <f t="shared" si="15"/>
        <v>214173.33333333331</v>
      </c>
      <c r="U41" s="48">
        <f t="shared" si="15"/>
        <v>216268.75</v>
      </c>
      <c r="V41" s="48">
        <f t="shared" si="15"/>
        <v>219411.76470588235</v>
      </c>
      <c r="W41" s="48">
        <f t="shared" si="15"/>
        <v>224594.44444444444</v>
      </c>
      <c r="X41" s="48">
        <f t="shared" si="15"/>
        <v>224280</v>
      </c>
      <c r="Y41" s="48">
        <f t="shared" si="15"/>
        <v>215001</v>
      </c>
      <c r="AX41"/>
    </row>
    <row r="42" spans="2:50">
      <c r="B42" s="4" t="s">
        <v>2</v>
      </c>
      <c r="C42" s="37">
        <v>198000</v>
      </c>
      <c r="D42" s="4"/>
      <c r="E42" s="4"/>
      <c r="F42" s="55">
        <f t="shared" si="15"/>
        <v>795420</v>
      </c>
      <c r="G42" s="55">
        <f t="shared" si="15"/>
        <v>463365</v>
      </c>
      <c r="H42" s="55">
        <f t="shared" si="15"/>
        <v>362850</v>
      </c>
      <c r="I42" s="55">
        <f t="shared" si="15"/>
        <v>344070</v>
      </c>
      <c r="J42" s="48">
        <f t="shared" si="15"/>
        <v>275256</v>
      </c>
      <c r="K42" s="10">
        <f t="shared" si="15"/>
        <v>243750</v>
      </c>
      <c r="L42" s="10">
        <f t="shared" si="15"/>
        <v>259778.57142857142</v>
      </c>
      <c r="M42" s="10">
        <f t="shared" si="15"/>
        <v>242246.25</v>
      </c>
      <c r="N42" s="10">
        <f t="shared" si="15"/>
        <v>256990</v>
      </c>
      <c r="O42" s="10">
        <f t="shared" si="15"/>
        <v>249624</v>
      </c>
      <c r="P42" s="10">
        <f t="shared" si="15"/>
        <v>255870</v>
      </c>
      <c r="Q42" s="10">
        <f t="shared" si="15"/>
        <v>247515</v>
      </c>
      <c r="R42" s="10">
        <f t="shared" si="15"/>
        <v>240923.07692307691</v>
      </c>
      <c r="S42" s="10">
        <f t="shared" si="15"/>
        <v>239749.71428571432</v>
      </c>
      <c r="T42" s="10">
        <f t="shared" si="15"/>
        <v>230307.60000000003</v>
      </c>
      <c r="U42" s="10">
        <f t="shared" si="15"/>
        <v>218163.375</v>
      </c>
      <c r="V42" s="10">
        <f t="shared" si="15"/>
        <v>205330.23529411765</v>
      </c>
      <c r="W42" s="10">
        <f t="shared" si="15"/>
        <v>208213.00000000003</v>
      </c>
      <c r="X42" s="10">
        <f t="shared" si="15"/>
        <v>211611.78947368421</v>
      </c>
      <c r="Y42" s="10">
        <f t="shared" si="15"/>
        <v>207322.2</v>
      </c>
    </row>
    <row r="43" spans="2:50">
      <c r="B43" s="4" t="s">
        <v>3</v>
      </c>
      <c r="C43" s="38">
        <v>385400</v>
      </c>
      <c r="D43" s="19"/>
      <c r="E43" s="19"/>
      <c r="F43" s="13">
        <f t="shared" si="15"/>
        <v>2988178.3999999994</v>
      </c>
      <c r="G43" s="13">
        <f t="shared" si="15"/>
        <v>1766312.8</v>
      </c>
      <c r="H43" s="13">
        <f t="shared" si="15"/>
        <v>1373281.3333333333</v>
      </c>
      <c r="I43" s="13">
        <f t="shared" si="15"/>
        <v>1190886</v>
      </c>
      <c r="J43" s="13">
        <f t="shared" si="15"/>
        <v>952708.79999999993</v>
      </c>
      <c r="K43" s="13">
        <f t="shared" si="15"/>
        <v>793924</v>
      </c>
      <c r="L43" s="13">
        <f t="shared" si="15"/>
        <v>750759.2</v>
      </c>
      <c r="M43" s="13">
        <f t="shared" si="15"/>
        <v>700841.7</v>
      </c>
      <c r="N43" s="13">
        <f t="shared" si="15"/>
        <v>699879.11111111112</v>
      </c>
      <c r="O43" s="13">
        <f t="shared" si="15"/>
        <v>657207.84</v>
      </c>
      <c r="P43" s="13">
        <f t="shared" si="15"/>
        <v>585799.05454545445</v>
      </c>
      <c r="Q43" s="13">
        <f t="shared" si="15"/>
        <v>569145.59999999998</v>
      </c>
      <c r="R43" s="13">
        <f t="shared" si="15"/>
        <v>534892.30769230763</v>
      </c>
      <c r="S43" s="13">
        <f t="shared" si="15"/>
        <v>541347.6</v>
      </c>
      <c r="T43" s="13">
        <f t="shared" si="15"/>
        <v>518019.14666666661</v>
      </c>
      <c r="U43" s="13">
        <f t="shared" si="15"/>
        <v>498760.89999999997</v>
      </c>
      <c r="V43" s="13">
        <f t="shared" si="15"/>
        <v>467400</v>
      </c>
      <c r="W43" s="13">
        <f t="shared" si="15"/>
        <v>446801.60000000003</v>
      </c>
      <c r="X43" s="13">
        <f>(X26)/X$1*$Y$1</f>
        <v>430346.35789473681</v>
      </c>
      <c r="Y43" s="13">
        <f t="shared" si="15"/>
        <v>411497.31999999995</v>
      </c>
    </row>
    <row r="44" spans="2:50">
      <c r="B44" s="14" t="s">
        <v>27</v>
      </c>
      <c r="C44" s="39">
        <f>SUM(C40:C43)</f>
        <v>1168400</v>
      </c>
      <c r="D44" s="10">
        <f>SUM(D40:D43)</f>
        <v>0</v>
      </c>
      <c r="E44" s="10">
        <f>SUM(E40:E43)</f>
        <v>0</v>
      </c>
      <c r="F44" s="10">
        <f t="shared" ref="F44:Y44" si="16">SUM(F40:F43)</f>
        <v>7023738.3999999994</v>
      </c>
      <c r="G44" s="10">
        <f t="shared" si="16"/>
        <v>3990637.8</v>
      </c>
      <c r="H44" s="10">
        <f t="shared" si="16"/>
        <v>3086878</v>
      </c>
      <c r="I44" s="10">
        <f t="shared" si="16"/>
        <v>2655876</v>
      </c>
      <c r="J44" s="10">
        <f t="shared" si="16"/>
        <v>2135480.7999999998</v>
      </c>
      <c r="K44" s="10">
        <f t="shared" si="16"/>
        <v>1921477.3333333333</v>
      </c>
      <c r="L44" s="10">
        <f t="shared" si="16"/>
        <v>1832186.3428571427</v>
      </c>
      <c r="M44" s="10">
        <f t="shared" si="16"/>
        <v>1718695.45</v>
      </c>
      <c r="N44" s="10">
        <f t="shared" si="16"/>
        <v>1678102.4444444445</v>
      </c>
      <c r="O44" s="10">
        <f t="shared" si="16"/>
        <v>1580021.8399999999</v>
      </c>
      <c r="P44" s="10">
        <f t="shared" si="16"/>
        <v>1502987.2363636363</v>
      </c>
      <c r="Q44" s="10">
        <f t="shared" si="16"/>
        <v>1460317.2666666666</v>
      </c>
      <c r="R44" s="10">
        <f t="shared" si="16"/>
        <v>1400201.5384615385</v>
      </c>
      <c r="S44" s="10">
        <f t="shared" si="16"/>
        <v>1384525.8857142855</v>
      </c>
      <c r="T44" s="10">
        <f t="shared" si="16"/>
        <v>1336192.08</v>
      </c>
      <c r="U44" s="10">
        <f t="shared" si="16"/>
        <v>1289915.5249999999</v>
      </c>
      <c r="V44" s="10">
        <f t="shared" si="16"/>
        <v>1227880.8235294118</v>
      </c>
      <c r="W44" s="10">
        <f t="shared" si="16"/>
        <v>1196695.7111111111</v>
      </c>
      <c r="X44" s="10">
        <f t="shared" si="16"/>
        <v>1166636.0421052631</v>
      </c>
      <c r="Y44" s="10">
        <f t="shared" si="16"/>
        <v>1116413.52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R23" sqref="R23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46</v>
      </c>
    </row>
    <row r="3" spans="2:50">
      <c r="F3" s="28"/>
    </row>
    <row r="4" spans="2:50" ht="15.75" thickBot="1">
      <c r="B4" s="9" t="s">
        <v>24</v>
      </c>
      <c r="C4" s="4"/>
      <c r="D4" s="4"/>
      <c r="E4" s="4"/>
      <c r="F4" s="82" t="s">
        <v>45</v>
      </c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47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18750</v>
      </c>
      <c r="D6" s="10"/>
      <c r="E6" s="11">
        <v>85269</v>
      </c>
      <c r="F6" s="87"/>
      <c r="G6" s="34">
        <v>5480</v>
      </c>
      <c r="H6" s="34">
        <v>10589</v>
      </c>
      <c r="I6" s="34">
        <v>24510</v>
      </c>
      <c r="J6" s="34">
        <v>7894</v>
      </c>
      <c r="K6" s="34">
        <v>2785</v>
      </c>
      <c r="L6" s="34">
        <v>7894</v>
      </c>
      <c r="M6" s="34">
        <v>16959</v>
      </c>
      <c r="N6" s="34">
        <v>23677</v>
      </c>
      <c r="O6" s="34">
        <v>15646</v>
      </c>
      <c r="P6" s="34">
        <v>8265</v>
      </c>
      <c r="Q6" s="34">
        <v>11050</v>
      </c>
      <c r="R6" s="34">
        <v>13747</v>
      </c>
      <c r="S6" s="34">
        <v>12365</v>
      </c>
      <c r="T6" s="34">
        <v>2695</v>
      </c>
      <c r="U6" s="34">
        <v>31950</v>
      </c>
      <c r="V6" s="34">
        <v>7894</v>
      </c>
      <c r="W6" s="34">
        <v>26371</v>
      </c>
      <c r="X6" s="34">
        <v>33586</v>
      </c>
      <c r="Y6" s="34">
        <v>14591</v>
      </c>
      <c r="Z6" s="88">
        <f>(SUM(F6:Y6)-1)/Y$1</f>
        <v>13897.35</v>
      </c>
      <c r="AX6"/>
    </row>
    <row r="7" spans="2:50">
      <c r="B7" s="4" t="s">
        <v>1</v>
      </c>
      <c r="C7" s="20">
        <f>+C41/20</f>
        <v>16250</v>
      </c>
      <c r="D7" s="10"/>
      <c r="E7" s="11">
        <v>9780</v>
      </c>
      <c r="F7" s="34">
        <v>21080</v>
      </c>
      <c r="G7" s="34">
        <v>13685</v>
      </c>
      <c r="H7" s="34">
        <v>11180</v>
      </c>
      <c r="I7" s="34">
        <v>13990</v>
      </c>
      <c r="J7" s="34">
        <v>30915</v>
      </c>
      <c r="K7" s="34">
        <v>2695</v>
      </c>
      <c r="L7" s="34">
        <v>0</v>
      </c>
      <c r="M7" s="34">
        <v>9690</v>
      </c>
      <c r="N7" s="34">
        <v>10190</v>
      </c>
      <c r="O7" s="34">
        <v>7490</v>
      </c>
      <c r="P7" s="34">
        <v>0</v>
      </c>
      <c r="Q7" s="34">
        <v>1500</v>
      </c>
      <c r="R7" s="34">
        <v>2695</v>
      </c>
      <c r="S7" s="34">
        <v>4790</v>
      </c>
      <c r="T7" s="34">
        <v>15965</v>
      </c>
      <c r="U7" s="34">
        <v>10495</v>
      </c>
      <c r="V7" s="34">
        <v>4000</v>
      </c>
      <c r="W7" s="34">
        <v>0</v>
      </c>
      <c r="X7" s="34">
        <v>4795</v>
      </c>
      <c r="Y7" s="34">
        <v>4851</v>
      </c>
      <c r="Z7" s="69">
        <f>(SUM(F7:Y7)-1)/Y$1</f>
        <v>8500.25</v>
      </c>
      <c r="AX7"/>
    </row>
    <row r="8" spans="2:50">
      <c r="B8" s="4" t="s">
        <v>2</v>
      </c>
      <c r="C8" s="20">
        <f>+C42/20</f>
        <v>11475</v>
      </c>
      <c r="D8" s="10"/>
      <c r="E8" s="11">
        <f>7490*0.9</f>
        <v>6741</v>
      </c>
      <c r="F8" s="34">
        <f>12385*0.9</f>
        <v>11146.5</v>
      </c>
      <c r="G8" s="34">
        <f>2695*0.9</f>
        <v>2425.5</v>
      </c>
      <c r="H8" s="34">
        <f>1650*0.9</f>
        <v>1485</v>
      </c>
      <c r="I8" s="34">
        <f>10785*0.9</f>
        <v>9706.5</v>
      </c>
      <c r="J8" s="34">
        <v>0</v>
      </c>
      <c r="K8" s="34">
        <f>4345*0.9</f>
        <v>3910.5</v>
      </c>
      <c r="L8" s="34">
        <f>4795*0.9</f>
        <v>4315.5</v>
      </c>
      <c r="M8" s="34">
        <f>13240*0.9</f>
        <v>11916</v>
      </c>
      <c r="N8" s="34">
        <f>4345*0.9</f>
        <v>3910.5</v>
      </c>
      <c r="O8" s="34">
        <f>3649*0.9</f>
        <v>3284.1</v>
      </c>
      <c r="P8" s="34">
        <f>2695*0.9</f>
        <v>2425.5</v>
      </c>
      <c r="Q8" s="34">
        <f>12880*0.9</f>
        <v>11592</v>
      </c>
      <c r="R8" s="34">
        <f>1650*0.9</f>
        <v>1485</v>
      </c>
      <c r="S8" s="34">
        <f>11994*0.9</f>
        <v>10794.6</v>
      </c>
      <c r="T8" s="34">
        <f>7040*0.9</f>
        <v>6336</v>
      </c>
      <c r="U8" s="34">
        <f>4945*0.9</f>
        <v>4450.5</v>
      </c>
      <c r="V8" s="34">
        <f>20380*0.9</f>
        <v>18342</v>
      </c>
      <c r="W8" s="34">
        <f>8490*0.9</f>
        <v>7641</v>
      </c>
      <c r="X8" s="34">
        <f>17625*0.9</f>
        <v>15862.5</v>
      </c>
      <c r="Y8" s="34">
        <f>13085*0.9</f>
        <v>11776.5</v>
      </c>
      <c r="Z8" s="69">
        <f>(SUM(F8:Y8)-1)/Y$1</f>
        <v>7140.2350000000006</v>
      </c>
      <c r="AX8"/>
    </row>
    <row r="9" spans="2:50">
      <c r="B9" s="4" t="s">
        <v>3</v>
      </c>
      <c r="C9" s="21">
        <f>+C43/20</f>
        <v>19270</v>
      </c>
      <c r="D9" s="13"/>
      <c r="E9" s="40">
        <f>31226*1.64</f>
        <v>51210.64</v>
      </c>
      <c r="F9" s="35">
        <f>3140*1.64</f>
        <v>5149.5999999999995</v>
      </c>
      <c r="G9" s="35">
        <f>8366*1.64</f>
        <v>13720.24</v>
      </c>
      <c r="H9" s="35">
        <f>11540*1.64</f>
        <v>18925.599999999999</v>
      </c>
      <c r="I9" s="35">
        <f>30605*1.64</f>
        <v>50192.2</v>
      </c>
      <c r="J9" s="35">
        <f>26412*1.64</f>
        <v>43315.68</v>
      </c>
      <c r="K9" s="90"/>
      <c r="L9" s="35">
        <f>22580*1.64</f>
        <v>37031.199999999997</v>
      </c>
      <c r="M9" s="35">
        <f>11495*1.64</f>
        <v>18851.8</v>
      </c>
      <c r="N9" s="35">
        <f>10373*1.64</f>
        <v>17011.719999999998</v>
      </c>
      <c r="O9" s="35">
        <f>15909*1.64</f>
        <v>26090.76</v>
      </c>
      <c r="P9" s="35">
        <f>13167*1.64</f>
        <v>21593.879999999997</v>
      </c>
      <c r="Q9" s="35">
        <f>6045*1.64</f>
        <v>9913.7999999999993</v>
      </c>
      <c r="R9" s="35">
        <f>20767*1.64</f>
        <v>34057.879999999997</v>
      </c>
      <c r="S9" s="35">
        <f>18385*1.64</f>
        <v>30151.399999999998</v>
      </c>
      <c r="T9" s="35">
        <f>10303*1.64</f>
        <v>16896.919999999998</v>
      </c>
      <c r="U9" s="35">
        <f>16724*1.64</f>
        <v>27427.359999999997</v>
      </c>
      <c r="V9" s="35">
        <f>3721*1.64</f>
        <v>6102.44</v>
      </c>
      <c r="W9" s="35">
        <f>10953*1.64</f>
        <v>17962.919999999998</v>
      </c>
      <c r="X9" s="35">
        <f>10452*1.64</f>
        <v>17141.28</v>
      </c>
      <c r="Y9" s="35">
        <f>11539*1.64</f>
        <v>18923.96</v>
      </c>
      <c r="Z9" s="89">
        <f>(SUM(F9:Y9)-1)/Y$1</f>
        <v>21522.981999999996</v>
      </c>
      <c r="AX9"/>
    </row>
    <row r="10" spans="2:50" ht="15.75" thickBot="1">
      <c r="B10" s="14" t="s">
        <v>27</v>
      </c>
      <c r="C10" s="20">
        <f>SUM(C6:C9)</f>
        <v>65745</v>
      </c>
      <c r="D10" s="10"/>
      <c r="E10" s="11">
        <f t="shared" ref="E10:Y10" si="0">SUM(E6:E9)</f>
        <v>153000.64000000001</v>
      </c>
      <c r="F10" s="10">
        <f t="shared" si="0"/>
        <v>37376.1</v>
      </c>
      <c r="G10" s="10">
        <f t="shared" si="0"/>
        <v>35310.74</v>
      </c>
      <c r="H10" s="10">
        <f t="shared" si="0"/>
        <v>42179.6</v>
      </c>
      <c r="I10" s="10">
        <f t="shared" si="0"/>
        <v>98398.7</v>
      </c>
      <c r="J10" s="10">
        <f t="shared" si="0"/>
        <v>82124.679999999993</v>
      </c>
      <c r="K10" s="10">
        <f t="shared" si="0"/>
        <v>9390.5</v>
      </c>
      <c r="L10" s="10">
        <f t="shared" si="0"/>
        <v>49240.7</v>
      </c>
      <c r="M10" s="10">
        <f t="shared" si="0"/>
        <v>57416.800000000003</v>
      </c>
      <c r="N10" s="10">
        <f t="shared" si="0"/>
        <v>54789.22</v>
      </c>
      <c r="O10" s="10">
        <f t="shared" si="0"/>
        <v>52510.86</v>
      </c>
      <c r="P10" s="10">
        <f t="shared" si="0"/>
        <v>32284.379999999997</v>
      </c>
      <c r="Q10" s="10">
        <f t="shared" si="0"/>
        <v>34055.800000000003</v>
      </c>
      <c r="R10" s="10">
        <f t="shared" si="0"/>
        <v>51984.88</v>
      </c>
      <c r="S10" s="10">
        <f t="shared" si="0"/>
        <v>58101</v>
      </c>
      <c r="T10" s="10">
        <f>SUM(T6:T9)</f>
        <v>41892.92</v>
      </c>
      <c r="U10" s="10">
        <f t="shared" si="0"/>
        <v>74322.86</v>
      </c>
      <c r="V10" s="10">
        <f t="shared" si="0"/>
        <v>36338.44</v>
      </c>
      <c r="W10" s="10">
        <f t="shared" si="0"/>
        <v>51974.92</v>
      </c>
      <c r="X10" s="10">
        <f t="shared" si="0"/>
        <v>71384.78</v>
      </c>
      <c r="Y10" s="10">
        <f t="shared" si="0"/>
        <v>50142.46</v>
      </c>
      <c r="Z10" s="67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SUM(F10:Y10)/Y$1</f>
        <v>51061.017000000007</v>
      </c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</v>
      </c>
      <c r="G15" s="25">
        <f t="shared" si="2"/>
        <v>0.29226666666666667</v>
      </c>
      <c r="H15" s="25">
        <f t="shared" si="2"/>
        <v>0.56474666666666673</v>
      </c>
      <c r="I15" s="25">
        <f t="shared" si="2"/>
        <v>1.3071999999999999</v>
      </c>
      <c r="J15" s="25">
        <f t="shared" si="2"/>
        <v>0.42101333333333335</v>
      </c>
      <c r="K15" s="25">
        <f t="shared" si="2"/>
        <v>0.1485333333333333</v>
      </c>
      <c r="L15" s="25">
        <f t="shared" si="2"/>
        <v>0.42101333333333335</v>
      </c>
      <c r="M15" s="25">
        <f t="shared" si="2"/>
        <v>0.90447999999999995</v>
      </c>
      <c r="N15" s="25">
        <f t="shared" si="2"/>
        <v>1.2627733333333333</v>
      </c>
      <c r="O15" s="25">
        <f t="shared" si="2"/>
        <v>0.83445333333333327</v>
      </c>
      <c r="P15" s="25">
        <f t="shared" si="2"/>
        <v>0.44079999999999997</v>
      </c>
      <c r="Q15" s="25">
        <f t="shared" si="2"/>
        <v>0.58933333333333326</v>
      </c>
      <c r="R15" s="25">
        <f t="shared" si="2"/>
        <v>0.73317333333333334</v>
      </c>
      <c r="S15" s="25">
        <f t="shared" si="2"/>
        <v>0.65946666666666665</v>
      </c>
      <c r="T15" s="25">
        <f t="shared" si="2"/>
        <v>0.14373333333333338</v>
      </c>
      <c r="U15" s="25">
        <f t="shared" si="2"/>
        <v>1.704</v>
      </c>
      <c r="V15" s="25">
        <f t="shared" si="2"/>
        <v>0.42101333333333335</v>
      </c>
      <c r="W15" s="25">
        <f t="shared" si="2"/>
        <v>1.4064533333333333</v>
      </c>
      <c r="X15" s="25">
        <f t="shared" si="2"/>
        <v>1.7912533333333334</v>
      </c>
      <c r="Y15" s="25">
        <f t="shared" si="2"/>
        <v>0.77818666666666669</v>
      </c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1.2972307692307692</v>
      </c>
      <c r="G16" s="25">
        <f t="shared" si="2"/>
        <v>0.84215384615384614</v>
      </c>
      <c r="H16" s="25">
        <f t="shared" si="2"/>
        <v>0.68799999999999994</v>
      </c>
      <c r="I16" s="25">
        <f t="shared" si="2"/>
        <v>0.8609230769230769</v>
      </c>
      <c r="J16" s="25">
        <f t="shared" si="2"/>
        <v>1.9024615384615384</v>
      </c>
      <c r="K16" s="25">
        <f t="shared" si="2"/>
        <v>0.16584615384615387</v>
      </c>
      <c r="L16" s="25">
        <f t="shared" si="2"/>
        <v>0</v>
      </c>
      <c r="M16" s="25">
        <f t="shared" si="2"/>
        <v>0.59630769230769232</v>
      </c>
      <c r="N16" s="25">
        <f t="shared" si="2"/>
        <v>0.62707692307692309</v>
      </c>
      <c r="O16" s="25">
        <f t="shared" si="2"/>
        <v>0.46092307692307688</v>
      </c>
      <c r="P16" s="25">
        <f t="shared" si="2"/>
        <v>0</v>
      </c>
      <c r="Q16" s="25">
        <f t="shared" si="2"/>
        <v>9.2307692307692313E-2</v>
      </c>
      <c r="R16" s="25">
        <f t="shared" si="2"/>
        <v>0.16584615384615387</v>
      </c>
      <c r="S16" s="25">
        <f t="shared" si="2"/>
        <v>0.29476923076923078</v>
      </c>
      <c r="T16" s="25">
        <f t="shared" si="2"/>
        <v>0.9824615384615385</v>
      </c>
      <c r="U16" s="25">
        <f t="shared" si="2"/>
        <v>0.64584615384615385</v>
      </c>
      <c r="V16" s="25">
        <f t="shared" si="2"/>
        <v>0.24615384615384617</v>
      </c>
      <c r="W16" s="25">
        <f t="shared" si="2"/>
        <v>0</v>
      </c>
      <c r="X16" s="25">
        <f t="shared" si="2"/>
        <v>0.29507692307692313</v>
      </c>
      <c r="Y16" s="25">
        <f t="shared" si="2"/>
        <v>0.29852307692307689</v>
      </c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0.97137254901960779</v>
      </c>
      <c r="G17" s="25">
        <f t="shared" si="2"/>
        <v>0.21137254901960789</v>
      </c>
      <c r="H17" s="25">
        <f t="shared" si="2"/>
        <v>0.12941176470588234</v>
      </c>
      <c r="I17" s="25">
        <f t="shared" si="2"/>
        <v>0.84588235294117653</v>
      </c>
      <c r="J17" s="25">
        <f t="shared" si="2"/>
        <v>0</v>
      </c>
      <c r="K17" s="25">
        <f t="shared" si="2"/>
        <v>0.34078431372549023</v>
      </c>
      <c r="L17" s="25">
        <f t="shared" si="2"/>
        <v>0.37607843137254904</v>
      </c>
      <c r="M17" s="25">
        <f t="shared" si="2"/>
        <v>1.0384313725490195</v>
      </c>
      <c r="N17" s="25">
        <f t="shared" si="2"/>
        <v>0.34078431372549023</v>
      </c>
      <c r="O17" s="25">
        <f t="shared" si="2"/>
        <v>0.28619607843137262</v>
      </c>
      <c r="P17" s="25">
        <f t="shared" si="2"/>
        <v>0.21137254901960789</v>
      </c>
      <c r="Q17" s="25">
        <f t="shared" si="2"/>
        <v>1.0101960784313726</v>
      </c>
      <c r="R17" s="25">
        <f t="shared" si="2"/>
        <v>0.12941176470588234</v>
      </c>
      <c r="S17" s="25">
        <f t="shared" si="2"/>
        <v>0.94070588235294117</v>
      </c>
      <c r="T17" s="25">
        <f t="shared" si="2"/>
        <v>0.55215686274509812</v>
      </c>
      <c r="U17" s="25">
        <f t="shared" si="2"/>
        <v>0.38784313725490194</v>
      </c>
      <c r="V17" s="25">
        <f t="shared" si="2"/>
        <v>1.5984313725490196</v>
      </c>
      <c r="W17" s="25">
        <f t="shared" si="2"/>
        <v>0.66588235294117648</v>
      </c>
      <c r="X17" s="25">
        <f t="shared" si="2"/>
        <v>1.3823529411764706</v>
      </c>
      <c r="Y17" s="25">
        <f t="shared" si="2"/>
        <v>1.0262745098039217</v>
      </c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0.26723404255319139</v>
      </c>
      <c r="G18" s="27">
        <f t="shared" si="2"/>
        <v>0.71199999999999997</v>
      </c>
      <c r="H18" s="27">
        <f t="shared" si="2"/>
        <v>0.98212765957446801</v>
      </c>
      <c r="I18" s="27">
        <f t="shared" si="2"/>
        <v>2.6046808510638297</v>
      </c>
      <c r="J18" s="27">
        <f t="shared" si="2"/>
        <v>2.2478297872340427</v>
      </c>
      <c r="K18" s="27">
        <f t="shared" si="2"/>
        <v>0</v>
      </c>
      <c r="L18" s="27">
        <f t="shared" si="2"/>
        <v>1.9217021276595743</v>
      </c>
      <c r="M18" s="27">
        <f t="shared" si="2"/>
        <v>0.97829787234042553</v>
      </c>
      <c r="N18" s="27">
        <f t="shared" si="2"/>
        <v>0.88280851063829768</v>
      </c>
      <c r="O18" s="27">
        <f t="shared" si="2"/>
        <v>1.3539574468085105</v>
      </c>
      <c r="P18" s="27">
        <f t="shared" si="2"/>
        <v>1.120595744680851</v>
      </c>
      <c r="Q18" s="27">
        <f t="shared" si="2"/>
        <v>0.51446808510638298</v>
      </c>
      <c r="R18" s="27">
        <f t="shared" si="2"/>
        <v>1.7674042553191489</v>
      </c>
      <c r="S18" s="27">
        <f t="shared" si="2"/>
        <v>1.5646808510638297</v>
      </c>
      <c r="T18" s="27">
        <f t="shared" si="2"/>
        <v>0.87685106382978717</v>
      </c>
      <c r="U18" s="27">
        <f t="shared" si="2"/>
        <v>1.4233191489361701</v>
      </c>
      <c r="V18" s="27">
        <f t="shared" si="2"/>
        <v>0.3166808510638297</v>
      </c>
      <c r="W18" s="27">
        <f t="shared" si="2"/>
        <v>0.93217021276595735</v>
      </c>
      <c r="X18" s="27">
        <f t="shared" si="2"/>
        <v>0.88953191489361694</v>
      </c>
      <c r="Y18" s="27">
        <f t="shared" si="2"/>
        <v>0.98204255319148936</v>
      </c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0.56850102669404512</v>
      </c>
      <c r="G19" s="25">
        <f t="shared" si="2"/>
        <v>0.53708631835120535</v>
      </c>
      <c r="H19" s="25">
        <f t="shared" si="2"/>
        <v>0.64156361700509534</v>
      </c>
      <c r="I19" s="25">
        <f t="shared" si="2"/>
        <v>1.4966719902654193</v>
      </c>
      <c r="J19" s="25">
        <f>(J10-$C10)/$C10+1</f>
        <v>1.2491395543387329</v>
      </c>
      <c r="K19" s="25">
        <f>(K10-$C10)/$C10+1</f>
        <v>0.14283215453646669</v>
      </c>
      <c r="L19" s="25">
        <f>(L10-$C10)/$C10+1</f>
        <v>0.74896494029964256</v>
      </c>
      <c r="M19" s="25">
        <f t="shared" si="2"/>
        <v>0.87332572819225796</v>
      </c>
      <c r="N19" s="25">
        <f t="shared" si="2"/>
        <v>0.8333594950186326</v>
      </c>
      <c r="O19" s="25">
        <f t="shared" si="2"/>
        <v>0.79870499657768657</v>
      </c>
      <c r="P19" s="25">
        <f t="shared" si="2"/>
        <v>0.49105452886151035</v>
      </c>
      <c r="Q19" s="25">
        <f t="shared" si="2"/>
        <v>0.51799832686896341</v>
      </c>
      <c r="R19" s="25">
        <f t="shared" si="2"/>
        <v>0.79070469237204344</v>
      </c>
      <c r="S19" s="25">
        <f>(S10-$C10)/$C10+1</f>
        <v>0.88373260323979008</v>
      </c>
      <c r="T19" s="25">
        <f>(T10-$C10)/$C10+1</f>
        <v>0.63720313331812295</v>
      </c>
      <c r="U19" s="25">
        <f>(U10-$C10)/$C10+1</f>
        <v>1.1304716708494942</v>
      </c>
      <c r="V19" s="25">
        <f>(V10-$C10)/$C10+1</f>
        <v>0.55271792531751474</v>
      </c>
      <c r="W19" s="25">
        <f>(W10-$C10)/$C10+1</f>
        <v>0.79055319796182211</v>
      </c>
      <c r="X19" s="25">
        <f t="shared" si="2"/>
        <v>1.0857826450680661</v>
      </c>
      <c r="Y19" s="25">
        <f t="shared" si="2"/>
        <v>0.76268096433188837</v>
      </c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44" t="s">
        <v>39</v>
      </c>
      <c r="AA21" s="50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45" t="s">
        <v>40</v>
      </c>
      <c r="AA22" s="51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85269</v>
      </c>
      <c r="G23" s="34">
        <v>90749</v>
      </c>
      <c r="H23" s="34">
        <v>101338</v>
      </c>
      <c r="I23" s="23">
        <v>125848</v>
      </c>
      <c r="J23" s="23">
        <v>133742</v>
      </c>
      <c r="K23" s="23">
        <v>136527</v>
      </c>
      <c r="L23" s="23">
        <v>144421</v>
      </c>
      <c r="M23" s="23">
        <v>169274</v>
      </c>
      <c r="N23" s="23">
        <v>192951</v>
      </c>
      <c r="O23" s="23">
        <v>208591</v>
      </c>
      <c r="P23" s="23">
        <v>216862</v>
      </c>
      <c r="Q23" s="23">
        <v>227912</v>
      </c>
      <c r="R23" s="23">
        <v>241659</v>
      </c>
      <c r="S23" s="23">
        <v>254024</v>
      </c>
      <c r="T23" s="23">
        <v>256719</v>
      </c>
      <c r="U23" s="23">
        <v>288669</v>
      </c>
      <c r="V23" s="23">
        <v>296049</v>
      </c>
      <c r="W23" s="23">
        <v>322420</v>
      </c>
      <c r="X23" s="23">
        <v>351827</v>
      </c>
      <c r="Y23" s="23">
        <v>375377</v>
      </c>
      <c r="Z23" s="46">
        <f>+Y23/C40</f>
        <v>1.0010053333333333</v>
      </c>
      <c r="AA23" s="52">
        <f>+Z23-Y$21</f>
        <v>1.0053333333333025E-3</v>
      </c>
      <c r="AX23"/>
    </row>
    <row r="24" spans="2:50">
      <c r="B24" s="4" t="str">
        <f>+B16</f>
        <v>Boston</v>
      </c>
      <c r="C24" s="4"/>
      <c r="D24" s="4"/>
      <c r="E24" s="23"/>
      <c r="F24" s="34">
        <v>15770</v>
      </c>
      <c r="G24" s="34">
        <v>45091</v>
      </c>
      <c r="H24" s="34">
        <v>56271</v>
      </c>
      <c r="I24" s="34">
        <v>70261</v>
      </c>
      <c r="J24" s="34">
        <v>101176</v>
      </c>
      <c r="K24" s="34">
        <v>103871</v>
      </c>
      <c r="L24" s="34">
        <v>103871</v>
      </c>
      <c r="M24" s="34">
        <v>113561</v>
      </c>
      <c r="N24" s="34">
        <v>123751</v>
      </c>
      <c r="O24" s="34">
        <v>131241</v>
      </c>
      <c r="P24" s="23">
        <v>131241</v>
      </c>
      <c r="Q24" s="23">
        <v>132741</v>
      </c>
      <c r="R24" s="23">
        <v>132741</v>
      </c>
      <c r="S24" s="23">
        <v>140226</v>
      </c>
      <c r="T24" s="23">
        <v>156151</v>
      </c>
      <c r="U24" s="23">
        <v>166686</v>
      </c>
      <c r="V24" s="23">
        <v>170686</v>
      </c>
      <c r="W24" s="23">
        <v>170686</v>
      </c>
      <c r="X24" s="23">
        <v>175481</v>
      </c>
      <c r="Y24" s="23">
        <v>176481</v>
      </c>
      <c r="Z24" s="46">
        <f>+Y24/C41</f>
        <v>0.54301846153846156</v>
      </c>
      <c r="AA24" s="79">
        <f>+Z24-Y$21</f>
        <v>-0.45698153846153844</v>
      </c>
      <c r="AX24"/>
    </row>
    <row r="25" spans="2:50" s="4" customFormat="1" ht="12.75">
      <c r="B25" s="4" t="str">
        <f>+B17</f>
        <v>Canada</v>
      </c>
      <c r="E25" s="23"/>
      <c r="F25" s="34">
        <f>17180*0.9</f>
        <v>15462</v>
      </c>
      <c r="G25" s="34">
        <f>19875*0.9</f>
        <v>17887.5</v>
      </c>
      <c r="H25" s="34">
        <f>21525*0.9</f>
        <v>19372.5</v>
      </c>
      <c r="I25" s="34">
        <f>32310*0.9</f>
        <v>29079</v>
      </c>
      <c r="J25" s="34">
        <f>32310*0.9</f>
        <v>29079</v>
      </c>
      <c r="K25" s="34">
        <f>36655*0.9</f>
        <v>32989.5</v>
      </c>
      <c r="L25" s="34">
        <f>41450*0.9</f>
        <v>37305</v>
      </c>
      <c r="M25" s="34">
        <f>53040*0.9</f>
        <v>47736</v>
      </c>
      <c r="N25" s="34">
        <f>57385*0.9</f>
        <v>51646.5</v>
      </c>
      <c r="O25" s="91">
        <f>61034*0.9</f>
        <v>54930.6</v>
      </c>
      <c r="P25" s="34">
        <f>63729*0.9</f>
        <v>57356.1</v>
      </c>
      <c r="Q25" s="34">
        <f>76609*0.9</f>
        <v>68948.100000000006</v>
      </c>
      <c r="R25" s="34">
        <f>78259*0.9</f>
        <v>70433.100000000006</v>
      </c>
      <c r="S25" s="34">
        <f>88402*0.9</f>
        <v>79561.8</v>
      </c>
      <c r="T25" s="34">
        <f>96942*0.9</f>
        <v>87247.8</v>
      </c>
      <c r="U25" s="34">
        <f>101942*0.9</f>
        <v>91747.8</v>
      </c>
      <c r="V25" s="34">
        <f>122322*0.9</f>
        <v>110089.8</v>
      </c>
      <c r="W25" s="34">
        <f>130812*0.9</f>
        <v>117730.8</v>
      </c>
      <c r="X25" s="34">
        <f>143642*0.9</f>
        <v>129277.8</v>
      </c>
      <c r="Y25" s="34">
        <f>145342*0.9</f>
        <v>130807.8</v>
      </c>
      <c r="Z25" s="46">
        <f>+Y25/C42</f>
        <v>0.56996862745098043</v>
      </c>
      <c r="AA25" s="79">
        <f>+Z25-Y$21</f>
        <v>-0.43003137254901957</v>
      </c>
    </row>
    <row r="26" spans="2:50">
      <c r="B26" s="5" t="str">
        <f>+B18</f>
        <v>Norwich</v>
      </c>
      <c r="C26" s="19"/>
      <c r="D26" s="19"/>
      <c r="E26" s="35"/>
      <c r="F26" s="35">
        <f>36735*1.64</f>
        <v>60245.399999999994</v>
      </c>
      <c r="G26" s="35">
        <f>45101*1.64</f>
        <v>73965.64</v>
      </c>
      <c r="H26" s="35">
        <f>55397*1.64</f>
        <v>90851.08</v>
      </c>
      <c r="I26" s="35">
        <f>83222*1.64</f>
        <v>136484.07999999999</v>
      </c>
      <c r="J26" s="35">
        <f>112003*1.64</f>
        <v>183684.91999999998</v>
      </c>
      <c r="K26" s="35">
        <f>112003*1.64</f>
        <v>183684.91999999998</v>
      </c>
      <c r="L26" s="35">
        <f>134583*1.64</f>
        <v>220716.12</v>
      </c>
      <c r="M26" s="35">
        <f>146078*1.64</f>
        <v>239567.91999999998</v>
      </c>
      <c r="N26" s="35">
        <f>156451*1.64</f>
        <v>256579.63999999998</v>
      </c>
      <c r="O26" s="35">
        <f>171116*1.64</f>
        <v>280630.24</v>
      </c>
      <c r="P26" s="35">
        <f>184284*1.64</f>
        <v>302225.76</v>
      </c>
      <c r="Q26" s="35">
        <f>190329*1.64</f>
        <v>312139.56</v>
      </c>
      <c r="R26" s="35">
        <f>208102*1.64</f>
        <v>341287.27999999997</v>
      </c>
      <c r="S26" s="35">
        <f>225243*1.64</f>
        <v>369398.51999999996</v>
      </c>
      <c r="T26" s="92">
        <f>235546*1.64</f>
        <v>386295.44</v>
      </c>
      <c r="U26" s="92">
        <f>249782*1.64</f>
        <v>409642.48</v>
      </c>
      <c r="V26" s="92">
        <f>253009*1.64</f>
        <v>414934.75999999995</v>
      </c>
      <c r="W26" s="92">
        <f>257043*1.64</f>
        <v>421550.51999999996</v>
      </c>
      <c r="X26" s="92">
        <f>266543*1.64</f>
        <v>437130.51999999996</v>
      </c>
      <c r="Y26" s="92">
        <f>257294*1.64</f>
        <v>421962.16</v>
      </c>
      <c r="Z26" s="47">
        <f>+Y26/C43</f>
        <v>1.094868085106383</v>
      </c>
      <c r="AA26" s="86">
        <f>+Z26-Y$21</f>
        <v>9.4868085106383004E-2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176746.4</v>
      </c>
      <c r="G27" s="10">
        <f t="shared" ref="G27:Y27" si="5">SUM(G23:G26)</f>
        <v>227693.14</v>
      </c>
      <c r="H27" s="4">
        <f t="shared" si="5"/>
        <v>267832.58</v>
      </c>
      <c r="I27" s="4">
        <f t="shared" si="5"/>
        <v>361672.07999999996</v>
      </c>
      <c r="J27" s="4">
        <f t="shared" si="5"/>
        <v>447681.92</v>
      </c>
      <c r="K27" s="4">
        <f t="shared" si="5"/>
        <v>457072.42</v>
      </c>
      <c r="L27" s="10">
        <f t="shared" si="5"/>
        <v>506313.12</v>
      </c>
      <c r="M27" s="10">
        <f t="shared" si="5"/>
        <v>570138.91999999993</v>
      </c>
      <c r="N27" s="10">
        <f t="shared" si="5"/>
        <v>624928.14</v>
      </c>
      <c r="O27" s="4">
        <f>SUM(O23:O26)</f>
        <v>675392.84</v>
      </c>
      <c r="P27" s="10">
        <f t="shared" si="5"/>
        <v>707684.86</v>
      </c>
      <c r="Q27" s="10">
        <f t="shared" si="5"/>
        <v>741740.65999999992</v>
      </c>
      <c r="R27" s="10">
        <f t="shared" si="5"/>
        <v>786120.37999999989</v>
      </c>
      <c r="S27" s="10">
        <f t="shared" si="5"/>
        <v>843210.32</v>
      </c>
      <c r="T27" s="4">
        <f t="shared" si="5"/>
        <v>886413.24</v>
      </c>
      <c r="U27" s="10">
        <f t="shared" si="5"/>
        <v>956745.28</v>
      </c>
      <c r="V27" s="10">
        <f t="shared" si="5"/>
        <v>991759.56</v>
      </c>
      <c r="W27" s="10">
        <f t="shared" si="5"/>
        <v>1032387.3200000001</v>
      </c>
      <c r="X27" s="10">
        <f t="shared" si="5"/>
        <v>1093716.32</v>
      </c>
      <c r="Y27" s="10">
        <f t="shared" si="5"/>
        <v>1104627.96</v>
      </c>
      <c r="Z27" s="83">
        <f>+Y27/C44</f>
        <v>0.84008514715947979</v>
      </c>
      <c r="AA27" s="84">
        <f>+Z27-Y$21</f>
        <v>-0.15991485284052021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0.13441813065632366</v>
      </c>
      <c r="G28" s="30">
        <f t="shared" si="6"/>
        <v>0.17316384515932773</v>
      </c>
      <c r="H28" s="30">
        <f t="shared" si="6"/>
        <v>0.20369045554795043</v>
      </c>
      <c r="I28" s="30">
        <f t="shared" si="6"/>
        <v>0.27505671914214008</v>
      </c>
      <c r="J28" s="30">
        <f t="shared" si="6"/>
        <v>0.34046841584911397</v>
      </c>
      <c r="K28" s="30">
        <f t="shared" si="6"/>
        <v>0.34761002357593734</v>
      </c>
      <c r="L28" s="30">
        <f t="shared" si="6"/>
        <v>0.38505827059091946</v>
      </c>
      <c r="M28" s="30">
        <f t="shared" si="6"/>
        <v>0.43359869191573497</v>
      </c>
      <c r="N28" s="30">
        <f t="shared" si="6"/>
        <v>0.47526666666666667</v>
      </c>
      <c r="O28" s="30">
        <f>+O27/$C$44</f>
        <v>0.51364578294927365</v>
      </c>
      <c r="P28" s="30">
        <f t="shared" ref="P28:Y28" si="7">+P27/$C$44</f>
        <v>0.53820431972013083</v>
      </c>
      <c r="Q28" s="30">
        <f t="shared" si="7"/>
        <v>0.56410423606357896</v>
      </c>
      <c r="R28" s="30">
        <f t="shared" si="7"/>
        <v>0.59785563921210727</v>
      </c>
      <c r="S28" s="30">
        <f t="shared" si="7"/>
        <v>0.64127334398053082</v>
      </c>
      <c r="T28" s="30">
        <f t="shared" si="7"/>
        <v>0.67412977412731001</v>
      </c>
      <c r="U28" s="30">
        <f t="shared" si="7"/>
        <v>0.7276182827591452</v>
      </c>
      <c r="V28" s="30">
        <f t="shared" si="7"/>
        <v>0.75424713666438514</v>
      </c>
      <c r="W28" s="30">
        <f t="shared" si="7"/>
        <v>0.7851451213020002</v>
      </c>
      <c r="X28" s="30">
        <f t="shared" si="7"/>
        <v>0.83178669100311819</v>
      </c>
      <c r="Y28" s="30">
        <f t="shared" si="7"/>
        <v>0.84008514715947979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4.5476799999999997</v>
      </c>
      <c r="G32" s="17">
        <f t="shared" si="9"/>
        <v>2.4199733333333335</v>
      </c>
      <c r="H32" s="17">
        <f t="shared" si="9"/>
        <v>1.8015644444444447</v>
      </c>
      <c r="I32" s="17">
        <f t="shared" si="9"/>
        <v>1.6779733333333333</v>
      </c>
      <c r="J32" s="17">
        <f t="shared" si="9"/>
        <v>1.4265813333333333</v>
      </c>
      <c r="K32" s="17">
        <f t="shared" si="9"/>
        <v>1.2135733333333334</v>
      </c>
      <c r="L32" s="17">
        <f t="shared" si="9"/>
        <v>1.1003504761904761</v>
      </c>
      <c r="M32" s="17">
        <f t="shared" si="9"/>
        <v>1.1284933333333333</v>
      </c>
      <c r="N32" s="17">
        <f t="shared" si="9"/>
        <v>1.1434133333333334</v>
      </c>
      <c r="O32" s="17">
        <f t="shared" si="9"/>
        <v>1.1124853333333333</v>
      </c>
      <c r="P32" s="17">
        <f t="shared" si="9"/>
        <v>1.0514521212121211</v>
      </c>
      <c r="Q32" s="17">
        <f t="shared" si="9"/>
        <v>1.0129422222222224</v>
      </c>
      <c r="R32" s="17">
        <f t="shared" si="9"/>
        <v>0.99142153846153847</v>
      </c>
      <c r="S32" s="17">
        <f t="shared" si="9"/>
        <v>0.96771047619047601</v>
      </c>
      <c r="T32" s="17">
        <f t="shared" si="9"/>
        <v>0.91277866666666663</v>
      </c>
      <c r="U32" s="17">
        <f t="shared" si="9"/>
        <v>0.96223000000000003</v>
      </c>
      <c r="V32" s="17">
        <f t="shared" si="9"/>
        <v>0.92878117647058811</v>
      </c>
      <c r="W32" s="17">
        <f t="shared" si="9"/>
        <v>0.95531851851851846</v>
      </c>
      <c r="X32" s="17">
        <f t="shared" si="9"/>
        <v>0.98758456140350881</v>
      </c>
      <c r="Y32" s="17">
        <f t="shared" si="9"/>
        <v>1.0010053333333333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0.97046153846153849</v>
      </c>
      <c r="G33" s="17">
        <f t="shared" si="10"/>
        <v>1.3874153846153847</v>
      </c>
      <c r="H33" s="17">
        <f t="shared" si="10"/>
        <v>1.154276923076923</v>
      </c>
      <c r="I33" s="17">
        <f t="shared" si="10"/>
        <v>1.0809384615384616</v>
      </c>
      <c r="J33" s="17">
        <f t="shared" si="10"/>
        <v>1.2452430769230769</v>
      </c>
      <c r="K33" s="17">
        <f t="shared" si="10"/>
        <v>1.0653435897435897</v>
      </c>
      <c r="L33" s="17">
        <f t="shared" si="10"/>
        <v>0.91315164835164842</v>
      </c>
      <c r="M33" s="17">
        <f t="shared" si="10"/>
        <v>0.87354615384615386</v>
      </c>
      <c r="N33" s="17">
        <f t="shared" si="10"/>
        <v>0.84616068376068387</v>
      </c>
      <c r="O33" s="17">
        <f t="shared" si="10"/>
        <v>0.80763692307692303</v>
      </c>
      <c r="P33" s="17">
        <f t="shared" si="10"/>
        <v>0.7342153846153846</v>
      </c>
      <c r="Q33" s="17">
        <f t="shared" si="10"/>
        <v>0.68072307692307688</v>
      </c>
      <c r="R33" s="17">
        <f t="shared" si="10"/>
        <v>0.62835976331360954</v>
      </c>
      <c r="S33" s="17">
        <f t="shared" si="10"/>
        <v>0.61637802197802194</v>
      </c>
      <c r="T33" s="17">
        <f t="shared" si="10"/>
        <v>0.64061948717948725</v>
      </c>
      <c r="U33" s="17">
        <f t="shared" si="10"/>
        <v>0.6411</v>
      </c>
      <c r="V33" s="17">
        <f t="shared" si="10"/>
        <v>0.61786787330316739</v>
      </c>
      <c r="W33" s="17">
        <f t="shared" si="10"/>
        <v>0.58354188034188026</v>
      </c>
      <c r="X33" s="17">
        <f t="shared" si="10"/>
        <v>0.56835951417004049</v>
      </c>
      <c r="Y33" s="17">
        <f t="shared" si="10"/>
        <v>0.54301846153846156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1.3474509803921568</v>
      </c>
      <c r="G34" s="17">
        <f t="shared" si="11"/>
        <v>0.77941176470588236</v>
      </c>
      <c r="H34" s="17">
        <f t="shared" si="11"/>
        <v>0.56274509803921569</v>
      </c>
      <c r="I34" s="17">
        <f t="shared" si="11"/>
        <v>0.6335294117647059</v>
      </c>
      <c r="J34" s="17">
        <f t="shared" si="11"/>
        <v>0.50682352941176467</v>
      </c>
      <c r="K34" s="17">
        <f t="shared" si="11"/>
        <v>0.47915032679738562</v>
      </c>
      <c r="L34" s="17">
        <f t="shared" si="11"/>
        <v>0.46442577030812326</v>
      </c>
      <c r="M34" s="17">
        <f t="shared" si="11"/>
        <v>0.52</v>
      </c>
      <c r="N34" s="17">
        <f t="shared" si="11"/>
        <v>0.50008714596949888</v>
      </c>
      <c r="O34" s="17">
        <f t="shared" si="11"/>
        <v>0.47869803921568621</v>
      </c>
      <c r="P34" s="17">
        <f t="shared" si="11"/>
        <v>0.45439572192513372</v>
      </c>
      <c r="Q34" s="17">
        <f t="shared" si="11"/>
        <v>0.50071241830065361</v>
      </c>
      <c r="R34" s="17">
        <f t="shared" si="11"/>
        <v>0.4721508295625943</v>
      </c>
      <c r="S34" s="17">
        <f t="shared" si="11"/>
        <v>0.49524929971988796</v>
      </c>
      <c r="T34" s="17">
        <f t="shared" si="11"/>
        <v>0.50688627450980395</v>
      </c>
      <c r="U34" s="17">
        <f t="shared" si="11"/>
        <v>0.4997156862745098</v>
      </c>
      <c r="V34" s="17">
        <f t="shared" si="11"/>
        <v>0.56434602076124574</v>
      </c>
      <c r="W34" s="17">
        <f t="shared" si="11"/>
        <v>0.56998692810457519</v>
      </c>
      <c r="X34" s="17">
        <f t="shared" si="11"/>
        <v>0.59294943240454079</v>
      </c>
      <c r="Y34" s="17">
        <f t="shared" si="11"/>
        <v>0.56996862745098043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3.1263829787234041</v>
      </c>
      <c r="G35" s="18">
        <f t="shared" si="12"/>
        <v>1.9191914893617021</v>
      </c>
      <c r="H35" s="18">
        <f t="shared" si="12"/>
        <v>1.5715460992907802</v>
      </c>
      <c r="I35" s="18">
        <f t="shared" si="12"/>
        <v>1.7706808510638294</v>
      </c>
      <c r="J35" s="18">
        <f t="shared" si="12"/>
        <v>1.9064340425531914</v>
      </c>
      <c r="K35" s="18">
        <f t="shared" si="12"/>
        <v>1.5886950354609928</v>
      </c>
      <c r="L35" s="18">
        <f t="shared" si="12"/>
        <v>1.6362674772036474</v>
      </c>
      <c r="M35" s="18">
        <f t="shared" si="12"/>
        <v>1.5540212765957444</v>
      </c>
      <c r="N35" s="18">
        <f t="shared" si="12"/>
        <v>1.4794420803782504</v>
      </c>
      <c r="O35" s="18">
        <f t="shared" si="12"/>
        <v>1.4563063829787233</v>
      </c>
      <c r="P35" s="18">
        <f t="shared" si="12"/>
        <v>1.4257949709864604</v>
      </c>
      <c r="Q35" s="18">
        <f t="shared" si="12"/>
        <v>1.3498510638297874</v>
      </c>
      <c r="R35" s="18">
        <f t="shared" si="12"/>
        <v>1.3623698854337152</v>
      </c>
      <c r="S35" s="18">
        <f t="shared" si="12"/>
        <v>1.3692583586626137</v>
      </c>
      <c r="T35" s="18">
        <f t="shared" si="12"/>
        <v>1.3364312056737588</v>
      </c>
      <c r="U35" s="18">
        <f t="shared" si="12"/>
        <v>1.3286276595744679</v>
      </c>
      <c r="V35" s="18">
        <f t="shared" si="12"/>
        <v>1.2666282853566957</v>
      </c>
      <c r="W35" s="18">
        <f t="shared" si="12"/>
        <v>1.2153333333333332</v>
      </c>
      <c r="X35" s="18">
        <f t="shared" si="12"/>
        <v>1.1939216125419931</v>
      </c>
      <c r="Y35" s="18">
        <f t="shared" si="12"/>
        <v>1.094868085106383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2.6883626131264733</v>
      </c>
      <c r="G36" s="17">
        <f t="shared" si="13"/>
        <v>1.731638451593277</v>
      </c>
      <c r="H36" s="17">
        <f t="shared" si="13"/>
        <v>1.3579363703196694</v>
      </c>
      <c r="I36" s="17">
        <f t="shared" si="13"/>
        <v>1.3752835957107004</v>
      </c>
      <c r="J36" s="17">
        <f t="shared" si="13"/>
        <v>1.3618736633964559</v>
      </c>
      <c r="K36" s="17">
        <f t="shared" si="13"/>
        <v>1.1587000785864578</v>
      </c>
      <c r="L36" s="17">
        <f t="shared" si="13"/>
        <v>1.1001664874026271</v>
      </c>
      <c r="M36" s="17">
        <f t="shared" si="13"/>
        <v>1.0839967297893374</v>
      </c>
      <c r="N36" s="17">
        <f t="shared" si="13"/>
        <v>1.0561481481481481</v>
      </c>
      <c r="O36" s="17">
        <f t="shared" si="13"/>
        <v>1.0272915658985473</v>
      </c>
      <c r="P36" s="17">
        <f t="shared" si="13"/>
        <v>0.97855330858205614</v>
      </c>
      <c r="Q36" s="17">
        <f t="shared" si="13"/>
        <v>0.94017372677263167</v>
      </c>
      <c r="R36" s="17">
        <f t="shared" si="13"/>
        <v>0.91977790648016522</v>
      </c>
      <c r="S36" s="17">
        <f t="shared" si="13"/>
        <v>0.91610477711504412</v>
      </c>
      <c r="T36" s="17">
        <f t="shared" si="13"/>
        <v>0.89883969883641346</v>
      </c>
      <c r="U36" s="17">
        <f t="shared" si="13"/>
        <v>0.90952285344893158</v>
      </c>
      <c r="V36" s="17">
        <f t="shared" si="13"/>
        <v>0.8873495725463354</v>
      </c>
      <c r="W36" s="17">
        <f t="shared" si="13"/>
        <v>0.87238346811333334</v>
      </c>
      <c r="X36" s="17">
        <f t="shared" si="13"/>
        <v>0.87556493789801904</v>
      </c>
      <c r="Y36" s="17">
        <f t="shared" si="13"/>
        <v>0.84008514715947979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375000</v>
      </c>
      <c r="D40" s="4"/>
      <c r="E40" s="4"/>
      <c r="F40" s="10">
        <f t="shared" ref="F40:Y43" si="15">(F23)/F$1*$Y$1</f>
        <v>1705380</v>
      </c>
      <c r="G40" s="10">
        <f t="shared" si="15"/>
        <v>907490</v>
      </c>
      <c r="H40" s="10">
        <f t="shared" si="15"/>
        <v>675586.66666666674</v>
      </c>
      <c r="I40" s="10">
        <f t="shared" si="15"/>
        <v>629240</v>
      </c>
      <c r="J40" s="10">
        <f t="shared" si="15"/>
        <v>534968</v>
      </c>
      <c r="K40" s="10">
        <f t="shared" si="15"/>
        <v>455090</v>
      </c>
      <c r="L40" s="10">
        <f t="shared" si="15"/>
        <v>412631.42857142852</v>
      </c>
      <c r="M40" s="10">
        <f t="shared" si="15"/>
        <v>423185</v>
      </c>
      <c r="N40" s="10">
        <f t="shared" si="15"/>
        <v>428780</v>
      </c>
      <c r="O40" s="10">
        <f t="shared" si="15"/>
        <v>417182</v>
      </c>
      <c r="P40" s="10">
        <f t="shared" si="15"/>
        <v>394294.54545454541</v>
      </c>
      <c r="Q40" s="10">
        <f t="shared" si="15"/>
        <v>379853.33333333337</v>
      </c>
      <c r="R40" s="48">
        <f t="shared" si="15"/>
        <v>371783.07692307694</v>
      </c>
      <c r="S40" s="48">
        <f t="shared" si="15"/>
        <v>362891.42857142852</v>
      </c>
      <c r="T40" s="48">
        <f t="shared" si="15"/>
        <v>342292</v>
      </c>
      <c r="U40" s="48">
        <f t="shared" si="15"/>
        <v>360836.25</v>
      </c>
      <c r="V40" s="48">
        <f t="shared" si="15"/>
        <v>348292.94117647054</v>
      </c>
      <c r="W40" s="48">
        <f t="shared" si="15"/>
        <v>358244.44444444444</v>
      </c>
      <c r="X40" s="48">
        <f>(X23)/X$1*$Y$1</f>
        <v>370344.21052631579</v>
      </c>
      <c r="Y40" s="10">
        <f t="shared" si="15"/>
        <v>375377</v>
      </c>
      <c r="AX40"/>
    </row>
    <row r="41" spans="2:50">
      <c r="B41" s="4" t="s">
        <v>1</v>
      </c>
      <c r="C41" s="37">
        <v>325000</v>
      </c>
      <c r="D41" s="4"/>
      <c r="E41" s="4"/>
      <c r="F41" s="48">
        <f t="shared" si="15"/>
        <v>315400</v>
      </c>
      <c r="G41" s="55">
        <f t="shared" si="15"/>
        <v>450910</v>
      </c>
      <c r="H41" s="55">
        <f t="shared" si="15"/>
        <v>375140</v>
      </c>
      <c r="I41" s="55">
        <f t="shared" si="15"/>
        <v>351305</v>
      </c>
      <c r="J41" s="55">
        <f t="shared" si="15"/>
        <v>404704</v>
      </c>
      <c r="K41" s="10">
        <f t="shared" si="15"/>
        <v>346236.66666666663</v>
      </c>
      <c r="L41" s="48">
        <f t="shared" si="15"/>
        <v>296774.28571428574</v>
      </c>
      <c r="M41" s="48">
        <f t="shared" si="15"/>
        <v>283902.5</v>
      </c>
      <c r="N41" s="48">
        <f t="shared" si="15"/>
        <v>275002.22222222225</v>
      </c>
      <c r="O41" s="48">
        <f t="shared" si="15"/>
        <v>262482</v>
      </c>
      <c r="P41" s="48">
        <f t="shared" si="15"/>
        <v>238620</v>
      </c>
      <c r="Q41" s="48">
        <f t="shared" si="15"/>
        <v>221235</v>
      </c>
      <c r="R41" s="48">
        <f t="shared" si="15"/>
        <v>204216.92307692309</v>
      </c>
      <c r="S41" s="48">
        <f t="shared" si="15"/>
        <v>200322.85714285713</v>
      </c>
      <c r="T41" s="48">
        <f t="shared" si="15"/>
        <v>208201.33333333334</v>
      </c>
      <c r="U41" s="48">
        <f t="shared" si="15"/>
        <v>208357.5</v>
      </c>
      <c r="V41" s="48">
        <f t="shared" si="15"/>
        <v>200807.0588235294</v>
      </c>
      <c r="W41" s="48">
        <f t="shared" si="15"/>
        <v>189651.11111111109</v>
      </c>
      <c r="X41" s="48">
        <f t="shared" si="15"/>
        <v>184716.84210526317</v>
      </c>
      <c r="Y41" s="48">
        <f t="shared" si="15"/>
        <v>176481</v>
      </c>
      <c r="AX41"/>
    </row>
    <row r="42" spans="2:50">
      <c r="B42" s="4" t="s">
        <v>2</v>
      </c>
      <c r="C42" s="37">
        <f>255000*0.9</f>
        <v>229500</v>
      </c>
      <c r="D42" s="4"/>
      <c r="E42" s="4"/>
      <c r="F42" s="55">
        <f t="shared" si="15"/>
        <v>309240</v>
      </c>
      <c r="G42" s="48">
        <f t="shared" si="15"/>
        <v>178875</v>
      </c>
      <c r="H42" s="48">
        <f t="shared" si="15"/>
        <v>129150</v>
      </c>
      <c r="I42" s="48">
        <f t="shared" si="15"/>
        <v>145395</v>
      </c>
      <c r="J42" s="48">
        <f t="shared" si="15"/>
        <v>116316</v>
      </c>
      <c r="K42" s="48">
        <f t="shared" si="15"/>
        <v>109965</v>
      </c>
      <c r="L42" s="48">
        <f t="shared" si="15"/>
        <v>106585.71428571429</v>
      </c>
      <c r="M42" s="48">
        <f t="shared" si="15"/>
        <v>119340</v>
      </c>
      <c r="N42" s="48">
        <f t="shared" si="15"/>
        <v>114770</v>
      </c>
      <c r="O42" s="48">
        <f t="shared" si="15"/>
        <v>109861.19999999998</v>
      </c>
      <c r="P42" s="48">
        <f t="shared" si="15"/>
        <v>104283.81818181819</v>
      </c>
      <c r="Q42" s="48">
        <f t="shared" si="15"/>
        <v>114913.5</v>
      </c>
      <c r="R42" s="48">
        <f t="shared" si="15"/>
        <v>108358.61538461539</v>
      </c>
      <c r="S42" s="48">
        <f t="shared" si="15"/>
        <v>113659.71428571429</v>
      </c>
      <c r="T42" s="48">
        <f t="shared" si="15"/>
        <v>116330.40000000001</v>
      </c>
      <c r="U42" s="48">
        <f t="shared" si="15"/>
        <v>114684.75</v>
      </c>
      <c r="V42" s="48">
        <f t="shared" si="15"/>
        <v>129517.41176470589</v>
      </c>
      <c r="W42" s="48">
        <f t="shared" si="15"/>
        <v>130812</v>
      </c>
      <c r="X42" s="48">
        <f t="shared" si="15"/>
        <v>136081.89473684211</v>
      </c>
      <c r="Y42" s="10">
        <f t="shared" si="15"/>
        <v>130807.8</v>
      </c>
    </row>
    <row r="43" spans="2:50">
      <c r="B43" s="4" t="s">
        <v>3</v>
      </c>
      <c r="C43" s="38">
        <f>235000*1.64</f>
        <v>385400</v>
      </c>
      <c r="D43" s="19"/>
      <c r="E43" s="19"/>
      <c r="F43" s="13">
        <f t="shared" si="15"/>
        <v>1204908</v>
      </c>
      <c r="G43" s="13">
        <f t="shared" si="15"/>
        <v>739656.4</v>
      </c>
      <c r="H43" s="13">
        <f t="shared" si="15"/>
        <v>605673.8666666667</v>
      </c>
      <c r="I43" s="13">
        <f t="shared" si="15"/>
        <v>682420.39999999991</v>
      </c>
      <c r="J43" s="13">
        <f t="shared" si="15"/>
        <v>734739.67999999993</v>
      </c>
      <c r="K43" s="13">
        <f t="shared" si="15"/>
        <v>612283.06666666665</v>
      </c>
      <c r="L43" s="13">
        <f t="shared" si="15"/>
        <v>630617.48571428575</v>
      </c>
      <c r="M43" s="13">
        <f t="shared" si="15"/>
        <v>598919.79999999993</v>
      </c>
      <c r="N43" s="13">
        <f t="shared" si="15"/>
        <v>570176.97777777771</v>
      </c>
      <c r="O43" s="13">
        <f t="shared" si="15"/>
        <v>561260.48</v>
      </c>
      <c r="P43" s="13">
        <f t="shared" si="15"/>
        <v>549501.38181818184</v>
      </c>
      <c r="Q43" s="13">
        <f t="shared" si="15"/>
        <v>520232.60000000003</v>
      </c>
      <c r="R43" s="13">
        <f t="shared" si="15"/>
        <v>525057.35384615383</v>
      </c>
      <c r="S43" s="13">
        <f t="shared" si="15"/>
        <v>527712.17142857134</v>
      </c>
      <c r="T43" s="13">
        <f t="shared" si="15"/>
        <v>515060.58666666667</v>
      </c>
      <c r="U43" s="13">
        <f t="shared" si="15"/>
        <v>512053.1</v>
      </c>
      <c r="V43" s="13">
        <f t="shared" si="15"/>
        <v>488158.54117647052</v>
      </c>
      <c r="W43" s="13">
        <f t="shared" si="15"/>
        <v>468389.46666666662</v>
      </c>
      <c r="X43" s="13">
        <f>(X26)/X$1*$Y$1</f>
        <v>460137.38947368413</v>
      </c>
      <c r="Y43" s="13">
        <f t="shared" si="15"/>
        <v>421962.16000000003</v>
      </c>
    </row>
    <row r="44" spans="2:50">
      <c r="B44" s="14" t="s">
        <v>27</v>
      </c>
      <c r="C44" s="39">
        <f>SUM(C40:C43)</f>
        <v>1314900</v>
      </c>
      <c r="D44" s="10">
        <f>SUM(D40:D43)</f>
        <v>0</v>
      </c>
      <c r="E44" s="10">
        <f>SUM(E40:E43)</f>
        <v>0</v>
      </c>
      <c r="F44" s="10">
        <f t="shared" ref="F44:Y44" si="16">SUM(F40:F43)</f>
        <v>3534928</v>
      </c>
      <c r="G44" s="10">
        <f t="shared" si="16"/>
        <v>2276931.4</v>
      </c>
      <c r="H44" s="10">
        <f t="shared" si="16"/>
        <v>1785550.5333333334</v>
      </c>
      <c r="I44" s="10">
        <f t="shared" si="16"/>
        <v>1808360.4</v>
      </c>
      <c r="J44" s="10">
        <f t="shared" si="16"/>
        <v>1790727.68</v>
      </c>
      <c r="K44" s="10">
        <f t="shared" si="16"/>
        <v>1523574.7333333334</v>
      </c>
      <c r="L44" s="10">
        <f t="shared" si="16"/>
        <v>1446608.9142857143</v>
      </c>
      <c r="M44" s="10">
        <f t="shared" si="16"/>
        <v>1425347.2999999998</v>
      </c>
      <c r="N44" s="10">
        <f t="shared" si="16"/>
        <v>1388729.2</v>
      </c>
      <c r="O44" s="10">
        <f t="shared" si="16"/>
        <v>1350785.68</v>
      </c>
      <c r="P44" s="10">
        <f t="shared" si="16"/>
        <v>1286699.7454545456</v>
      </c>
      <c r="Q44" s="10">
        <f t="shared" si="16"/>
        <v>1236234.4333333333</v>
      </c>
      <c r="R44" s="10">
        <f t="shared" si="16"/>
        <v>1209415.9692307692</v>
      </c>
      <c r="S44" s="10">
        <f t="shared" si="16"/>
        <v>1204586.1714285715</v>
      </c>
      <c r="T44" s="10">
        <f t="shared" si="16"/>
        <v>1181884.32</v>
      </c>
      <c r="U44" s="10">
        <f t="shared" si="16"/>
        <v>1195931.6000000001</v>
      </c>
      <c r="V44" s="10">
        <f t="shared" si="16"/>
        <v>1166775.9529411765</v>
      </c>
      <c r="W44" s="10">
        <f t="shared" si="16"/>
        <v>1147097.0222222221</v>
      </c>
      <c r="X44" s="10">
        <f t="shared" si="16"/>
        <v>1151280.3368421053</v>
      </c>
      <c r="Y44" s="10">
        <f t="shared" si="16"/>
        <v>1104627.96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K41" sqref="K41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50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48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18750</v>
      </c>
      <c r="D6" s="10"/>
      <c r="E6" s="11">
        <v>83297</v>
      </c>
      <c r="F6" s="34">
        <v>9780</v>
      </c>
      <c r="G6" s="34">
        <v>29714</v>
      </c>
      <c r="H6" s="34">
        <v>27217</v>
      </c>
      <c r="I6" s="34">
        <v>20398</v>
      </c>
      <c r="J6" s="34">
        <v>28226</v>
      </c>
      <c r="K6" s="34">
        <v>13003</v>
      </c>
      <c r="L6" s="34">
        <v>14656</v>
      </c>
      <c r="M6" s="34">
        <v>18568</v>
      </c>
      <c r="N6" s="34">
        <v>12998</v>
      </c>
      <c r="O6" s="34">
        <v>20891</v>
      </c>
      <c r="P6" s="81"/>
      <c r="Q6" s="34">
        <v>7304</v>
      </c>
      <c r="R6" s="34">
        <v>27892</v>
      </c>
      <c r="S6" s="34">
        <v>38996</v>
      </c>
      <c r="T6" s="34">
        <v>37651</v>
      </c>
      <c r="U6" s="34">
        <v>5570</v>
      </c>
      <c r="V6" s="34">
        <v>6685</v>
      </c>
      <c r="W6" s="34">
        <v>16249</v>
      </c>
      <c r="X6" s="34">
        <v>19757</v>
      </c>
      <c r="Y6" s="34">
        <v>26377</v>
      </c>
      <c r="Z6" s="96">
        <f>(SUM(F6:Y6)/(COUNT(F6:Y6)))</f>
        <v>20101.684210526317</v>
      </c>
      <c r="AX6"/>
    </row>
    <row r="7" spans="2:50">
      <c r="B7" s="4" t="s">
        <v>1</v>
      </c>
      <c r="C7" s="20">
        <f>+C41/20</f>
        <v>16250</v>
      </c>
      <c r="D7" s="10"/>
      <c r="E7" s="11">
        <v>56346</v>
      </c>
      <c r="F7" s="81"/>
      <c r="G7" s="34">
        <v>3295</v>
      </c>
      <c r="H7" s="34">
        <v>1995</v>
      </c>
      <c r="I7" s="34">
        <v>0</v>
      </c>
      <c r="J7" s="34">
        <v>2695</v>
      </c>
      <c r="K7" s="34">
        <v>6390</v>
      </c>
      <c r="L7" s="34">
        <v>8845</v>
      </c>
      <c r="M7" s="34">
        <v>7500</v>
      </c>
      <c r="N7" s="34">
        <v>5390</v>
      </c>
      <c r="O7" s="34">
        <v>0</v>
      </c>
      <c r="P7" s="34">
        <v>12685</v>
      </c>
      <c r="Q7" s="34">
        <v>11890</v>
      </c>
      <c r="R7" s="34">
        <v>6995</v>
      </c>
      <c r="S7" s="34">
        <v>2695</v>
      </c>
      <c r="T7" s="34">
        <v>16345</v>
      </c>
      <c r="U7" s="34">
        <v>8390</v>
      </c>
      <c r="V7" s="34">
        <v>12790</v>
      </c>
      <c r="W7" s="34">
        <v>12590</v>
      </c>
      <c r="X7" s="34">
        <v>8790</v>
      </c>
      <c r="Y7" s="34">
        <v>3695</v>
      </c>
      <c r="Z7" s="69">
        <f>(SUM(F7:Y7)/(COUNT(F7:Y7)))</f>
        <v>6998.6842105263158</v>
      </c>
      <c r="AX7"/>
    </row>
    <row r="8" spans="2:50">
      <c r="B8" s="4" t="s">
        <v>2</v>
      </c>
      <c r="C8" s="20">
        <f>+C42/20</f>
        <v>11475</v>
      </c>
      <c r="D8" s="10"/>
      <c r="E8" s="11">
        <v>35092.800000000003</v>
      </c>
      <c r="F8" s="34">
        <f>10185*0.9</f>
        <v>9166.5</v>
      </c>
      <c r="G8" s="34">
        <f>6945*0.9</f>
        <v>6250.5</v>
      </c>
      <c r="H8" s="34">
        <v>0</v>
      </c>
      <c r="I8" s="34">
        <f>5885*0.9</f>
        <v>5296.5</v>
      </c>
      <c r="J8" s="34">
        <f>16230*0.9</f>
        <v>14607</v>
      </c>
      <c r="K8" s="34">
        <f>8690*0.9</f>
        <v>7821</v>
      </c>
      <c r="L8" s="34">
        <f>12630*0.9</f>
        <v>11367</v>
      </c>
      <c r="M8" s="34">
        <f>9080*0.9</f>
        <v>8172</v>
      </c>
      <c r="N8" s="34">
        <f>10795*0.9</f>
        <v>9715.5</v>
      </c>
      <c r="O8" s="34">
        <f>7490*0.9</f>
        <v>6741</v>
      </c>
      <c r="P8" s="34">
        <v>0</v>
      </c>
      <c r="Q8" s="34">
        <f>3695*0.9</f>
        <v>3325.5</v>
      </c>
      <c r="R8" s="34">
        <f>14135*0.9</f>
        <v>12721.5</v>
      </c>
      <c r="S8" s="34">
        <f>11495*0.9</f>
        <v>10345.5</v>
      </c>
      <c r="T8" s="34">
        <f>2695*0.9</f>
        <v>2425.5</v>
      </c>
      <c r="U8" s="34">
        <f>11080*0.9</f>
        <v>9972</v>
      </c>
      <c r="V8" s="34">
        <f>6241*0.9</f>
        <v>5616.9000000000005</v>
      </c>
      <c r="W8" s="34">
        <f>4190*0.9</f>
        <v>3771</v>
      </c>
      <c r="X8" s="34">
        <f>9735*0.9</f>
        <v>8761.5</v>
      </c>
      <c r="Y8" s="34">
        <v>0</v>
      </c>
      <c r="Z8" s="69">
        <f>(SUM(F8:Y8)/(COUNT(F8:Y8)))</f>
        <v>6803.82</v>
      </c>
      <c r="AX8"/>
    </row>
    <row r="9" spans="2:50">
      <c r="B9" s="4" t="s">
        <v>3</v>
      </c>
      <c r="C9" s="21">
        <f>+C43/20</f>
        <v>19270</v>
      </c>
      <c r="D9" s="13"/>
      <c r="E9" s="40">
        <v>145438.47999999998</v>
      </c>
      <c r="F9" s="80">
        <f>3632*1.64</f>
        <v>5956.48</v>
      </c>
      <c r="G9" s="35">
        <f>8012*1.64</f>
        <v>13139.679999999998</v>
      </c>
      <c r="H9" s="35">
        <f>12034*1.64</f>
        <v>19735.759999999998</v>
      </c>
      <c r="I9" s="35">
        <f>18944*1.64</f>
        <v>31068.16</v>
      </c>
      <c r="J9" s="35">
        <f>13888*1.64</f>
        <v>22776.32</v>
      </c>
      <c r="K9" s="35">
        <f>13887*1.64</f>
        <v>22774.68</v>
      </c>
      <c r="L9" s="35">
        <f>14209*1.64</f>
        <v>23302.76</v>
      </c>
      <c r="M9" s="35">
        <f>5768*1.64</f>
        <v>9459.5199999999986</v>
      </c>
      <c r="N9" s="35">
        <f>9771*1.64</f>
        <v>16024.439999999999</v>
      </c>
      <c r="O9" s="35">
        <f>9655*1.64</f>
        <v>15834.199999999999</v>
      </c>
      <c r="P9" s="35">
        <f>10220*1.64</f>
        <v>16760.8</v>
      </c>
      <c r="Q9" s="35">
        <f>3613*1.64</f>
        <v>5925.32</v>
      </c>
      <c r="R9" s="35">
        <f>5589*1.64</f>
        <v>9165.9599999999991</v>
      </c>
      <c r="S9" s="35">
        <f>6143*1.64</f>
        <v>10074.519999999999</v>
      </c>
      <c r="T9" s="35">
        <f>8222*1.64</f>
        <v>13484.08</v>
      </c>
      <c r="U9" s="35">
        <f>12583*1.64</f>
        <v>20636.12</v>
      </c>
      <c r="V9" s="35">
        <f>8221*1.64</f>
        <v>13482.439999999999</v>
      </c>
      <c r="W9" s="35">
        <f>4434*1.614</f>
        <v>7156.4760000000006</v>
      </c>
      <c r="X9" s="35">
        <f>10747*1.64</f>
        <v>17625.079999999998</v>
      </c>
      <c r="Y9" s="35">
        <f>11534*1.64</f>
        <v>18915.759999999998</v>
      </c>
      <c r="Z9" s="94">
        <f>(SUM(F9:Y9)/(COUNT(F9:Y9)))</f>
        <v>15664.927799999999</v>
      </c>
      <c r="AX9"/>
    </row>
    <row r="10" spans="2:50" ht="15.75" thickBot="1">
      <c r="B10" s="14" t="s">
        <v>27</v>
      </c>
      <c r="C10" s="20">
        <f>SUM(C6:C9)</f>
        <v>65745</v>
      </c>
      <c r="D10" s="10"/>
      <c r="E10" s="11">
        <f t="shared" ref="E10:Y10" si="0">SUM(E6:E9)</f>
        <v>320174.27999999997</v>
      </c>
      <c r="F10" s="10">
        <f t="shared" si="0"/>
        <v>24902.98</v>
      </c>
      <c r="G10" s="10">
        <f t="shared" si="0"/>
        <v>52399.18</v>
      </c>
      <c r="H10" s="10">
        <f t="shared" si="0"/>
        <v>48947.759999999995</v>
      </c>
      <c r="I10" s="10">
        <f t="shared" si="0"/>
        <v>56762.66</v>
      </c>
      <c r="J10" s="10">
        <f t="shared" si="0"/>
        <v>68304.320000000007</v>
      </c>
      <c r="K10" s="10">
        <f t="shared" si="0"/>
        <v>49988.68</v>
      </c>
      <c r="L10" s="10">
        <f t="shared" si="0"/>
        <v>58170.759999999995</v>
      </c>
      <c r="M10" s="10">
        <f t="shared" si="0"/>
        <v>43699.519999999997</v>
      </c>
      <c r="N10" s="10">
        <f t="shared" si="0"/>
        <v>44127.94</v>
      </c>
      <c r="O10" s="10">
        <f t="shared" si="0"/>
        <v>43466.2</v>
      </c>
      <c r="P10" s="10">
        <f t="shared" si="0"/>
        <v>29445.8</v>
      </c>
      <c r="Q10" s="10">
        <f t="shared" si="0"/>
        <v>28444.82</v>
      </c>
      <c r="R10" s="10">
        <f t="shared" si="0"/>
        <v>56774.46</v>
      </c>
      <c r="S10" s="10">
        <f t="shared" si="0"/>
        <v>62111.02</v>
      </c>
      <c r="T10" s="10">
        <f t="shared" si="0"/>
        <v>69905.58</v>
      </c>
      <c r="U10" s="10">
        <f t="shared" si="0"/>
        <v>44568.119999999995</v>
      </c>
      <c r="V10" s="10">
        <f t="shared" si="0"/>
        <v>38574.339999999997</v>
      </c>
      <c r="W10" s="10">
        <f t="shared" si="0"/>
        <v>39766.476000000002</v>
      </c>
      <c r="X10" s="10">
        <f t="shared" si="0"/>
        <v>54933.58</v>
      </c>
      <c r="Y10" s="10">
        <f t="shared" si="0"/>
        <v>48987.759999999995</v>
      </c>
      <c r="Z10" s="2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(SUM(F10:Y10)/(COUNT(F10:Y10)))</f>
        <v>48214.097799999996</v>
      </c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0.52160000000000006</v>
      </c>
      <c r="G15" s="25">
        <f t="shared" si="2"/>
        <v>1.5847466666666667</v>
      </c>
      <c r="H15" s="25">
        <f t="shared" si="2"/>
        <v>1.4515733333333334</v>
      </c>
      <c r="I15" s="25">
        <f t="shared" si="2"/>
        <v>1.0878933333333334</v>
      </c>
      <c r="J15" s="25">
        <f t="shared" si="2"/>
        <v>1.5053866666666667</v>
      </c>
      <c r="K15" s="25">
        <f t="shared" si="2"/>
        <v>0.69349333333333329</v>
      </c>
      <c r="L15" s="25">
        <f t="shared" si="2"/>
        <v>0.78165333333333331</v>
      </c>
      <c r="M15" s="25">
        <f t="shared" si="2"/>
        <v>0.99029333333333336</v>
      </c>
      <c r="N15" s="25">
        <f t="shared" si="2"/>
        <v>0.69322666666666666</v>
      </c>
      <c r="O15" s="25">
        <f t="shared" si="2"/>
        <v>1.1141866666666667</v>
      </c>
      <c r="P15" s="25">
        <f t="shared" si="2"/>
        <v>0</v>
      </c>
      <c r="Q15" s="25">
        <f t="shared" si="2"/>
        <v>0.38954666666666671</v>
      </c>
      <c r="R15" s="25">
        <f t="shared" si="2"/>
        <v>1.4875733333333334</v>
      </c>
      <c r="S15" s="25">
        <f t="shared" si="2"/>
        <v>2.0797866666666667</v>
      </c>
      <c r="T15" s="25">
        <f t="shared" si="2"/>
        <v>2.0080533333333332</v>
      </c>
      <c r="U15" s="25">
        <f t="shared" si="2"/>
        <v>0.2970666666666667</v>
      </c>
      <c r="V15" s="25">
        <f t="shared" si="2"/>
        <v>0.35653333333333337</v>
      </c>
      <c r="W15" s="25">
        <f t="shared" si="2"/>
        <v>0.86661333333333335</v>
      </c>
      <c r="X15" s="25">
        <f t="shared" si="2"/>
        <v>1.0537066666666666</v>
      </c>
      <c r="Y15" s="25">
        <f t="shared" si="2"/>
        <v>1.4067733333333332</v>
      </c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</v>
      </c>
      <c r="G16" s="25">
        <f t="shared" si="2"/>
        <v>0.20276923076923081</v>
      </c>
      <c r="H16" s="25">
        <f t="shared" si="2"/>
        <v>0.12276923076923074</v>
      </c>
      <c r="I16" s="25">
        <f t="shared" si="2"/>
        <v>0</v>
      </c>
      <c r="J16" s="25">
        <f t="shared" si="2"/>
        <v>0.16584615384615387</v>
      </c>
      <c r="K16" s="25">
        <f t="shared" si="2"/>
        <v>0.39323076923076927</v>
      </c>
      <c r="L16" s="25">
        <f t="shared" si="2"/>
        <v>0.54430769230769238</v>
      </c>
      <c r="M16" s="25">
        <f t="shared" si="2"/>
        <v>0.46153846153846156</v>
      </c>
      <c r="N16" s="25">
        <f t="shared" si="2"/>
        <v>0.33169230769230773</v>
      </c>
      <c r="O16" s="25">
        <f t="shared" si="2"/>
        <v>0</v>
      </c>
      <c r="P16" s="25">
        <f t="shared" si="2"/>
        <v>0.7806153846153846</v>
      </c>
      <c r="Q16" s="25">
        <f t="shared" si="2"/>
        <v>0.73169230769230764</v>
      </c>
      <c r="R16" s="25">
        <f t="shared" si="2"/>
        <v>0.43046153846153845</v>
      </c>
      <c r="S16" s="25">
        <f t="shared" si="2"/>
        <v>0.16584615384615387</v>
      </c>
      <c r="T16" s="25">
        <f t="shared" si="2"/>
        <v>1.0058461538461538</v>
      </c>
      <c r="U16" s="25">
        <f t="shared" si="2"/>
        <v>0.51630769230769236</v>
      </c>
      <c r="V16" s="25">
        <f t="shared" si="2"/>
        <v>0.78707692307692312</v>
      </c>
      <c r="W16" s="25">
        <f t="shared" si="2"/>
        <v>0.77476923076923077</v>
      </c>
      <c r="X16" s="25">
        <f t="shared" si="2"/>
        <v>0.54092307692307684</v>
      </c>
      <c r="Y16" s="25">
        <f t="shared" si="2"/>
        <v>0.22738461538461541</v>
      </c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0.79882352941176471</v>
      </c>
      <c r="G17" s="25">
        <f t="shared" si="2"/>
        <v>0.54470588235294115</v>
      </c>
      <c r="H17" s="25">
        <f t="shared" si="2"/>
        <v>0</v>
      </c>
      <c r="I17" s="25">
        <f t="shared" si="2"/>
        <v>0.46156862745098037</v>
      </c>
      <c r="J17" s="25">
        <f t="shared" si="2"/>
        <v>1.2729411764705882</v>
      </c>
      <c r="K17" s="25">
        <f t="shared" si="2"/>
        <v>0.68156862745098046</v>
      </c>
      <c r="L17" s="25">
        <f t="shared" si="2"/>
        <v>0.99058823529411766</v>
      </c>
      <c r="M17" s="25">
        <f t="shared" si="2"/>
        <v>0.71215686274509804</v>
      </c>
      <c r="N17" s="25">
        <f t="shared" si="2"/>
        <v>0.84666666666666668</v>
      </c>
      <c r="O17" s="25">
        <f t="shared" si="2"/>
        <v>0.58745098039215682</v>
      </c>
      <c r="P17" s="25">
        <f t="shared" si="2"/>
        <v>0</v>
      </c>
      <c r="Q17" s="25">
        <f t="shared" si="2"/>
        <v>0.28980392156862744</v>
      </c>
      <c r="R17" s="25">
        <f t="shared" si="2"/>
        <v>1.1086274509803922</v>
      </c>
      <c r="S17" s="25">
        <f t="shared" si="2"/>
        <v>0.90156862745098043</v>
      </c>
      <c r="T17" s="25">
        <f t="shared" si="2"/>
        <v>0.21137254901960789</v>
      </c>
      <c r="U17" s="25">
        <f t="shared" si="2"/>
        <v>0.86901960784313725</v>
      </c>
      <c r="V17" s="25">
        <f t="shared" si="2"/>
        <v>0.48949019607843147</v>
      </c>
      <c r="W17" s="25">
        <f t="shared" si="2"/>
        <v>0.32862745098039214</v>
      </c>
      <c r="X17" s="25">
        <f t="shared" si="2"/>
        <v>0.7635294117647059</v>
      </c>
      <c r="Y17" s="25">
        <f t="shared" si="2"/>
        <v>0</v>
      </c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0.30910638297872339</v>
      </c>
      <c r="G18" s="27">
        <f t="shared" si="2"/>
        <v>0.6818723404255318</v>
      </c>
      <c r="H18" s="27">
        <f t="shared" si="2"/>
        <v>1.0241702127659573</v>
      </c>
      <c r="I18" s="27">
        <f t="shared" si="2"/>
        <v>1.6122553191489362</v>
      </c>
      <c r="J18" s="27">
        <f t="shared" si="2"/>
        <v>1.1819574468085106</v>
      </c>
      <c r="K18" s="27">
        <f t="shared" si="2"/>
        <v>1.181872340425532</v>
      </c>
      <c r="L18" s="27">
        <f t="shared" si="2"/>
        <v>1.2092765957446807</v>
      </c>
      <c r="M18" s="27">
        <f t="shared" si="2"/>
        <v>0.49089361702127654</v>
      </c>
      <c r="N18" s="27">
        <f t="shared" si="2"/>
        <v>0.83157446808510627</v>
      </c>
      <c r="O18" s="27">
        <f t="shared" si="2"/>
        <v>0.8217021276595744</v>
      </c>
      <c r="P18" s="27">
        <f t="shared" si="2"/>
        <v>0.8697872340425532</v>
      </c>
      <c r="Q18" s="27">
        <f t="shared" si="2"/>
        <v>0.30748936170212759</v>
      </c>
      <c r="R18" s="27">
        <f t="shared" si="2"/>
        <v>0.47565957446808504</v>
      </c>
      <c r="S18" s="27">
        <f t="shared" si="2"/>
        <v>0.52280851063829781</v>
      </c>
      <c r="T18" s="27">
        <f t="shared" si="2"/>
        <v>0.69974468085106389</v>
      </c>
      <c r="U18" s="27">
        <f t="shared" si="2"/>
        <v>1.0708936170212766</v>
      </c>
      <c r="V18" s="27">
        <f t="shared" si="2"/>
        <v>0.69965957446808502</v>
      </c>
      <c r="W18" s="27">
        <f t="shared" si="2"/>
        <v>0.37137913855734306</v>
      </c>
      <c r="X18" s="27">
        <f t="shared" si="2"/>
        <v>0.9146382978723403</v>
      </c>
      <c r="Y18" s="27">
        <f t="shared" si="2"/>
        <v>0.98161702127659567</v>
      </c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0.37878135219408315</v>
      </c>
      <c r="G19" s="25">
        <f t="shared" si="2"/>
        <v>0.79700631226709251</v>
      </c>
      <c r="H19" s="25">
        <f t="shared" si="2"/>
        <v>0.74450924024640641</v>
      </c>
      <c r="I19" s="25">
        <f t="shared" si="2"/>
        <v>0.8633760742261769</v>
      </c>
      <c r="J19" s="25">
        <f>(J10-$C10)/$C10+1</f>
        <v>1.0389279793140165</v>
      </c>
      <c r="K19" s="25">
        <f>(K10-$C10)/$C10+1</f>
        <v>0.76034192714274851</v>
      </c>
      <c r="L19" s="25">
        <f>(L10-$C10)/$C10+1</f>
        <v>0.8847936725226252</v>
      </c>
      <c r="M19" s="25">
        <f t="shared" si="2"/>
        <v>0.66468202905163887</v>
      </c>
      <c r="N19" s="25">
        <f t="shared" si="2"/>
        <v>0.67119841813065628</v>
      </c>
      <c r="O19" s="25">
        <f t="shared" si="2"/>
        <v>0.66113316602022965</v>
      </c>
      <c r="P19" s="25">
        <f t="shared" si="2"/>
        <v>0.4478789261540802</v>
      </c>
      <c r="Q19" s="25">
        <f t="shared" si="2"/>
        <v>0.43265373792683859</v>
      </c>
      <c r="R19" s="25">
        <f t="shared" si="2"/>
        <v>0.86355555555555552</v>
      </c>
      <c r="S19" s="25">
        <f>(S10-$C10)/$C10+1</f>
        <v>0.944726138869876</v>
      </c>
      <c r="T19" s="25">
        <f>(T10-$C10)/$C10+1</f>
        <v>1.0632835957107005</v>
      </c>
      <c r="U19" s="25">
        <f>(U10-$C10)/$C10+1</f>
        <v>0.6778936801277663</v>
      </c>
      <c r="V19" s="25">
        <f>(V10-$C10)/$C10+1</f>
        <v>0.58672659517834047</v>
      </c>
      <c r="W19" s="25">
        <f>(W10-$C10)/$C10+1</f>
        <v>0.6048593201003879</v>
      </c>
      <c r="X19" s="25">
        <f t="shared" si="2"/>
        <v>0.8355552513499126</v>
      </c>
      <c r="Y19" s="25">
        <f t="shared" si="2"/>
        <v>0.74511765153243581</v>
      </c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44" t="s">
        <v>39</v>
      </c>
      <c r="AA21" s="50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45" t="s">
        <v>40</v>
      </c>
      <c r="AA22" s="51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79014</v>
      </c>
      <c r="G23" s="34">
        <v>108728</v>
      </c>
      <c r="H23" s="34">
        <v>128517</v>
      </c>
      <c r="I23" s="23">
        <v>148915</v>
      </c>
      <c r="J23" s="23">
        <v>175845</v>
      </c>
      <c r="K23" s="23">
        <v>190144</v>
      </c>
      <c r="L23" s="23">
        <v>204800</v>
      </c>
      <c r="M23" s="23">
        <v>223368</v>
      </c>
      <c r="N23" s="23">
        <v>236366</v>
      </c>
      <c r="O23" s="23">
        <v>257257</v>
      </c>
      <c r="P23" s="23">
        <v>257257</v>
      </c>
      <c r="Q23" s="23">
        <v>264471</v>
      </c>
      <c r="R23" s="23">
        <v>292363</v>
      </c>
      <c r="S23" s="23">
        <v>327278</v>
      </c>
      <c r="T23" s="23">
        <v>364929</v>
      </c>
      <c r="U23" s="23">
        <v>365390</v>
      </c>
      <c r="V23" s="23">
        <v>372075</v>
      </c>
      <c r="W23" s="99">
        <v>388324</v>
      </c>
      <c r="X23" s="99">
        <v>393894</v>
      </c>
      <c r="Y23" s="99">
        <v>412377</v>
      </c>
      <c r="Z23" s="100">
        <f>+Y23/C40</f>
        <v>1.099672</v>
      </c>
      <c r="AA23" s="97">
        <f>+Z23-Y$21</f>
        <v>9.9671999999999983E-2</v>
      </c>
      <c r="AX23"/>
    </row>
    <row r="24" spans="2:50">
      <c r="B24" s="4" t="str">
        <f>+B16</f>
        <v>Boston</v>
      </c>
      <c r="C24" s="4"/>
      <c r="D24" s="4"/>
      <c r="E24" s="23"/>
      <c r="F24" s="34">
        <v>56346</v>
      </c>
      <c r="G24" s="34">
        <v>59641</v>
      </c>
      <c r="H24" s="34">
        <v>61636</v>
      </c>
      <c r="I24" s="34">
        <v>61636</v>
      </c>
      <c r="J24" s="34">
        <v>64331</v>
      </c>
      <c r="K24" s="34">
        <v>70721</v>
      </c>
      <c r="L24" s="34">
        <v>79566</v>
      </c>
      <c r="M24" s="34">
        <v>87066</v>
      </c>
      <c r="N24" s="34">
        <v>96956</v>
      </c>
      <c r="O24" s="34">
        <v>96956</v>
      </c>
      <c r="P24" s="23">
        <v>109641</v>
      </c>
      <c r="Q24" s="23">
        <v>121531</v>
      </c>
      <c r="R24" s="23">
        <v>121531</v>
      </c>
      <c r="S24" s="23">
        <v>131221</v>
      </c>
      <c r="T24" s="23">
        <v>147566</v>
      </c>
      <c r="U24" s="23">
        <v>155956</v>
      </c>
      <c r="V24" s="23">
        <v>168746</v>
      </c>
      <c r="W24" s="23">
        <v>181336</v>
      </c>
      <c r="X24" s="23">
        <v>190126</v>
      </c>
      <c r="Y24" s="23">
        <v>208806</v>
      </c>
      <c r="Z24" s="100">
        <f>+Y24/C41</f>
        <v>0.64248000000000005</v>
      </c>
      <c r="AA24" s="79">
        <f>+Z24-Y$21</f>
        <v>-0.35751999999999995</v>
      </c>
      <c r="AX24"/>
    </row>
    <row r="25" spans="2:50" s="4" customFormat="1" ht="12.75">
      <c r="B25" s="4" t="str">
        <f>+B17</f>
        <v>Canada</v>
      </c>
      <c r="E25" s="23"/>
      <c r="F25" s="34">
        <v>49654.8</v>
      </c>
      <c r="G25" s="34">
        <v>55905.3</v>
      </c>
      <c r="H25" s="34">
        <v>55905.3</v>
      </c>
      <c r="I25" s="34">
        <v>61201.8</v>
      </c>
      <c r="J25" s="34">
        <v>75808.800000000003</v>
      </c>
      <c r="K25" s="34">
        <v>83629.8</v>
      </c>
      <c r="L25" s="34">
        <v>94996.800000000003</v>
      </c>
      <c r="M25" s="34">
        <v>103168.8</v>
      </c>
      <c r="N25" s="34">
        <v>112884.3</v>
      </c>
      <c r="O25" s="34">
        <v>119625.3</v>
      </c>
      <c r="P25" s="34">
        <v>119625.3</v>
      </c>
      <c r="Q25" s="34">
        <v>122950.8</v>
      </c>
      <c r="R25" s="34">
        <v>135672.30000000002</v>
      </c>
      <c r="S25" s="34">
        <v>146017.80000000002</v>
      </c>
      <c r="T25" s="34">
        <v>148443.30000000002</v>
      </c>
      <c r="U25" s="34">
        <f>176070*0.9</f>
        <v>158463</v>
      </c>
      <c r="V25" s="34">
        <f>180370*0.9</f>
        <v>162333</v>
      </c>
      <c r="W25" s="34">
        <f>177570*0.9</f>
        <v>159813</v>
      </c>
      <c r="X25" s="34">
        <f>187305*0.9</f>
        <v>168574.5</v>
      </c>
      <c r="Y25" s="34">
        <f>197328*0.9</f>
        <v>177595.2</v>
      </c>
      <c r="Z25" s="100">
        <f>+Y25/C42</f>
        <v>0.77383529411764707</v>
      </c>
      <c r="AA25" s="79">
        <f>+Z25-Y$21</f>
        <v>-0.22616470588235293</v>
      </c>
    </row>
    <row r="26" spans="2:50">
      <c r="B26" s="5" t="str">
        <f>+B18</f>
        <v>Norwich</v>
      </c>
      <c r="C26" s="19"/>
      <c r="D26" s="19"/>
      <c r="E26" s="35"/>
      <c r="F26" s="35">
        <v>132188.91999999998</v>
      </c>
      <c r="G26" s="35">
        <v>147440.91999999998</v>
      </c>
      <c r="H26" s="35">
        <v>167176.68</v>
      </c>
      <c r="I26" s="35">
        <v>198244.84</v>
      </c>
      <c r="J26" s="35">
        <v>218981</v>
      </c>
      <c r="K26" s="35">
        <v>239715.52</v>
      </c>
      <c r="L26" s="35">
        <v>263018.27999999997</v>
      </c>
      <c r="M26" s="35">
        <v>272477.8</v>
      </c>
      <c r="N26" s="35">
        <v>287523.15999999997</v>
      </c>
      <c r="O26" s="35">
        <v>303373.76</v>
      </c>
      <c r="P26" s="35">
        <v>310886.59999999998</v>
      </c>
      <c r="Q26" s="35">
        <v>323363.71999999997</v>
      </c>
      <c r="R26" s="35">
        <v>314353.56</v>
      </c>
      <c r="S26" s="35">
        <v>322151.76</v>
      </c>
      <c r="T26" s="35">
        <v>343179.83999999997</v>
      </c>
      <c r="U26" s="35">
        <f>214239*1.64</f>
        <v>351351.95999999996</v>
      </c>
      <c r="V26" s="35">
        <f>220389*1.64</f>
        <v>361437.95999999996</v>
      </c>
      <c r="W26" s="35">
        <f>218240*1.64</f>
        <v>357913.59999999998</v>
      </c>
      <c r="X26" s="35">
        <f>224286*1.64</f>
        <v>367829.04</v>
      </c>
      <c r="Y26" s="35">
        <f>228076*1.64</f>
        <v>374044.63999999996</v>
      </c>
      <c r="Z26" s="101">
        <f>+Y26/C43</f>
        <v>0.97053617021276584</v>
      </c>
      <c r="AA26" s="79">
        <f>+Z26-Y$21</f>
        <v>-2.9463829787234164E-2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317203.71999999997</v>
      </c>
      <c r="G27" s="10">
        <f t="shared" ref="G27:Y27" si="5">SUM(G23:G26)</f>
        <v>371715.22</v>
      </c>
      <c r="H27" s="4">
        <f t="shared" si="5"/>
        <v>413234.98</v>
      </c>
      <c r="I27" s="4">
        <f t="shared" si="5"/>
        <v>469997.64</v>
      </c>
      <c r="J27" s="4">
        <f t="shared" si="5"/>
        <v>534965.80000000005</v>
      </c>
      <c r="K27" s="4">
        <f t="shared" si="5"/>
        <v>584210.31999999995</v>
      </c>
      <c r="L27" s="10">
        <f t="shared" si="5"/>
        <v>642381.07999999996</v>
      </c>
      <c r="M27" s="10">
        <f t="shared" si="5"/>
        <v>686080.6</v>
      </c>
      <c r="N27" s="10">
        <f t="shared" si="5"/>
        <v>733729.46</v>
      </c>
      <c r="O27" s="4">
        <f>SUM(O23:O26)</f>
        <v>777212.06</v>
      </c>
      <c r="P27" s="10">
        <f t="shared" si="5"/>
        <v>797409.89999999991</v>
      </c>
      <c r="Q27" s="10">
        <f t="shared" si="5"/>
        <v>832316.52</v>
      </c>
      <c r="R27" s="10">
        <f t="shared" si="5"/>
        <v>863919.8600000001</v>
      </c>
      <c r="S27" s="10">
        <f t="shared" si="5"/>
        <v>926668.56</v>
      </c>
      <c r="T27" s="4">
        <f t="shared" si="5"/>
        <v>1004118.14</v>
      </c>
      <c r="U27" s="10">
        <f t="shared" si="5"/>
        <v>1031160.96</v>
      </c>
      <c r="V27" s="10">
        <f t="shared" si="5"/>
        <v>1064591.96</v>
      </c>
      <c r="W27" s="10">
        <f t="shared" si="5"/>
        <v>1087386.6000000001</v>
      </c>
      <c r="X27" s="10">
        <f t="shared" si="5"/>
        <v>1120423.54</v>
      </c>
      <c r="Y27" s="10">
        <f t="shared" si="5"/>
        <v>1172822.8399999999</v>
      </c>
      <c r="Z27" s="102">
        <f>+Y27/C44</f>
        <v>0.89194831546125164</v>
      </c>
      <c r="AA27" s="84">
        <f>+Z27-Y$21</f>
        <v>-0.10805168453874836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0.24123790402311962</v>
      </c>
      <c r="G28" s="30">
        <f t="shared" si="6"/>
        <v>0.28269466879610616</v>
      </c>
      <c r="H28" s="30">
        <f t="shared" si="6"/>
        <v>0.31427103201764389</v>
      </c>
      <c r="I28" s="30">
        <f t="shared" si="6"/>
        <v>0.35743983572895277</v>
      </c>
      <c r="J28" s="30">
        <f t="shared" si="6"/>
        <v>0.40684903794965399</v>
      </c>
      <c r="K28" s="30">
        <f t="shared" si="6"/>
        <v>0.44430019012852684</v>
      </c>
      <c r="L28" s="30">
        <f t="shared" si="6"/>
        <v>0.48853987375465813</v>
      </c>
      <c r="M28" s="30">
        <f t="shared" si="6"/>
        <v>0.52177397520724011</v>
      </c>
      <c r="N28" s="30">
        <f t="shared" si="6"/>
        <v>0.55801160544528094</v>
      </c>
      <c r="O28" s="30">
        <f>+O27/$C$44</f>
        <v>0.59108073617765611</v>
      </c>
      <c r="P28" s="30">
        <f t="shared" ref="P28:Y28" si="7">+P27/$C$44</f>
        <v>0.60644147843942497</v>
      </c>
      <c r="Q28" s="30">
        <f t="shared" si="7"/>
        <v>0.63298845539584758</v>
      </c>
      <c r="R28" s="30">
        <f t="shared" si="7"/>
        <v>0.65702324131112644</v>
      </c>
      <c r="S28" s="30">
        <f t="shared" si="7"/>
        <v>0.70474451289071416</v>
      </c>
      <c r="T28" s="30">
        <f t="shared" si="7"/>
        <v>0.76364601110350594</v>
      </c>
      <c r="U28" s="30">
        <f t="shared" si="7"/>
        <v>0.78421245722108146</v>
      </c>
      <c r="V28" s="30">
        <f t="shared" si="7"/>
        <v>0.80963720435014064</v>
      </c>
      <c r="W28" s="30">
        <f t="shared" si="7"/>
        <v>0.82697284964636097</v>
      </c>
      <c r="X28" s="30">
        <f t="shared" si="7"/>
        <v>0.85209790858620427</v>
      </c>
      <c r="Y28" s="30">
        <f t="shared" si="7"/>
        <v>0.89194831546125164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4.21408</v>
      </c>
      <c r="G32" s="17">
        <f t="shared" si="9"/>
        <v>2.8994133333333334</v>
      </c>
      <c r="H32" s="17">
        <f t="shared" si="9"/>
        <v>2.2847466666666665</v>
      </c>
      <c r="I32" s="17">
        <f t="shared" si="9"/>
        <v>1.9855333333333334</v>
      </c>
      <c r="J32" s="17">
        <f t="shared" si="9"/>
        <v>1.87568</v>
      </c>
      <c r="K32" s="17">
        <f t="shared" si="9"/>
        <v>1.6901688888888891</v>
      </c>
      <c r="L32" s="17">
        <f t="shared" si="9"/>
        <v>1.5603809523809524</v>
      </c>
      <c r="M32" s="17">
        <f t="shared" si="9"/>
        <v>1.48912</v>
      </c>
      <c r="N32" s="17">
        <f t="shared" si="9"/>
        <v>1.4006874074074074</v>
      </c>
      <c r="O32" s="17">
        <f t="shared" si="9"/>
        <v>1.3720373333333333</v>
      </c>
      <c r="P32" s="17">
        <f t="shared" si="9"/>
        <v>1.2473066666666666</v>
      </c>
      <c r="Q32" s="17">
        <f t="shared" si="9"/>
        <v>1.1754266666666666</v>
      </c>
      <c r="R32" s="17">
        <f t="shared" si="9"/>
        <v>1.1994379487179487</v>
      </c>
      <c r="S32" s="17">
        <f t="shared" si="9"/>
        <v>1.2467733333333333</v>
      </c>
      <c r="T32" s="17">
        <f t="shared" si="9"/>
        <v>1.2975253333333334</v>
      </c>
      <c r="U32" s="17">
        <f t="shared" si="9"/>
        <v>1.2179666666666666</v>
      </c>
      <c r="V32" s="17">
        <f t="shared" si="9"/>
        <v>1.1672941176470588</v>
      </c>
      <c r="W32" s="17">
        <f t="shared" si="9"/>
        <v>1.1505896296296296</v>
      </c>
      <c r="X32" s="17">
        <f t="shared" si="9"/>
        <v>1.1056673684210525</v>
      </c>
      <c r="Y32" s="17">
        <f t="shared" si="9"/>
        <v>1.099672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3.4674461538461538</v>
      </c>
      <c r="G33" s="17">
        <f t="shared" si="10"/>
        <v>1.8351076923076923</v>
      </c>
      <c r="H33" s="17">
        <f t="shared" si="10"/>
        <v>1.264328205128205</v>
      </c>
      <c r="I33" s="17">
        <f t="shared" si="10"/>
        <v>0.94824615384615385</v>
      </c>
      <c r="J33" s="17">
        <f t="shared" si="10"/>
        <v>0.7917661538461539</v>
      </c>
      <c r="K33" s="17">
        <f t="shared" si="10"/>
        <v>0.72534358974358981</v>
      </c>
      <c r="L33" s="17">
        <f t="shared" si="10"/>
        <v>0.69948131868131869</v>
      </c>
      <c r="M33" s="17">
        <f t="shared" si="10"/>
        <v>0.6697384615384615</v>
      </c>
      <c r="N33" s="17">
        <f t="shared" si="10"/>
        <v>0.66294700854700861</v>
      </c>
      <c r="O33" s="17">
        <f t="shared" si="10"/>
        <v>0.5966523076923077</v>
      </c>
      <c r="P33" s="17">
        <f t="shared" si="10"/>
        <v>0.61337622377622369</v>
      </c>
      <c r="Q33" s="17">
        <f t="shared" si="10"/>
        <v>0.62323589743589747</v>
      </c>
      <c r="R33" s="17">
        <f t="shared" si="10"/>
        <v>0.57529467455621297</v>
      </c>
      <c r="S33" s="17">
        <f t="shared" si="10"/>
        <v>0.5767956043956044</v>
      </c>
      <c r="T33" s="17">
        <f t="shared" si="10"/>
        <v>0.60539897435897438</v>
      </c>
      <c r="U33" s="17">
        <f t="shared" si="10"/>
        <v>0.59983076923076928</v>
      </c>
      <c r="V33" s="17">
        <f t="shared" si="10"/>
        <v>0.61084524886877833</v>
      </c>
      <c r="W33" s="17">
        <f t="shared" si="10"/>
        <v>0.61995213675213678</v>
      </c>
      <c r="X33" s="17">
        <f t="shared" si="10"/>
        <v>0.6157927125506073</v>
      </c>
      <c r="Y33" s="17">
        <f t="shared" si="10"/>
        <v>0.64248000000000005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4.3272156862745099</v>
      </c>
      <c r="G34" s="17">
        <f t="shared" si="11"/>
        <v>2.4359607843137256</v>
      </c>
      <c r="H34" s="17">
        <f t="shared" si="11"/>
        <v>1.6239738562091506</v>
      </c>
      <c r="I34" s="17">
        <f t="shared" si="11"/>
        <v>1.3333725490196078</v>
      </c>
      <c r="J34" s="17">
        <f t="shared" si="11"/>
        <v>1.321286274509804</v>
      </c>
      <c r="K34" s="17">
        <f t="shared" si="11"/>
        <v>1.2146666666666666</v>
      </c>
      <c r="L34" s="17">
        <f t="shared" si="11"/>
        <v>1.1826554621848739</v>
      </c>
      <c r="M34" s="17">
        <f t="shared" si="11"/>
        <v>1.123843137254902</v>
      </c>
      <c r="N34" s="17">
        <f t="shared" si="11"/>
        <v>1.0930457516339869</v>
      </c>
      <c r="O34" s="17">
        <f t="shared" si="11"/>
        <v>1.042486274509804</v>
      </c>
      <c r="P34" s="17">
        <f t="shared" si="11"/>
        <v>0.94771479500891276</v>
      </c>
      <c r="Q34" s="17">
        <f t="shared" si="11"/>
        <v>0.89288888888888884</v>
      </c>
      <c r="R34" s="17">
        <f t="shared" si="11"/>
        <v>0.90948416289592771</v>
      </c>
      <c r="S34" s="17">
        <f t="shared" si="11"/>
        <v>0.90891876750700284</v>
      </c>
      <c r="T34" s="17">
        <f t="shared" si="11"/>
        <v>0.86241568627450993</v>
      </c>
      <c r="U34" s="17">
        <f t="shared" si="11"/>
        <v>0.8630882352941176</v>
      </c>
      <c r="V34" s="17">
        <f t="shared" si="11"/>
        <v>0.83215686274509804</v>
      </c>
      <c r="W34" s="17">
        <f t="shared" si="11"/>
        <v>0.77372549019607839</v>
      </c>
      <c r="X34" s="17">
        <f t="shared" si="11"/>
        <v>0.77318885448916419</v>
      </c>
      <c r="Y34" s="17">
        <f t="shared" si="11"/>
        <v>0.77383529411764707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6.859829787234041</v>
      </c>
      <c r="G35" s="18">
        <f t="shared" si="12"/>
        <v>3.8256595744680846</v>
      </c>
      <c r="H35" s="18">
        <f t="shared" si="12"/>
        <v>2.8918297872340424</v>
      </c>
      <c r="I35" s="18">
        <f t="shared" si="12"/>
        <v>2.5719361702127657</v>
      </c>
      <c r="J35" s="18">
        <f t="shared" si="12"/>
        <v>2.2727659574468086</v>
      </c>
      <c r="K35" s="18">
        <f t="shared" si="12"/>
        <v>2.0733049645390071</v>
      </c>
      <c r="L35" s="18">
        <f t="shared" si="12"/>
        <v>1.9498723404255314</v>
      </c>
      <c r="M35" s="18">
        <f t="shared" si="12"/>
        <v>1.7675000000000001</v>
      </c>
      <c r="N35" s="18">
        <f t="shared" si="12"/>
        <v>1.6578628841607566</v>
      </c>
      <c r="O35" s="18">
        <f t="shared" si="12"/>
        <v>1.574331914893617</v>
      </c>
      <c r="P35" s="18">
        <f t="shared" si="12"/>
        <v>1.4666537717601544</v>
      </c>
      <c r="Q35" s="18">
        <f t="shared" si="12"/>
        <v>1.3983900709219859</v>
      </c>
      <c r="R35" s="18">
        <f t="shared" si="12"/>
        <v>1.2548543371522094</v>
      </c>
      <c r="S35" s="18">
        <f t="shared" si="12"/>
        <v>1.1941276595744681</v>
      </c>
      <c r="T35" s="18">
        <f t="shared" si="12"/>
        <v>1.187268085106383</v>
      </c>
      <c r="U35" s="18">
        <f t="shared" si="12"/>
        <v>1.1395691489361701</v>
      </c>
      <c r="V35" s="18">
        <f t="shared" si="12"/>
        <v>1.1033241551939923</v>
      </c>
      <c r="W35" s="18">
        <f t="shared" si="12"/>
        <v>1.0318676122931441</v>
      </c>
      <c r="X35" s="18">
        <f t="shared" si="12"/>
        <v>1.0046405375139977</v>
      </c>
      <c r="Y35" s="18">
        <f t="shared" si="12"/>
        <v>0.97053617021276573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4.8247580804623924</v>
      </c>
      <c r="G36" s="17">
        <f t="shared" si="13"/>
        <v>2.8269466879610614</v>
      </c>
      <c r="H36" s="17">
        <f t="shared" si="13"/>
        <v>2.0951402134509594</v>
      </c>
      <c r="I36" s="17">
        <f t="shared" si="13"/>
        <v>1.7871991786447641</v>
      </c>
      <c r="J36" s="17">
        <f t="shared" si="13"/>
        <v>1.627396151798616</v>
      </c>
      <c r="K36" s="17">
        <f t="shared" si="13"/>
        <v>1.4810006337617563</v>
      </c>
      <c r="L36" s="17">
        <f t="shared" si="13"/>
        <v>1.3958282107275946</v>
      </c>
      <c r="M36" s="17">
        <f t="shared" si="13"/>
        <v>1.3044349380181002</v>
      </c>
      <c r="N36" s="17">
        <f t="shared" si="13"/>
        <v>1.2400257898784022</v>
      </c>
      <c r="O36" s="17">
        <f t="shared" si="13"/>
        <v>1.1821614723553122</v>
      </c>
      <c r="P36" s="17">
        <f t="shared" si="13"/>
        <v>1.1026208698898636</v>
      </c>
      <c r="Q36" s="17">
        <f t="shared" si="13"/>
        <v>1.0549807589930795</v>
      </c>
      <c r="R36" s="17">
        <f t="shared" si="13"/>
        <v>1.010804986632502</v>
      </c>
      <c r="S36" s="17">
        <f t="shared" si="13"/>
        <v>1.0067778755581629</v>
      </c>
      <c r="T36" s="17">
        <f t="shared" si="13"/>
        <v>1.0181946814713414</v>
      </c>
      <c r="U36" s="17">
        <f t="shared" si="13"/>
        <v>0.98026557152635174</v>
      </c>
      <c r="V36" s="17">
        <f t="shared" si="13"/>
        <v>0.95251435805898899</v>
      </c>
      <c r="W36" s="17">
        <f t="shared" si="13"/>
        <v>0.91885872182928985</v>
      </c>
      <c r="X36" s="17">
        <f t="shared" si="13"/>
        <v>0.89694516693284654</v>
      </c>
      <c r="Y36" s="17">
        <f t="shared" si="13"/>
        <v>0.89194831546125164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375000</v>
      </c>
      <c r="D40" s="4"/>
      <c r="E40" s="4"/>
      <c r="F40" s="55">
        <f t="shared" ref="F40:Y43" si="15">(F23)/F$1*$Y$1</f>
        <v>1580280</v>
      </c>
      <c r="G40" s="55">
        <f t="shared" si="15"/>
        <v>1087280</v>
      </c>
      <c r="H40" s="55">
        <f t="shared" si="15"/>
        <v>856780</v>
      </c>
      <c r="I40" s="55">
        <f t="shared" si="15"/>
        <v>744575</v>
      </c>
      <c r="J40" s="55">
        <f t="shared" si="15"/>
        <v>703380</v>
      </c>
      <c r="K40" s="55">
        <f t="shared" si="15"/>
        <v>633813.33333333337</v>
      </c>
      <c r="L40" s="55">
        <f t="shared" si="15"/>
        <v>585142.85714285716</v>
      </c>
      <c r="M40" s="55">
        <f t="shared" si="15"/>
        <v>558420</v>
      </c>
      <c r="N40" s="55">
        <f t="shared" si="15"/>
        <v>525257.77777777775</v>
      </c>
      <c r="O40" s="55">
        <f t="shared" si="15"/>
        <v>514514</v>
      </c>
      <c r="P40" s="55">
        <f t="shared" si="15"/>
        <v>467740</v>
      </c>
      <c r="Q40" s="55">
        <f t="shared" si="15"/>
        <v>440785</v>
      </c>
      <c r="R40" s="55">
        <f t="shared" si="15"/>
        <v>449789.23076923075</v>
      </c>
      <c r="S40" s="55">
        <f t="shared" si="15"/>
        <v>467540</v>
      </c>
      <c r="T40" s="55">
        <f t="shared" si="15"/>
        <v>486572</v>
      </c>
      <c r="U40" s="55">
        <f t="shared" si="15"/>
        <v>456737.5</v>
      </c>
      <c r="V40" s="55">
        <f t="shared" si="15"/>
        <v>437735.29411764705</v>
      </c>
      <c r="W40" s="55">
        <f t="shared" si="15"/>
        <v>431471.11111111112</v>
      </c>
      <c r="X40" s="55">
        <f>(X23)/X$1*$Y$1</f>
        <v>414625.26315789472</v>
      </c>
      <c r="Y40" s="48">
        <f t="shared" si="15"/>
        <v>412377</v>
      </c>
      <c r="AX40"/>
    </row>
    <row r="41" spans="2:50">
      <c r="B41" s="4" t="s">
        <v>1</v>
      </c>
      <c r="C41" s="37">
        <v>325000</v>
      </c>
      <c r="D41" s="4"/>
      <c r="E41" s="4"/>
      <c r="F41" s="55">
        <f t="shared" si="15"/>
        <v>1126920</v>
      </c>
      <c r="G41" s="55">
        <f t="shared" si="15"/>
        <v>596410</v>
      </c>
      <c r="H41" s="55">
        <f t="shared" si="15"/>
        <v>410906.66666666663</v>
      </c>
      <c r="I41" s="48">
        <f t="shared" si="15"/>
        <v>308180</v>
      </c>
      <c r="J41" s="48">
        <f t="shared" si="15"/>
        <v>257324</v>
      </c>
      <c r="K41" s="48">
        <f t="shared" si="15"/>
        <v>235736.66666666669</v>
      </c>
      <c r="L41" s="48">
        <f t="shared" si="15"/>
        <v>227331.42857142858</v>
      </c>
      <c r="M41" s="48">
        <f t="shared" si="15"/>
        <v>217665</v>
      </c>
      <c r="N41" s="48">
        <f t="shared" si="15"/>
        <v>215457.77777777778</v>
      </c>
      <c r="O41" s="48">
        <f t="shared" si="15"/>
        <v>193912</v>
      </c>
      <c r="P41" s="48">
        <f t="shared" si="15"/>
        <v>199347.27272727271</v>
      </c>
      <c r="Q41" s="48">
        <f t="shared" si="15"/>
        <v>202551.66666666669</v>
      </c>
      <c r="R41" s="48">
        <f t="shared" si="15"/>
        <v>186970.76923076922</v>
      </c>
      <c r="S41" s="48">
        <f t="shared" si="15"/>
        <v>187458.57142857142</v>
      </c>
      <c r="T41" s="48">
        <f t="shared" si="15"/>
        <v>196754.66666666669</v>
      </c>
      <c r="U41" s="48">
        <f t="shared" si="15"/>
        <v>194945</v>
      </c>
      <c r="V41" s="48">
        <f t="shared" si="15"/>
        <v>198524.70588235295</v>
      </c>
      <c r="W41" s="48">
        <f t="shared" si="15"/>
        <v>201484.44444444444</v>
      </c>
      <c r="X41" s="48">
        <f t="shared" si="15"/>
        <v>200132.63157894736</v>
      </c>
      <c r="Y41" s="48">
        <f t="shared" si="15"/>
        <v>208806</v>
      </c>
      <c r="AX41"/>
    </row>
    <row r="42" spans="2:50">
      <c r="B42" s="4" t="s">
        <v>2</v>
      </c>
      <c r="C42" s="37">
        <f>255000*0.9</f>
        <v>229500</v>
      </c>
      <c r="D42" s="4"/>
      <c r="E42" s="4"/>
      <c r="F42" s="55">
        <f t="shared" si="15"/>
        <v>993096</v>
      </c>
      <c r="G42" s="55">
        <f t="shared" si="15"/>
        <v>559053</v>
      </c>
      <c r="H42" s="55">
        <f t="shared" si="15"/>
        <v>372702.00000000006</v>
      </c>
      <c r="I42" s="55">
        <f t="shared" si="15"/>
        <v>306009</v>
      </c>
      <c r="J42" s="55">
        <f t="shared" si="15"/>
        <v>303235.20000000001</v>
      </c>
      <c r="K42" s="55">
        <f t="shared" si="15"/>
        <v>278766</v>
      </c>
      <c r="L42" s="55">
        <f t="shared" si="15"/>
        <v>271419.42857142858</v>
      </c>
      <c r="M42" s="55">
        <f t="shared" si="15"/>
        <v>257922</v>
      </c>
      <c r="N42" s="55">
        <f t="shared" si="15"/>
        <v>250854</v>
      </c>
      <c r="O42" s="55">
        <f t="shared" si="15"/>
        <v>239250.6</v>
      </c>
      <c r="P42" s="48">
        <f t="shared" si="15"/>
        <v>217500.54545454547</v>
      </c>
      <c r="Q42" s="48">
        <f t="shared" si="15"/>
        <v>204918</v>
      </c>
      <c r="R42" s="48">
        <f t="shared" si="15"/>
        <v>208726.6153846154</v>
      </c>
      <c r="S42" s="48">
        <f t="shared" si="15"/>
        <v>208596.85714285716</v>
      </c>
      <c r="T42" s="48">
        <f t="shared" si="15"/>
        <v>197924.40000000002</v>
      </c>
      <c r="U42" s="48">
        <f t="shared" si="15"/>
        <v>198078.75</v>
      </c>
      <c r="V42" s="48">
        <f t="shared" si="15"/>
        <v>190980</v>
      </c>
      <c r="W42" s="48">
        <f t="shared" si="15"/>
        <v>177570</v>
      </c>
      <c r="X42" s="48">
        <f t="shared" si="15"/>
        <v>177446.84210526317</v>
      </c>
      <c r="Y42" s="48">
        <f t="shared" si="15"/>
        <v>177595.2</v>
      </c>
    </row>
    <row r="43" spans="2:50">
      <c r="B43" s="4" t="s">
        <v>3</v>
      </c>
      <c r="C43" s="38">
        <f>235000*1.64</f>
        <v>385400</v>
      </c>
      <c r="D43" s="19"/>
      <c r="E43" s="19"/>
      <c r="F43" s="13">
        <f t="shared" si="15"/>
        <v>2643778.3999999994</v>
      </c>
      <c r="G43" s="13">
        <f t="shared" si="15"/>
        <v>1474409.1999999997</v>
      </c>
      <c r="H43" s="13">
        <f t="shared" si="15"/>
        <v>1114511.2</v>
      </c>
      <c r="I43" s="13">
        <f t="shared" si="15"/>
        <v>991224.2</v>
      </c>
      <c r="J43" s="13">
        <f t="shared" si="15"/>
        <v>875924</v>
      </c>
      <c r="K43" s="13">
        <f t="shared" si="15"/>
        <v>799051.73333333328</v>
      </c>
      <c r="L43" s="13">
        <f t="shared" si="15"/>
        <v>751480.79999999981</v>
      </c>
      <c r="M43" s="13">
        <f t="shared" si="15"/>
        <v>681194.5</v>
      </c>
      <c r="N43" s="13">
        <f t="shared" si="15"/>
        <v>638940.35555555555</v>
      </c>
      <c r="O43" s="13">
        <f t="shared" si="15"/>
        <v>606747.52</v>
      </c>
      <c r="P43" s="13">
        <f t="shared" si="15"/>
        <v>565248.36363636353</v>
      </c>
      <c r="Q43" s="13">
        <f t="shared" si="15"/>
        <v>538939.53333333333</v>
      </c>
      <c r="R43" s="13">
        <f t="shared" si="15"/>
        <v>483620.86153846153</v>
      </c>
      <c r="S43" s="13">
        <f t="shared" si="15"/>
        <v>460216.8</v>
      </c>
      <c r="T43" s="13">
        <f t="shared" si="15"/>
        <v>457573.12</v>
      </c>
      <c r="U43" s="13">
        <f t="shared" si="15"/>
        <v>439189.94999999995</v>
      </c>
      <c r="V43" s="98">
        <f t="shared" si="15"/>
        <v>425221.12941176462</v>
      </c>
      <c r="W43" s="98">
        <f t="shared" si="15"/>
        <v>397681.77777777775</v>
      </c>
      <c r="X43" s="98">
        <f>(X26)/X$1*$Y$1</f>
        <v>387188.46315789473</v>
      </c>
      <c r="Y43" s="95">
        <f t="shared" si="15"/>
        <v>374044.6399999999</v>
      </c>
    </row>
    <row r="44" spans="2:50">
      <c r="B44" s="14" t="s">
        <v>27</v>
      </c>
      <c r="C44" s="39">
        <f>SUM(C40:C43)</f>
        <v>1314900</v>
      </c>
      <c r="D44" s="10">
        <f>SUM(D40:D43)</f>
        <v>0</v>
      </c>
      <c r="E44" s="10">
        <f>SUM(E40:E43)</f>
        <v>0</v>
      </c>
      <c r="F44" s="10">
        <f t="shared" ref="F44:Y44" si="16">SUM(F40:F43)</f>
        <v>6344074.3999999994</v>
      </c>
      <c r="G44" s="10">
        <f t="shared" si="16"/>
        <v>3717152.1999999997</v>
      </c>
      <c r="H44" s="10">
        <f t="shared" si="16"/>
        <v>2754899.8666666662</v>
      </c>
      <c r="I44" s="10">
        <f t="shared" si="16"/>
        <v>2349988.2000000002</v>
      </c>
      <c r="J44" s="10">
        <f t="shared" si="16"/>
        <v>2139863.2000000002</v>
      </c>
      <c r="K44" s="10">
        <f t="shared" si="16"/>
        <v>1947367.7333333334</v>
      </c>
      <c r="L44" s="10">
        <f t="shared" si="16"/>
        <v>1835374.5142857141</v>
      </c>
      <c r="M44" s="10">
        <f t="shared" si="16"/>
        <v>1715201.5</v>
      </c>
      <c r="N44" s="10">
        <f t="shared" si="16"/>
        <v>1630509.9111111111</v>
      </c>
      <c r="O44" s="10">
        <f t="shared" si="16"/>
        <v>1554424.12</v>
      </c>
      <c r="P44" s="10">
        <f t="shared" si="16"/>
        <v>1449836.1818181816</v>
      </c>
      <c r="Q44" s="10">
        <f t="shared" si="16"/>
        <v>1387194.2000000002</v>
      </c>
      <c r="R44" s="10">
        <f t="shared" si="16"/>
        <v>1329107.4769230769</v>
      </c>
      <c r="S44" s="10">
        <f t="shared" si="16"/>
        <v>1323812.2285714285</v>
      </c>
      <c r="T44" s="10">
        <f t="shared" si="16"/>
        <v>1338824.1866666668</v>
      </c>
      <c r="U44" s="10">
        <f t="shared" si="16"/>
        <v>1288951.2</v>
      </c>
      <c r="V44" s="10">
        <f t="shared" si="16"/>
        <v>1252461.1294117647</v>
      </c>
      <c r="W44" s="10">
        <f t="shared" si="16"/>
        <v>1208207.3333333333</v>
      </c>
      <c r="X44" s="10">
        <f t="shared" si="16"/>
        <v>1179393.2</v>
      </c>
      <c r="Y44" s="10">
        <f t="shared" si="16"/>
        <v>1172822.8399999999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Y25" sqref="Y25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710937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51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56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13750</v>
      </c>
      <c r="D6" s="10"/>
      <c r="E6" s="11">
        <f>16510-2323</f>
        <v>14187</v>
      </c>
      <c r="F6" s="34">
        <v>2323</v>
      </c>
      <c r="G6" s="34">
        <v>13464</v>
      </c>
      <c r="H6" s="34">
        <v>12874</v>
      </c>
      <c r="I6" s="34">
        <v>11376</v>
      </c>
      <c r="J6" s="34">
        <v>11498</v>
      </c>
      <c r="K6" s="93"/>
      <c r="L6" s="34">
        <v>28954</v>
      </c>
      <c r="M6" s="34">
        <v>10117</v>
      </c>
      <c r="N6" s="34">
        <v>29139</v>
      </c>
      <c r="O6" s="34">
        <v>12380</v>
      </c>
      <c r="P6" s="34">
        <v>16250</v>
      </c>
      <c r="Q6" s="34">
        <v>11610</v>
      </c>
      <c r="R6" s="34">
        <v>5567</v>
      </c>
      <c r="S6" s="34">
        <v>14203</v>
      </c>
      <c r="T6" s="34">
        <v>6224</v>
      </c>
      <c r="U6" s="34">
        <v>2785</v>
      </c>
      <c r="V6" s="34">
        <v>8265</v>
      </c>
      <c r="W6" s="34">
        <v>6037</v>
      </c>
      <c r="X6" s="34">
        <v>12213</v>
      </c>
      <c r="Y6" s="34">
        <v>26006</v>
      </c>
      <c r="Z6" s="88">
        <f>(SUM(F6:Y6)/(COUNT(F6:Y6)))</f>
        <v>12699.21052631579</v>
      </c>
      <c r="AA6" s="103"/>
      <c r="AX6"/>
    </row>
    <row r="7" spans="2:50">
      <c r="B7" s="4" t="s">
        <v>1</v>
      </c>
      <c r="C7" s="20">
        <f>+C41/20</f>
        <v>12500</v>
      </c>
      <c r="D7" s="10"/>
      <c r="E7" s="11">
        <v>0</v>
      </c>
      <c r="F7" s="34">
        <v>14985</v>
      </c>
      <c r="G7" s="34">
        <v>6795</v>
      </c>
      <c r="H7" s="34">
        <v>6000</v>
      </c>
      <c r="I7" s="34">
        <v>1000</v>
      </c>
      <c r="J7" s="34">
        <v>0</v>
      </c>
      <c r="K7" s="93"/>
      <c r="L7" s="34">
        <v>4690</v>
      </c>
      <c r="M7" s="34">
        <v>2695</v>
      </c>
      <c r="N7" s="34">
        <v>7250</v>
      </c>
      <c r="O7" s="34">
        <v>11185</v>
      </c>
      <c r="P7" s="34">
        <v>2695</v>
      </c>
      <c r="Q7" s="34">
        <v>9490</v>
      </c>
      <c r="R7" s="34">
        <v>0</v>
      </c>
      <c r="S7" s="34">
        <v>3995</v>
      </c>
      <c r="T7" s="34">
        <v>5985</v>
      </c>
      <c r="U7" s="34">
        <v>2000</v>
      </c>
      <c r="V7" s="34">
        <v>2000</v>
      </c>
      <c r="W7" s="34">
        <v>5795</v>
      </c>
      <c r="X7" s="34">
        <v>12790</v>
      </c>
      <c r="Y7" s="34">
        <v>13765</v>
      </c>
      <c r="Z7" s="69">
        <f>(SUM(F7:Y7)/(COUNT(F7:Y7)))</f>
        <v>5953.4210526315792</v>
      </c>
      <c r="AA7" s="103"/>
      <c r="AX7"/>
    </row>
    <row r="8" spans="2:50">
      <c r="B8" s="4" t="s">
        <v>2</v>
      </c>
      <c r="C8" s="20">
        <f>+C42/20</f>
        <v>7875</v>
      </c>
      <c r="D8" s="10"/>
      <c r="E8" s="11">
        <f>6990*0.9</f>
        <v>6291</v>
      </c>
      <c r="F8" s="34">
        <f>12818*0.9</f>
        <v>11536.2</v>
      </c>
      <c r="G8" s="34">
        <f>8842*0.9</f>
        <v>7957.8</v>
      </c>
      <c r="H8" s="34">
        <f>11242*0.9</f>
        <v>10117.800000000001</v>
      </c>
      <c r="I8" s="93"/>
      <c r="J8" s="34">
        <f>6770*0.9</f>
        <v>6093</v>
      </c>
      <c r="K8" s="34">
        <f>12210*0.9</f>
        <v>10989</v>
      </c>
      <c r="L8" s="34">
        <f>9400*0.9</f>
        <v>8460</v>
      </c>
      <c r="M8" s="34">
        <f>8540*0.9</f>
        <v>7686</v>
      </c>
      <c r="N8" s="34">
        <f>4345*0.9</f>
        <v>3910.5</v>
      </c>
      <c r="O8" s="34">
        <f>11185*0.9</f>
        <v>10066.5</v>
      </c>
      <c r="P8" s="34">
        <f>1650*0.9</f>
        <v>1485</v>
      </c>
      <c r="Q8" s="34">
        <f>5708*0.9</f>
        <v>5137.2</v>
      </c>
      <c r="R8" s="34">
        <f>3150*0.9</f>
        <v>2835</v>
      </c>
      <c r="S8" s="34">
        <f>2695*0.9</f>
        <v>2425.5</v>
      </c>
      <c r="T8" s="34">
        <f>12690*0.9</f>
        <v>11421</v>
      </c>
      <c r="U8" s="34">
        <f>2695*0.9</f>
        <v>2425.5</v>
      </c>
      <c r="V8" s="34">
        <f>8490*0.9</f>
        <v>7641</v>
      </c>
      <c r="W8" s="34">
        <f>4000*0.9</f>
        <v>3600</v>
      </c>
      <c r="X8" s="34">
        <f>10090*0.9</f>
        <v>9081</v>
      </c>
      <c r="Y8" s="34">
        <f>5545*0.9</f>
        <v>4990.5</v>
      </c>
      <c r="Z8" s="69">
        <f>(SUM(F8:Y8)/(COUNT(F8:Y8)))</f>
        <v>6729.394736842105</v>
      </c>
      <c r="AA8" s="103"/>
      <c r="AX8"/>
    </row>
    <row r="9" spans="2:50">
      <c r="B9" s="4" t="s">
        <v>3</v>
      </c>
      <c r="C9" s="21">
        <f>+C43/20</f>
        <v>14400</v>
      </c>
      <c r="D9" s="13"/>
      <c r="E9" s="40">
        <f>9817*1.64</f>
        <v>16099.88</v>
      </c>
      <c r="F9" s="35">
        <f>2301*1.64</f>
        <v>3773.64</v>
      </c>
      <c r="G9" s="35">
        <f>10018*1.64</f>
        <v>16429.52</v>
      </c>
      <c r="H9" s="35">
        <f>13094*1.64</f>
        <v>21474.16</v>
      </c>
      <c r="I9" s="35">
        <f>13462*1.64</f>
        <v>22077.68</v>
      </c>
      <c r="J9" s="35">
        <f>13860*1.64</f>
        <v>22730.399999999998</v>
      </c>
      <c r="K9" s="35">
        <f>6808*1.64</f>
        <v>11165.119999999999</v>
      </c>
      <c r="L9" s="35">
        <f>11803*1.64</f>
        <v>19356.919999999998</v>
      </c>
      <c r="M9" s="35">
        <f>17034*1.64</f>
        <v>27935.759999999998</v>
      </c>
      <c r="N9" s="35">
        <f>21969*1.64</f>
        <v>36029.159999999996</v>
      </c>
      <c r="O9" s="35">
        <f>14053*1.64</f>
        <v>23046.92</v>
      </c>
      <c r="P9" s="35">
        <f>6761*1.64</f>
        <v>11088.039999999999</v>
      </c>
      <c r="Q9" s="35">
        <f>13479*1.64</f>
        <v>22105.559999999998</v>
      </c>
      <c r="R9" s="35">
        <f>2301*1.64</f>
        <v>3773.64</v>
      </c>
      <c r="S9" s="35">
        <f>8030*1.64</f>
        <v>13169.199999999999</v>
      </c>
      <c r="T9" s="35">
        <f>19112*1.64</f>
        <v>31343.679999999997</v>
      </c>
      <c r="U9" s="35">
        <f>10255*1.64</f>
        <v>16818.2</v>
      </c>
      <c r="V9" s="35">
        <f>9017*1.64</f>
        <v>14787.88</v>
      </c>
      <c r="W9" s="35">
        <f>26111*1.6</f>
        <v>41777.600000000006</v>
      </c>
      <c r="X9" s="35">
        <f>11222*1.64</f>
        <v>18404.079999999998</v>
      </c>
      <c r="Y9" s="35">
        <f>14355*1.64</f>
        <v>23542.199999999997</v>
      </c>
      <c r="Z9" s="112">
        <f>(SUM(F9:Y9)/(COUNT(F9:Y9)))</f>
        <v>20041.468000000004</v>
      </c>
      <c r="AA9" s="103"/>
      <c r="AX9"/>
    </row>
    <row r="10" spans="2:50" ht="15.75" thickBot="1">
      <c r="B10" s="14" t="s">
        <v>27</v>
      </c>
      <c r="C10" s="20">
        <f>SUM(C6:C9)</f>
        <v>48525</v>
      </c>
      <c r="D10" s="10"/>
      <c r="E10" s="11">
        <f t="shared" ref="E10:Y10" si="0">SUM(E6:E9)</f>
        <v>36577.879999999997</v>
      </c>
      <c r="F10" s="10">
        <f t="shared" si="0"/>
        <v>32617.84</v>
      </c>
      <c r="G10" s="10">
        <f t="shared" si="0"/>
        <v>44646.32</v>
      </c>
      <c r="H10" s="10">
        <f t="shared" si="0"/>
        <v>50465.960000000006</v>
      </c>
      <c r="I10" s="10">
        <f t="shared" si="0"/>
        <v>34453.68</v>
      </c>
      <c r="J10" s="10">
        <f t="shared" si="0"/>
        <v>40321.399999999994</v>
      </c>
      <c r="K10" s="10">
        <f t="shared" si="0"/>
        <v>22154.12</v>
      </c>
      <c r="L10" s="10">
        <f t="shared" si="0"/>
        <v>61460.92</v>
      </c>
      <c r="M10" s="10">
        <f t="shared" si="0"/>
        <v>48433.759999999995</v>
      </c>
      <c r="N10" s="10">
        <f t="shared" si="0"/>
        <v>76328.66</v>
      </c>
      <c r="O10" s="10">
        <f t="shared" si="0"/>
        <v>56678.42</v>
      </c>
      <c r="P10" s="10">
        <f t="shared" si="0"/>
        <v>31518.04</v>
      </c>
      <c r="Q10" s="10">
        <f t="shared" si="0"/>
        <v>48342.759999999995</v>
      </c>
      <c r="R10" s="10">
        <f t="shared" si="0"/>
        <v>12175.64</v>
      </c>
      <c r="S10" s="10">
        <f t="shared" si="0"/>
        <v>33792.699999999997</v>
      </c>
      <c r="T10" s="10">
        <f t="shared" si="0"/>
        <v>54973.679999999993</v>
      </c>
      <c r="U10" s="10">
        <f t="shared" si="0"/>
        <v>24028.7</v>
      </c>
      <c r="V10" s="10">
        <f t="shared" si="0"/>
        <v>32693.879999999997</v>
      </c>
      <c r="W10" s="10">
        <f t="shared" si="0"/>
        <v>57209.600000000006</v>
      </c>
      <c r="X10" s="10">
        <f t="shared" si="0"/>
        <v>52488.08</v>
      </c>
      <c r="Y10" s="10">
        <f t="shared" si="0"/>
        <v>68303.7</v>
      </c>
      <c r="Z10" s="67"/>
      <c r="AA10" s="10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(SUM(F10:Y10)/(COUNT(F10:Y10)))</f>
        <v>44154.392999999989</v>
      </c>
      <c r="AA11" s="104"/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4"/>
      <c r="AA12" s="104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04"/>
      <c r="AA13" s="104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  <c r="Z14" s="104"/>
      <c r="AA14" s="104"/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0.16894545454545451</v>
      </c>
      <c r="G15" s="25">
        <f t="shared" si="2"/>
        <v>0.97919999999999996</v>
      </c>
      <c r="H15" s="25">
        <f t="shared" si="2"/>
        <v>0.93629090909090906</v>
      </c>
      <c r="I15" s="25">
        <f t="shared" si="2"/>
        <v>0.82734545454545461</v>
      </c>
      <c r="J15" s="25">
        <f t="shared" si="2"/>
        <v>0.83621818181818175</v>
      </c>
      <c r="K15" s="25">
        <f t="shared" si="2"/>
        <v>0</v>
      </c>
      <c r="L15" s="25">
        <f t="shared" si="2"/>
        <v>2.1057454545454544</v>
      </c>
      <c r="M15" s="25">
        <f t="shared" si="2"/>
        <v>0.7357818181818182</v>
      </c>
      <c r="N15" s="25">
        <f t="shared" si="2"/>
        <v>2.1192000000000002</v>
      </c>
      <c r="O15" s="25">
        <f t="shared" si="2"/>
        <v>0.90036363636363637</v>
      </c>
      <c r="P15" s="25">
        <f t="shared" si="2"/>
        <v>1.1818181818181819</v>
      </c>
      <c r="Q15" s="25">
        <f t="shared" si="2"/>
        <v>0.84436363636363643</v>
      </c>
      <c r="R15" s="25">
        <f t="shared" si="2"/>
        <v>0.40487272727272727</v>
      </c>
      <c r="S15" s="25">
        <f t="shared" si="2"/>
        <v>1.0329454545454546</v>
      </c>
      <c r="T15" s="25">
        <f t="shared" si="2"/>
        <v>0.45265454545454542</v>
      </c>
      <c r="U15" s="25">
        <f t="shared" si="2"/>
        <v>0.20254545454545458</v>
      </c>
      <c r="V15" s="25">
        <f t="shared" si="2"/>
        <v>0.60109090909090912</v>
      </c>
      <c r="W15" s="25">
        <f t="shared" si="2"/>
        <v>0.43905454545454548</v>
      </c>
      <c r="X15" s="25">
        <f t="shared" si="2"/>
        <v>0.8882181818181818</v>
      </c>
      <c r="Y15" s="25">
        <f t="shared" si="2"/>
        <v>1.8913454545454544</v>
      </c>
      <c r="Z15" s="104"/>
      <c r="AA15" s="104"/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1.1988000000000001</v>
      </c>
      <c r="G16" s="25">
        <f t="shared" si="2"/>
        <v>0.54360000000000008</v>
      </c>
      <c r="H16" s="25">
        <f t="shared" si="2"/>
        <v>0.48</v>
      </c>
      <c r="I16" s="25">
        <f t="shared" si="2"/>
        <v>7.999999999999996E-2</v>
      </c>
      <c r="J16" s="25">
        <f t="shared" si="2"/>
        <v>0</v>
      </c>
      <c r="K16" s="25">
        <f t="shared" si="2"/>
        <v>0</v>
      </c>
      <c r="L16" s="25">
        <f t="shared" si="2"/>
        <v>0.37519999999999998</v>
      </c>
      <c r="M16" s="25">
        <f t="shared" si="2"/>
        <v>0.21560000000000001</v>
      </c>
      <c r="N16" s="25">
        <f t="shared" si="2"/>
        <v>0.58000000000000007</v>
      </c>
      <c r="O16" s="25">
        <f t="shared" si="2"/>
        <v>0.89480000000000004</v>
      </c>
      <c r="P16" s="25">
        <f t="shared" si="2"/>
        <v>0.21560000000000001</v>
      </c>
      <c r="Q16" s="25">
        <f t="shared" si="2"/>
        <v>0.75919999999999999</v>
      </c>
      <c r="R16" s="25">
        <f t="shared" si="2"/>
        <v>0</v>
      </c>
      <c r="S16" s="25">
        <f t="shared" si="2"/>
        <v>0.3196</v>
      </c>
      <c r="T16" s="25">
        <f t="shared" si="2"/>
        <v>0.4788</v>
      </c>
      <c r="U16" s="25">
        <f t="shared" si="2"/>
        <v>0.16000000000000003</v>
      </c>
      <c r="V16" s="25">
        <f t="shared" si="2"/>
        <v>0.16000000000000003</v>
      </c>
      <c r="W16" s="25">
        <f t="shared" si="2"/>
        <v>0.46360000000000001</v>
      </c>
      <c r="X16" s="25">
        <f t="shared" si="2"/>
        <v>1.0232000000000001</v>
      </c>
      <c r="Y16" s="25">
        <f t="shared" si="2"/>
        <v>1.1012</v>
      </c>
      <c r="Z16" s="104"/>
      <c r="AA16" s="104"/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1.4649142857142858</v>
      </c>
      <c r="G17" s="25">
        <f t="shared" si="2"/>
        <v>1.0105142857142857</v>
      </c>
      <c r="H17" s="25">
        <f t="shared" si="2"/>
        <v>1.2848000000000002</v>
      </c>
      <c r="I17" s="25">
        <f t="shared" si="2"/>
        <v>0</v>
      </c>
      <c r="J17" s="25">
        <f t="shared" si="2"/>
        <v>0.77371428571428569</v>
      </c>
      <c r="K17" s="25">
        <f t="shared" si="2"/>
        <v>1.3954285714285715</v>
      </c>
      <c r="L17" s="25">
        <f t="shared" si="2"/>
        <v>1.0742857142857143</v>
      </c>
      <c r="M17" s="25">
        <f t="shared" si="2"/>
        <v>0.97599999999999998</v>
      </c>
      <c r="N17" s="25">
        <f t="shared" si="2"/>
        <v>0.49657142857142855</v>
      </c>
      <c r="O17" s="25">
        <f t="shared" si="2"/>
        <v>1.2782857142857142</v>
      </c>
      <c r="P17" s="25">
        <f t="shared" si="2"/>
        <v>0.18857142857142861</v>
      </c>
      <c r="Q17" s="25">
        <f t="shared" si="2"/>
        <v>0.65234285714285711</v>
      </c>
      <c r="R17" s="25">
        <f t="shared" si="2"/>
        <v>0.36</v>
      </c>
      <c r="S17" s="25">
        <f t="shared" si="2"/>
        <v>0.30800000000000005</v>
      </c>
      <c r="T17" s="25">
        <f t="shared" si="2"/>
        <v>1.4502857142857142</v>
      </c>
      <c r="U17" s="25">
        <f t="shared" si="2"/>
        <v>0.30800000000000005</v>
      </c>
      <c r="V17" s="25">
        <f t="shared" si="2"/>
        <v>0.97028571428571431</v>
      </c>
      <c r="W17" s="25">
        <f t="shared" si="2"/>
        <v>0.45714285714285718</v>
      </c>
      <c r="X17" s="25">
        <f t="shared" si="2"/>
        <v>1.153142857142857</v>
      </c>
      <c r="Y17" s="25">
        <f t="shared" si="2"/>
        <v>0.63371428571428567</v>
      </c>
      <c r="Z17" s="104"/>
      <c r="AA17" s="104"/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0.26205833333333328</v>
      </c>
      <c r="G18" s="27">
        <f t="shared" si="2"/>
        <v>1.1409388888888889</v>
      </c>
      <c r="H18" s="27">
        <f t="shared" si="2"/>
        <v>1.4912611111111111</v>
      </c>
      <c r="I18" s="27">
        <f t="shared" si="2"/>
        <v>1.5331722222222224</v>
      </c>
      <c r="J18" s="27">
        <f t="shared" si="2"/>
        <v>1.5785</v>
      </c>
      <c r="K18" s="27">
        <f t="shared" si="2"/>
        <v>0.77535555555555546</v>
      </c>
      <c r="L18" s="27">
        <f t="shared" si="2"/>
        <v>1.3442305555555554</v>
      </c>
      <c r="M18" s="27">
        <f t="shared" si="2"/>
        <v>1.9399833333333332</v>
      </c>
      <c r="N18" s="27">
        <f t="shared" si="2"/>
        <v>2.5020249999999997</v>
      </c>
      <c r="O18" s="27">
        <f t="shared" si="2"/>
        <v>1.6004805555555555</v>
      </c>
      <c r="P18" s="27">
        <f t="shared" si="2"/>
        <v>0.7700027777777777</v>
      </c>
      <c r="Q18" s="27">
        <f t="shared" si="2"/>
        <v>1.5351083333333331</v>
      </c>
      <c r="R18" s="27">
        <f t="shared" si="2"/>
        <v>0.26205833333333328</v>
      </c>
      <c r="S18" s="27">
        <f t="shared" si="2"/>
        <v>0.91452777777777772</v>
      </c>
      <c r="T18" s="27">
        <f t="shared" si="2"/>
        <v>2.1766444444444444</v>
      </c>
      <c r="U18" s="27">
        <f t="shared" si="2"/>
        <v>1.1679305555555557</v>
      </c>
      <c r="V18" s="27">
        <f t="shared" si="2"/>
        <v>1.026936111111111</v>
      </c>
      <c r="W18" s="27">
        <f t="shared" si="2"/>
        <v>2.9012222222222226</v>
      </c>
      <c r="X18" s="27">
        <f t="shared" si="2"/>
        <v>1.2780611111111111</v>
      </c>
      <c r="Y18" s="27">
        <f t="shared" si="2"/>
        <v>1.6348749999999996</v>
      </c>
      <c r="Z18" s="104"/>
      <c r="AA18" s="104"/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0.67218629572385369</v>
      </c>
      <c r="G19" s="25">
        <f t="shared" si="2"/>
        <v>0.92006841834106134</v>
      </c>
      <c r="H19" s="25">
        <f t="shared" si="2"/>
        <v>1.0399991756826379</v>
      </c>
      <c r="I19" s="25">
        <f t="shared" si="2"/>
        <v>0.71001916537867071</v>
      </c>
      <c r="J19" s="25">
        <f>(J10-$C10)/$C10+1</f>
        <v>0.83094075218959285</v>
      </c>
      <c r="K19" s="25">
        <f>(K10-$C10)/$C10+1</f>
        <v>0.45655064399793921</v>
      </c>
      <c r="L19" s="25">
        <f>(L10-$C10)/$C10+1</f>
        <v>1.2665825862957238</v>
      </c>
      <c r="M19" s="25">
        <f t="shared" si="2"/>
        <v>0.99811973209685723</v>
      </c>
      <c r="N19" s="25">
        <f t="shared" si="2"/>
        <v>1.5729759917568265</v>
      </c>
      <c r="O19" s="25">
        <f t="shared" si="2"/>
        <v>1.1680251416795466</v>
      </c>
      <c r="P19" s="25">
        <f t="shared" si="2"/>
        <v>0.64952168985059244</v>
      </c>
      <c r="Q19" s="25">
        <f t="shared" si="2"/>
        <v>0.99624441009788756</v>
      </c>
      <c r="R19" s="25">
        <f t="shared" si="2"/>
        <v>0.25091478619268415</v>
      </c>
      <c r="S19" s="25">
        <f>(S10-$C10)/$C10+1</f>
        <v>0.69639773312725395</v>
      </c>
      <c r="T19" s="25">
        <f>(T10-$C10)/$C10+1</f>
        <v>1.1328939721792888</v>
      </c>
      <c r="U19" s="25">
        <f>(U10-$C10)/$C10+1</f>
        <v>0.49518186501803196</v>
      </c>
      <c r="V19" s="25">
        <f>(V10-$C10)/$C10+1</f>
        <v>0.67375332302936619</v>
      </c>
      <c r="W19" s="25">
        <f>(W10-$C10)/$C10+1</f>
        <v>1.1789716640906751</v>
      </c>
      <c r="X19" s="25">
        <f t="shared" si="2"/>
        <v>1.0816708912931479</v>
      </c>
      <c r="Y19" s="25">
        <f t="shared" si="2"/>
        <v>1.407598145285935</v>
      </c>
      <c r="Z19" s="104"/>
      <c r="AA19" s="104"/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03"/>
      <c r="AA20" s="103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105" t="s">
        <v>39</v>
      </c>
      <c r="AA21" s="106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107" t="s">
        <v>40</v>
      </c>
      <c r="AA22" s="108" t="s">
        <v>52</v>
      </c>
      <c r="AX22"/>
    </row>
    <row r="23" spans="2:50">
      <c r="B23" s="4" t="str">
        <f>+B15</f>
        <v>San Diego</v>
      </c>
      <c r="C23" s="4"/>
      <c r="D23" s="4"/>
      <c r="E23" s="23"/>
      <c r="F23" s="23">
        <v>16510</v>
      </c>
      <c r="G23" s="34">
        <v>29974</v>
      </c>
      <c r="H23" s="34">
        <v>42848</v>
      </c>
      <c r="I23" s="23">
        <v>54224</v>
      </c>
      <c r="J23" s="23">
        <v>65722</v>
      </c>
      <c r="K23" s="23">
        <v>65722</v>
      </c>
      <c r="L23" s="23">
        <v>94676</v>
      </c>
      <c r="M23" s="23">
        <v>104793</v>
      </c>
      <c r="N23" s="23">
        <v>133932</v>
      </c>
      <c r="O23" s="23">
        <v>146312</v>
      </c>
      <c r="P23" s="23">
        <v>162562</v>
      </c>
      <c r="Q23" s="23">
        <v>174172</v>
      </c>
      <c r="R23" s="23">
        <v>179739</v>
      </c>
      <c r="S23" s="23">
        <v>193942</v>
      </c>
      <c r="T23" s="23">
        <v>200166</v>
      </c>
      <c r="U23" s="23">
        <v>202951</v>
      </c>
      <c r="V23" s="23">
        <v>211216</v>
      </c>
      <c r="W23" s="23">
        <v>208720</v>
      </c>
      <c r="X23" s="23">
        <v>218933</v>
      </c>
      <c r="Y23" s="99">
        <v>281768</v>
      </c>
      <c r="Z23" s="109">
        <f>+Y23/C40</f>
        <v>1.024610909090909</v>
      </c>
      <c r="AA23" s="97">
        <f>+Z23-Y$21</f>
        <v>2.4610909090909017E-2</v>
      </c>
      <c r="AX23"/>
    </row>
    <row r="24" spans="2:50">
      <c r="B24" s="4" t="str">
        <f>+B16</f>
        <v>Boston</v>
      </c>
      <c r="C24" s="4"/>
      <c r="D24" s="4"/>
      <c r="E24" s="23"/>
      <c r="F24" s="34">
        <v>0</v>
      </c>
      <c r="G24" s="34">
        <v>5795</v>
      </c>
      <c r="H24" s="34">
        <v>12795</v>
      </c>
      <c r="I24" s="34">
        <v>13795</v>
      </c>
      <c r="J24" s="34">
        <v>13795</v>
      </c>
      <c r="K24" s="34">
        <v>13795</v>
      </c>
      <c r="L24" s="34">
        <v>18485</v>
      </c>
      <c r="M24" s="34">
        <v>21180</v>
      </c>
      <c r="N24" s="34">
        <v>28430</v>
      </c>
      <c r="O24" s="34">
        <v>44215</v>
      </c>
      <c r="P24" s="23">
        <v>46910</v>
      </c>
      <c r="Q24" s="23">
        <v>56400</v>
      </c>
      <c r="R24" s="23">
        <v>56400</v>
      </c>
      <c r="S24" s="23">
        <v>60395</v>
      </c>
      <c r="T24" s="23">
        <v>66380</v>
      </c>
      <c r="U24" s="23">
        <v>67380</v>
      </c>
      <c r="V24" s="23">
        <v>70380</v>
      </c>
      <c r="W24" s="23">
        <v>76175</v>
      </c>
      <c r="X24" s="23">
        <v>88965</v>
      </c>
      <c r="Y24" s="23">
        <v>86950</v>
      </c>
      <c r="Z24" s="109">
        <f>+Y24/C41</f>
        <v>0.3478</v>
      </c>
      <c r="AA24" s="79">
        <f>+Z24-Y$21</f>
        <v>-0.6522</v>
      </c>
      <c r="AX24"/>
    </row>
    <row r="25" spans="2:50" s="4" customFormat="1" ht="12.75">
      <c r="B25" s="4" t="str">
        <f>+B17</f>
        <v>Canada</v>
      </c>
      <c r="E25" s="23"/>
      <c r="F25" s="34">
        <f>4895*0.9</f>
        <v>4405.5</v>
      </c>
      <c r="G25" s="34">
        <f>8240*0.9</f>
        <v>7416</v>
      </c>
      <c r="H25" s="34">
        <f>19482*0.9</f>
        <v>17533.8</v>
      </c>
      <c r="I25" s="34">
        <v>17533.8</v>
      </c>
      <c r="J25" s="34">
        <f>26252*0.9</f>
        <v>23626.799999999999</v>
      </c>
      <c r="K25" s="34">
        <f>38462*0.9</f>
        <v>34615.800000000003</v>
      </c>
      <c r="L25" s="34">
        <f>47862*0.9</f>
        <v>43075.8</v>
      </c>
      <c r="M25" s="34">
        <f>56402*0.9</f>
        <v>50761.8</v>
      </c>
      <c r="N25" s="34">
        <f>59172*0.9</f>
        <v>53254.8</v>
      </c>
      <c r="O25" s="34">
        <f>70357*0.9</f>
        <v>63321.3</v>
      </c>
      <c r="P25" s="34">
        <f>76802*0.9</f>
        <v>69121.8</v>
      </c>
      <c r="Q25" s="34">
        <f>82510*0.9</f>
        <v>74259</v>
      </c>
      <c r="R25" s="34">
        <f>85660*0.9</f>
        <v>77094</v>
      </c>
      <c r="S25" s="34">
        <v>88355</v>
      </c>
      <c r="T25" s="34">
        <f>102395*0.9</f>
        <v>92155.5</v>
      </c>
      <c r="U25" s="34">
        <f>105090*0.9</f>
        <v>94581</v>
      </c>
      <c r="V25" s="34">
        <f>113580*0.9</f>
        <v>102222</v>
      </c>
      <c r="W25" s="34">
        <f>116580*0.9</f>
        <v>104922</v>
      </c>
      <c r="X25" s="34">
        <f>121875*0.9</f>
        <v>109687.5</v>
      </c>
      <c r="Y25" s="34">
        <f>125620*0.9</f>
        <v>113058</v>
      </c>
      <c r="Z25" s="109">
        <f>+Y25/C42</f>
        <v>0.71782857142857148</v>
      </c>
      <c r="AA25" s="79">
        <f>+Z25-Y$21</f>
        <v>-0.28217142857142852</v>
      </c>
    </row>
    <row r="26" spans="2:50">
      <c r="B26" s="5" t="str">
        <f>+B18</f>
        <v>Norwich</v>
      </c>
      <c r="C26" s="19"/>
      <c r="D26" s="19"/>
      <c r="E26" s="35"/>
      <c r="F26" s="35">
        <v>16100</v>
      </c>
      <c r="G26" s="35">
        <f>15355*1.64</f>
        <v>25182.199999999997</v>
      </c>
      <c r="H26" s="35">
        <f>28457*1.64</f>
        <v>46669.479999999996</v>
      </c>
      <c r="I26" s="35">
        <f>40675*1.64</f>
        <v>66707</v>
      </c>
      <c r="J26" s="35">
        <f>53291*1.64</f>
        <v>87397.239999999991</v>
      </c>
      <c r="K26" s="35">
        <f>60099*1.64</f>
        <v>98562.36</v>
      </c>
      <c r="L26" s="35">
        <f>71902*1.64</f>
        <v>117919.28</v>
      </c>
      <c r="M26" s="35">
        <f>88936*1.64</f>
        <v>145855.03999999998</v>
      </c>
      <c r="N26" s="35">
        <f>107533*1.64</f>
        <v>176354.12</v>
      </c>
      <c r="O26" s="35">
        <f>114583*1.64</f>
        <v>187916.12</v>
      </c>
      <c r="P26" s="35">
        <f>120418*1.64</f>
        <v>197485.52</v>
      </c>
      <c r="Q26" s="35">
        <f>127979*1.64</f>
        <v>209885.56</v>
      </c>
      <c r="R26" s="35">
        <f>130280*1.64</f>
        <v>213659.19999999998</v>
      </c>
      <c r="S26" s="35">
        <f>+R26+13169</f>
        <v>226828.19999999998</v>
      </c>
      <c r="T26" s="35">
        <f>157368*1.64</f>
        <v>258083.52</v>
      </c>
      <c r="U26" s="35">
        <f>167623*1.64</f>
        <v>274901.71999999997</v>
      </c>
      <c r="V26" s="35">
        <f>176640*1.64</f>
        <v>289689.59999999998</v>
      </c>
      <c r="W26" s="92">
        <f>196655*1.64</f>
        <v>322514.19999999995</v>
      </c>
      <c r="X26" s="92">
        <f>200091*1.64</f>
        <v>328149.24</v>
      </c>
      <c r="Y26" s="92">
        <f>206301*1.64</f>
        <v>338333.63999999996</v>
      </c>
      <c r="Z26" s="110">
        <f>+Y26/C43</f>
        <v>1.1747695833333331</v>
      </c>
      <c r="AA26" s="113">
        <f>+Z26-Y$21</f>
        <v>0.17476958333333314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37015.5</v>
      </c>
      <c r="G27" s="10">
        <f t="shared" ref="G27:Y27" si="5">SUM(G23:G26)</f>
        <v>68367.199999999997</v>
      </c>
      <c r="H27" s="10">
        <f t="shared" si="5"/>
        <v>119846.28</v>
      </c>
      <c r="I27" s="4">
        <f t="shared" si="5"/>
        <v>152259.79999999999</v>
      </c>
      <c r="J27" s="4">
        <f t="shared" si="5"/>
        <v>190541.03999999998</v>
      </c>
      <c r="K27" s="10">
        <f t="shared" si="5"/>
        <v>212695.16</v>
      </c>
      <c r="L27" s="10">
        <f t="shared" si="5"/>
        <v>274156.07999999996</v>
      </c>
      <c r="M27" s="10">
        <f t="shared" si="5"/>
        <v>322589.83999999997</v>
      </c>
      <c r="N27" s="10">
        <f t="shared" si="5"/>
        <v>391970.92</v>
      </c>
      <c r="O27" s="4">
        <f>SUM(O23:O26)</f>
        <v>441764.42</v>
      </c>
      <c r="P27" s="10">
        <f t="shared" si="5"/>
        <v>476079.31999999995</v>
      </c>
      <c r="Q27" s="10">
        <f t="shared" si="5"/>
        <v>514716.56</v>
      </c>
      <c r="R27" s="10">
        <f t="shared" si="5"/>
        <v>526892.19999999995</v>
      </c>
      <c r="S27" s="10">
        <f t="shared" si="5"/>
        <v>569520.19999999995</v>
      </c>
      <c r="T27" s="4">
        <f t="shared" si="5"/>
        <v>616785.02</v>
      </c>
      <c r="U27" s="10">
        <f t="shared" si="5"/>
        <v>639813.72</v>
      </c>
      <c r="V27" s="10">
        <f t="shared" si="5"/>
        <v>673507.6</v>
      </c>
      <c r="W27" s="10">
        <f t="shared" si="5"/>
        <v>712331.2</v>
      </c>
      <c r="X27" s="10">
        <f t="shared" si="5"/>
        <v>745734.74</v>
      </c>
      <c r="Y27" s="10">
        <f t="shared" si="5"/>
        <v>820109.6399999999</v>
      </c>
      <c r="Z27" s="111">
        <f>+Y27/C44</f>
        <v>0.84503826893353928</v>
      </c>
      <c r="AA27" s="84">
        <f>+Z27-Y$21</f>
        <v>-0.15496173106646072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3.8140649149922719E-2</v>
      </c>
      <c r="G28" s="30">
        <f t="shared" si="6"/>
        <v>7.044533745492014E-2</v>
      </c>
      <c r="H28" s="30">
        <f t="shared" si="6"/>
        <v>0.12348921174652241</v>
      </c>
      <c r="I28" s="30">
        <f t="shared" si="6"/>
        <v>0.15688799587841318</v>
      </c>
      <c r="J28" s="30">
        <f t="shared" si="6"/>
        <v>0.19633285935085004</v>
      </c>
      <c r="K28" s="30">
        <f t="shared" si="6"/>
        <v>0.21916039155074704</v>
      </c>
      <c r="L28" s="30">
        <f t="shared" si="6"/>
        <v>0.28248952086553319</v>
      </c>
      <c r="M28" s="30">
        <f t="shared" si="6"/>
        <v>0.33239550747037605</v>
      </c>
      <c r="N28" s="30">
        <f t="shared" si="6"/>
        <v>0.40388554353426065</v>
      </c>
      <c r="O28" s="30">
        <f>+O27/$C$44</f>
        <v>0.45519260175167436</v>
      </c>
      <c r="P28" s="30">
        <f t="shared" ref="P28:Y28" si="7">+P27/$C$44</f>
        <v>0.49055056156620291</v>
      </c>
      <c r="Q28" s="30">
        <f t="shared" si="7"/>
        <v>0.53036224626481199</v>
      </c>
      <c r="R28" s="30">
        <f t="shared" si="7"/>
        <v>0.54290798557444608</v>
      </c>
      <c r="S28" s="30">
        <f t="shared" si="7"/>
        <v>0.58683173621844409</v>
      </c>
      <c r="T28" s="30">
        <f t="shared" si="7"/>
        <v>0.63553325090159718</v>
      </c>
      <c r="U28" s="30">
        <f t="shared" si="7"/>
        <v>0.65926194744976818</v>
      </c>
      <c r="V28" s="30">
        <f t="shared" si="7"/>
        <v>0.69398001030396705</v>
      </c>
      <c r="W28" s="30">
        <f t="shared" si="7"/>
        <v>0.73398371973209686</v>
      </c>
      <c r="X28" s="30">
        <f t="shared" si="7"/>
        <v>0.76840261720762493</v>
      </c>
      <c r="Y28" s="30">
        <f t="shared" si="7"/>
        <v>0.84503826893353928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Z31" s="28"/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1.2007272727272726</v>
      </c>
      <c r="G32" s="17">
        <f t="shared" si="9"/>
        <v>1.0899636363636365</v>
      </c>
      <c r="H32" s="17">
        <f t="shared" si="9"/>
        <v>1.0387393939393939</v>
      </c>
      <c r="I32" s="17">
        <f t="shared" si="9"/>
        <v>0.98589090909090904</v>
      </c>
      <c r="J32" s="17">
        <f t="shared" si="9"/>
        <v>0.9559563636363636</v>
      </c>
      <c r="K32" s="17">
        <f t="shared" si="9"/>
        <v>0.79663030303030291</v>
      </c>
      <c r="L32" s="17">
        <f t="shared" si="9"/>
        <v>0.98364675324675332</v>
      </c>
      <c r="M32" s="17">
        <f t="shared" si="9"/>
        <v>0.95266363636363638</v>
      </c>
      <c r="N32" s="17">
        <f t="shared" si="9"/>
        <v>1.0822787878787878</v>
      </c>
      <c r="O32" s="17">
        <f t="shared" si="9"/>
        <v>1.0640872727272728</v>
      </c>
      <c r="P32" s="17">
        <f t="shared" si="9"/>
        <v>1.0747900826446279</v>
      </c>
      <c r="Q32" s="17">
        <f t="shared" si="9"/>
        <v>1.055587878787879</v>
      </c>
      <c r="R32" s="17">
        <f t="shared" si="9"/>
        <v>1.0055328671328672</v>
      </c>
      <c r="S32" s="17">
        <f t="shared" si="9"/>
        <v>1.007490909090909</v>
      </c>
      <c r="T32" s="17">
        <f t="shared" si="9"/>
        <v>0.97050181818181813</v>
      </c>
      <c r="U32" s="17">
        <f t="shared" si="9"/>
        <v>0.92250454545454541</v>
      </c>
      <c r="V32" s="17">
        <f t="shared" si="9"/>
        <v>0.90359786096256678</v>
      </c>
      <c r="W32" s="17">
        <f t="shared" si="9"/>
        <v>0.84331313131313124</v>
      </c>
      <c r="X32" s="17">
        <f t="shared" si="9"/>
        <v>0.838021052631579</v>
      </c>
      <c r="Y32" s="17">
        <f t="shared" si="9"/>
        <v>1.024610909090909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</v>
      </c>
      <c r="G33" s="17">
        <f t="shared" si="10"/>
        <v>0.23180000000000001</v>
      </c>
      <c r="H33" s="17">
        <f t="shared" si="10"/>
        <v>0.3412</v>
      </c>
      <c r="I33" s="17">
        <f t="shared" si="10"/>
        <v>0.27589999999999998</v>
      </c>
      <c r="J33" s="17">
        <f t="shared" si="10"/>
        <v>0.22072</v>
      </c>
      <c r="K33" s="17">
        <f t="shared" si="10"/>
        <v>0.18393333333333331</v>
      </c>
      <c r="L33" s="17">
        <f t="shared" si="10"/>
        <v>0.21125714285714287</v>
      </c>
      <c r="M33" s="17">
        <f t="shared" si="10"/>
        <v>0.21179999999999999</v>
      </c>
      <c r="N33" s="17">
        <f t="shared" si="10"/>
        <v>0.25271111111111111</v>
      </c>
      <c r="O33" s="17">
        <f t="shared" si="10"/>
        <v>0.35371999999999998</v>
      </c>
      <c r="P33" s="17">
        <f t="shared" si="10"/>
        <v>0.34116363636363639</v>
      </c>
      <c r="Q33" s="17">
        <f t="shared" si="10"/>
        <v>0.376</v>
      </c>
      <c r="R33" s="17">
        <f t="shared" si="10"/>
        <v>0.34707692307692306</v>
      </c>
      <c r="S33" s="17">
        <f t="shared" si="10"/>
        <v>0.34511428571428576</v>
      </c>
      <c r="T33" s="17">
        <f t="shared" si="10"/>
        <v>0.3540266666666666</v>
      </c>
      <c r="U33" s="17">
        <f t="shared" si="10"/>
        <v>0.33689999999999998</v>
      </c>
      <c r="V33" s="17">
        <f t="shared" si="10"/>
        <v>0.33119999999999999</v>
      </c>
      <c r="W33" s="17">
        <f t="shared" si="10"/>
        <v>0.33855555555555555</v>
      </c>
      <c r="X33" s="17">
        <f t="shared" si="10"/>
        <v>0.37458947368421058</v>
      </c>
      <c r="Y33" s="17">
        <f t="shared" si="10"/>
        <v>0.3478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0.55942857142857139</v>
      </c>
      <c r="G34" s="17">
        <f t="shared" si="11"/>
        <v>0.47085714285714286</v>
      </c>
      <c r="H34" s="17">
        <f t="shared" si="11"/>
        <v>0.74217142857142848</v>
      </c>
      <c r="I34" s="17">
        <f t="shared" si="11"/>
        <v>0.55662857142857147</v>
      </c>
      <c r="J34" s="17">
        <f t="shared" si="11"/>
        <v>0.60004571428571429</v>
      </c>
      <c r="K34" s="17">
        <f t="shared" si="11"/>
        <v>0.73260952380952382</v>
      </c>
      <c r="L34" s="17">
        <f t="shared" si="11"/>
        <v>0.7814204081632653</v>
      </c>
      <c r="M34" s="17">
        <f t="shared" si="11"/>
        <v>0.80574285714285709</v>
      </c>
      <c r="N34" s="17">
        <f t="shared" si="11"/>
        <v>0.75139047619047628</v>
      </c>
      <c r="O34" s="17">
        <f t="shared" si="11"/>
        <v>0.80408000000000002</v>
      </c>
      <c r="P34" s="17">
        <f t="shared" si="11"/>
        <v>0.79794285714285718</v>
      </c>
      <c r="Q34" s="17">
        <f t="shared" si="11"/>
        <v>0.78580952380952385</v>
      </c>
      <c r="R34" s="17">
        <f t="shared" si="11"/>
        <v>0.75305494505494508</v>
      </c>
      <c r="S34" s="17">
        <f t="shared" si="11"/>
        <v>0.80140589569160992</v>
      </c>
      <c r="T34" s="17">
        <f t="shared" si="11"/>
        <v>0.78015238095238093</v>
      </c>
      <c r="U34" s="17">
        <f t="shared" si="11"/>
        <v>0.75064285714285717</v>
      </c>
      <c r="V34" s="17">
        <f t="shared" si="11"/>
        <v>0.76356302521008401</v>
      </c>
      <c r="W34" s="17">
        <f t="shared" si="11"/>
        <v>0.74019047619047618</v>
      </c>
      <c r="X34" s="17">
        <f t="shared" si="11"/>
        <v>0.73308270676691722</v>
      </c>
      <c r="Y34" s="17">
        <f t="shared" si="11"/>
        <v>0.71782857142857148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1.1180555555555556</v>
      </c>
      <c r="G35" s="18">
        <f t="shared" si="12"/>
        <v>0.87438194444444439</v>
      </c>
      <c r="H35" s="18">
        <f t="shared" si="12"/>
        <v>1.0803120370370369</v>
      </c>
      <c r="I35" s="18">
        <f t="shared" si="12"/>
        <v>1.1581076388888889</v>
      </c>
      <c r="J35" s="18">
        <f t="shared" si="12"/>
        <v>1.2138505555555554</v>
      </c>
      <c r="K35" s="18">
        <f t="shared" si="12"/>
        <v>1.1407680555555555</v>
      </c>
      <c r="L35" s="18">
        <f t="shared" si="12"/>
        <v>1.169834126984127</v>
      </c>
      <c r="M35" s="18">
        <f t="shared" si="12"/>
        <v>1.2661027777777778</v>
      </c>
      <c r="N35" s="18">
        <f t="shared" si="12"/>
        <v>1.3607570987654323</v>
      </c>
      <c r="O35" s="18">
        <f t="shared" si="12"/>
        <v>1.3049730555555554</v>
      </c>
      <c r="P35" s="18">
        <f t="shared" si="12"/>
        <v>1.2467520202020204</v>
      </c>
      <c r="Q35" s="18">
        <f t="shared" si="12"/>
        <v>1.2146155092592592</v>
      </c>
      <c r="R35" s="18">
        <f t="shared" si="12"/>
        <v>1.1413418803418802</v>
      </c>
      <c r="S35" s="18">
        <f t="shared" si="12"/>
        <v>1.1251398809523809</v>
      </c>
      <c r="T35" s="18">
        <f t="shared" si="12"/>
        <v>1.194831111111111</v>
      </c>
      <c r="U35" s="18">
        <f t="shared" si="12"/>
        <v>1.1931498263888887</v>
      </c>
      <c r="V35" s="18">
        <f t="shared" si="12"/>
        <v>1.1833725490196079</v>
      </c>
      <c r="W35" s="18">
        <f t="shared" si="12"/>
        <v>1.2442677469135801</v>
      </c>
      <c r="X35" s="18">
        <f t="shared" si="12"/>
        <v>1.1993758771929826</v>
      </c>
      <c r="Y35" s="18">
        <f t="shared" si="12"/>
        <v>1.1747695833333331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0.76281298299845446</v>
      </c>
      <c r="G36" s="17">
        <f t="shared" si="13"/>
        <v>0.70445337454920143</v>
      </c>
      <c r="H36" s="17">
        <f t="shared" si="13"/>
        <v>0.82326141164348265</v>
      </c>
      <c r="I36" s="17">
        <f t="shared" si="13"/>
        <v>0.784439979392066</v>
      </c>
      <c r="J36" s="17">
        <f t="shared" si="13"/>
        <v>0.78533143740340017</v>
      </c>
      <c r="K36" s="17">
        <f t="shared" si="13"/>
        <v>0.73053463850249012</v>
      </c>
      <c r="L36" s="17">
        <f t="shared" si="13"/>
        <v>0.80711291675866637</v>
      </c>
      <c r="M36" s="17">
        <f t="shared" si="13"/>
        <v>0.83098876867594018</v>
      </c>
      <c r="N36" s="17">
        <f t="shared" si="13"/>
        <v>0.89752343007613478</v>
      </c>
      <c r="O36" s="17">
        <f t="shared" si="13"/>
        <v>0.91038520350334873</v>
      </c>
      <c r="P36" s="17">
        <f t="shared" si="13"/>
        <v>0.89191011193855096</v>
      </c>
      <c r="Q36" s="17">
        <f t="shared" si="13"/>
        <v>0.88393707710801994</v>
      </c>
      <c r="R36" s="17">
        <f t="shared" si="13"/>
        <v>0.83524305472991722</v>
      </c>
      <c r="S36" s="17">
        <f t="shared" si="13"/>
        <v>0.83833105174063438</v>
      </c>
      <c r="T36" s="17">
        <f t="shared" si="13"/>
        <v>0.84737766786879609</v>
      </c>
      <c r="U36" s="17">
        <f t="shared" si="13"/>
        <v>0.82407743431221014</v>
      </c>
      <c r="V36" s="17">
        <f t="shared" si="13"/>
        <v>0.81644707094584357</v>
      </c>
      <c r="W36" s="17">
        <f t="shared" si="13"/>
        <v>0.81553746636899638</v>
      </c>
      <c r="X36" s="17">
        <f t="shared" si="13"/>
        <v>0.80884486021855251</v>
      </c>
      <c r="Y36" s="17">
        <f t="shared" si="13"/>
        <v>0.84503826893353928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275000</v>
      </c>
      <c r="D40" s="4"/>
      <c r="E40" s="4"/>
      <c r="F40" s="55">
        <f t="shared" ref="F40:Y43" si="15">(F23)/F$1*$Y$1</f>
        <v>330200</v>
      </c>
      <c r="G40" s="55">
        <f t="shared" si="15"/>
        <v>299740</v>
      </c>
      <c r="H40" s="55">
        <f t="shared" si="15"/>
        <v>285653.33333333331</v>
      </c>
      <c r="I40" s="48">
        <f t="shared" si="15"/>
        <v>271120</v>
      </c>
      <c r="J40" s="48">
        <f t="shared" si="15"/>
        <v>262888</v>
      </c>
      <c r="K40" s="48">
        <f t="shared" si="15"/>
        <v>219073.33333333331</v>
      </c>
      <c r="L40" s="48">
        <f t="shared" si="15"/>
        <v>270502.85714285716</v>
      </c>
      <c r="M40" s="48">
        <f t="shared" si="15"/>
        <v>261982.5</v>
      </c>
      <c r="N40" s="55">
        <f t="shared" si="15"/>
        <v>297626.66666666669</v>
      </c>
      <c r="O40" s="55">
        <f t="shared" si="15"/>
        <v>292624</v>
      </c>
      <c r="P40" s="55">
        <f t="shared" si="15"/>
        <v>295567.27272727271</v>
      </c>
      <c r="Q40" s="55">
        <f t="shared" si="15"/>
        <v>290286.66666666669</v>
      </c>
      <c r="R40" s="55">
        <f t="shared" si="15"/>
        <v>276521.5384615385</v>
      </c>
      <c r="S40" s="55">
        <f t="shared" si="15"/>
        <v>277060</v>
      </c>
      <c r="T40" s="48">
        <f t="shared" si="15"/>
        <v>266888</v>
      </c>
      <c r="U40" s="48">
        <f t="shared" si="15"/>
        <v>253688.75</v>
      </c>
      <c r="V40" s="48">
        <f t="shared" si="15"/>
        <v>248489.41176470587</v>
      </c>
      <c r="W40" s="48">
        <f t="shared" si="15"/>
        <v>231911.11111111109</v>
      </c>
      <c r="X40" s="55">
        <f>(X23)/X$1*$Y$1</f>
        <v>230455.78947368421</v>
      </c>
      <c r="Y40" s="48">
        <f t="shared" si="15"/>
        <v>281768</v>
      </c>
      <c r="AX40"/>
    </row>
    <row r="41" spans="2:50">
      <c r="B41" s="4" t="s">
        <v>1</v>
      </c>
      <c r="C41" s="37">
        <v>250000</v>
      </c>
      <c r="D41" s="4"/>
      <c r="E41" s="4"/>
      <c r="F41" s="48">
        <f t="shared" si="15"/>
        <v>0</v>
      </c>
      <c r="G41" s="48">
        <f t="shared" si="15"/>
        <v>57950</v>
      </c>
      <c r="H41" s="48">
        <f t="shared" si="15"/>
        <v>85300</v>
      </c>
      <c r="I41" s="48">
        <f t="shared" si="15"/>
        <v>68975</v>
      </c>
      <c r="J41" s="48">
        <f t="shared" si="15"/>
        <v>55180</v>
      </c>
      <c r="K41" s="48">
        <f t="shared" si="15"/>
        <v>45983.333333333328</v>
      </c>
      <c r="L41" s="48">
        <f t="shared" si="15"/>
        <v>52814.285714285717</v>
      </c>
      <c r="M41" s="48">
        <f t="shared" si="15"/>
        <v>52950</v>
      </c>
      <c r="N41" s="48">
        <f t="shared" si="15"/>
        <v>63177.777777777774</v>
      </c>
      <c r="O41" s="48">
        <f t="shared" si="15"/>
        <v>88430</v>
      </c>
      <c r="P41" s="48">
        <f t="shared" si="15"/>
        <v>85290.909090909103</v>
      </c>
      <c r="Q41" s="48">
        <f t="shared" si="15"/>
        <v>94000</v>
      </c>
      <c r="R41" s="48">
        <f t="shared" si="15"/>
        <v>86769.230769230766</v>
      </c>
      <c r="S41" s="48">
        <f t="shared" si="15"/>
        <v>86278.571428571435</v>
      </c>
      <c r="T41" s="48">
        <f t="shared" si="15"/>
        <v>88506.666666666657</v>
      </c>
      <c r="U41" s="48">
        <f t="shared" si="15"/>
        <v>84225</v>
      </c>
      <c r="V41" s="48">
        <f t="shared" si="15"/>
        <v>82800</v>
      </c>
      <c r="W41" s="48">
        <f t="shared" si="15"/>
        <v>84638.888888888891</v>
      </c>
      <c r="X41" s="48">
        <f t="shared" si="15"/>
        <v>93647.368421052641</v>
      </c>
      <c r="Y41" s="48">
        <f t="shared" si="15"/>
        <v>86950</v>
      </c>
      <c r="AX41"/>
    </row>
    <row r="42" spans="2:50">
      <c r="B42" s="4" t="s">
        <v>2</v>
      </c>
      <c r="C42" s="37">
        <f>175000*0.9</f>
        <v>157500</v>
      </c>
      <c r="D42" s="4"/>
      <c r="E42" s="4"/>
      <c r="F42" s="48">
        <f t="shared" si="15"/>
        <v>88110</v>
      </c>
      <c r="G42" s="48">
        <f t="shared" si="15"/>
        <v>74160</v>
      </c>
      <c r="H42" s="48">
        <f t="shared" si="15"/>
        <v>116891.99999999999</v>
      </c>
      <c r="I42" s="48">
        <f t="shared" si="15"/>
        <v>87669</v>
      </c>
      <c r="J42" s="48">
        <f t="shared" si="15"/>
        <v>94507.199999999997</v>
      </c>
      <c r="K42" s="48">
        <f t="shared" si="15"/>
        <v>115386</v>
      </c>
      <c r="L42" s="48">
        <f t="shared" si="15"/>
        <v>123073.71428571429</v>
      </c>
      <c r="M42" s="48">
        <f t="shared" si="15"/>
        <v>126904.5</v>
      </c>
      <c r="N42" s="48">
        <f t="shared" si="15"/>
        <v>118344.00000000001</v>
      </c>
      <c r="O42" s="48">
        <f t="shared" si="15"/>
        <v>126642.6</v>
      </c>
      <c r="P42" s="48">
        <f t="shared" si="15"/>
        <v>125676</v>
      </c>
      <c r="Q42" s="48">
        <f t="shared" si="15"/>
        <v>123765</v>
      </c>
      <c r="R42" s="48">
        <f t="shared" si="15"/>
        <v>118606.15384615384</v>
      </c>
      <c r="S42" s="48">
        <f t="shared" si="15"/>
        <v>126221.42857142857</v>
      </c>
      <c r="T42" s="48">
        <f t="shared" si="15"/>
        <v>122874</v>
      </c>
      <c r="U42" s="48">
        <f t="shared" si="15"/>
        <v>118226.25</v>
      </c>
      <c r="V42" s="48">
        <f t="shared" si="15"/>
        <v>120261.17647058824</v>
      </c>
      <c r="W42" s="48">
        <f t="shared" si="15"/>
        <v>116580</v>
      </c>
      <c r="X42" s="48">
        <f t="shared" si="15"/>
        <v>115460.52631578947</v>
      </c>
      <c r="Y42" s="48">
        <f t="shared" si="15"/>
        <v>113058</v>
      </c>
      <c r="AA42" s="48"/>
    </row>
    <row r="43" spans="2:50">
      <c r="B43" s="4" t="s">
        <v>3</v>
      </c>
      <c r="C43" s="38">
        <f>180000*1.6</f>
        <v>288000</v>
      </c>
      <c r="D43" s="19"/>
      <c r="E43" s="19"/>
      <c r="F43" s="13">
        <f t="shared" si="15"/>
        <v>322000</v>
      </c>
      <c r="G43" s="95">
        <f t="shared" si="15"/>
        <v>251821.99999999997</v>
      </c>
      <c r="H43" s="13">
        <f t="shared" si="15"/>
        <v>311129.86666666664</v>
      </c>
      <c r="I43" s="13">
        <f t="shared" si="15"/>
        <v>333535</v>
      </c>
      <c r="J43" s="13">
        <f t="shared" si="15"/>
        <v>349588.95999999996</v>
      </c>
      <c r="K43" s="13">
        <f t="shared" si="15"/>
        <v>328541.2</v>
      </c>
      <c r="L43" s="13">
        <f t="shared" si="15"/>
        <v>336912.22857142857</v>
      </c>
      <c r="M43" s="13">
        <f t="shared" si="15"/>
        <v>364637.6</v>
      </c>
      <c r="N43" s="13">
        <f t="shared" si="15"/>
        <v>391898.04444444447</v>
      </c>
      <c r="O43" s="13">
        <f t="shared" si="15"/>
        <v>375832.24</v>
      </c>
      <c r="P43" s="13">
        <f t="shared" si="15"/>
        <v>359064.58181818185</v>
      </c>
      <c r="Q43" s="13">
        <f t="shared" si="15"/>
        <v>349809.26666666666</v>
      </c>
      <c r="R43" s="13">
        <f t="shared" si="15"/>
        <v>328706.4615384615</v>
      </c>
      <c r="S43" s="13">
        <f t="shared" si="15"/>
        <v>324040.28571428568</v>
      </c>
      <c r="T43" s="13">
        <f t="shared" si="15"/>
        <v>344111.35999999999</v>
      </c>
      <c r="U43" s="13">
        <f t="shared" si="15"/>
        <v>343627.14999999997</v>
      </c>
      <c r="V43" s="98">
        <f t="shared" si="15"/>
        <v>340811.29411764705</v>
      </c>
      <c r="W43" s="98">
        <f t="shared" si="15"/>
        <v>358349.11111111107</v>
      </c>
      <c r="X43" s="98">
        <f>(X26)/X$1*$Y$1</f>
        <v>345420.25263157894</v>
      </c>
      <c r="Y43" s="95">
        <f t="shared" si="15"/>
        <v>338333.63999999996</v>
      </c>
    </row>
    <row r="44" spans="2:50">
      <c r="B44" s="14" t="s">
        <v>27</v>
      </c>
      <c r="C44" s="39">
        <f>SUM(C40:C43)</f>
        <v>970500</v>
      </c>
      <c r="D44" s="10">
        <f>SUM(D40:D43)</f>
        <v>0</v>
      </c>
      <c r="E44" s="10">
        <f>SUM(E40:E43)</f>
        <v>0</v>
      </c>
      <c r="F44" s="10">
        <f t="shared" ref="F44:Y44" si="16">SUM(F40:F43)</f>
        <v>740310</v>
      </c>
      <c r="G44" s="10">
        <f t="shared" si="16"/>
        <v>683672</v>
      </c>
      <c r="H44" s="10">
        <f t="shared" si="16"/>
        <v>798975.2</v>
      </c>
      <c r="I44" s="10">
        <f t="shared" si="16"/>
        <v>761299</v>
      </c>
      <c r="J44" s="10">
        <f t="shared" si="16"/>
        <v>762164.15999999992</v>
      </c>
      <c r="K44" s="10">
        <f t="shared" si="16"/>
        <v>708983.8666666667</v>
      </c>
      <c r="L44" s="10">
        <f t="shared" si="16"/>
        <v>783303.08571428573</v>
      </c>
      <c r="M44" s="10">
        <f t="shared" si="16"/>
        <v>806474.6</v>
      </c>
      <c r="N44" s="10">
        <f t="shared" si="16"/>
        <v>871046.48888888885</v>
      </c>
      <c r="O44" s="10">
        <f t="shared" si="16"/>
        <v>883528.84</v>
      </c>
      <c r="P44" s="10">
        <f t="shared" si="16"/>
        <v>865598.76363636367</v>
      </c>
      <c r="Q44" s="10">
        <f t="shared" si="16"/>
        <v>857860.93333333335</v>
      </c>
      <c r="R44" s="10">
        <f t="shared" si="16"/>
        <v>810603.38461538462</v>
      </c>
      <c r="S44" s="10">
        <f t="shared" si="16"/>
        <v>813600.28571428568</v>
      </c>
      <c r="T44" s="10">
        <f t="shared" si="16"/>
        <v>822380.02666666661</v>
      </c>
      <c r="U44" s="10">
        <f t="shared" si="16"/>
        <v>799767.14999999991</v>
      </c>
      <c r="V44" s="10">
        <f t="shared" si="16"/>
        <v>792361.8823529412</v>
      </c>
      <c r="W44" s="10">
        <f t="shared" si="16"/>
        <v>791479.11111111101</v>
      </c>
      <c r="X44" s="10">
        <f t="shared" si="16"/>
        <v>784983.93684210523</v>
      </c>
      <c r="Y44" s="10">
        <f t="shared" si="16"/>
        <v>820109.6399999999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7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Y26" sqref="Y26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53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55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13750</v>
      </c>
      <c r="D6" s="10"/>
      <c r="E6" s="11">
        <v>2000</v>
      </c>
      <c r="F6" s="34">
        <v>34135</v>
      </c>
      <c r="G6" s="34">
        <v>15693</v>
      </c>
      <c r="H6" s="34">
        <v>10679</v>
      </c>
      <c r="I6" s="34">
        <v>14281</v>
      </c>
      <c r="J6" s="34">
        <v>6665</v>
      </c>
      <c r="K6" s="114">
        <v>10213</v>
      </c>
      <c r="L6" s="34">
        <v>15223</v>
      </c>
      <c r="M6" s="34">
        <v>32963</v>
      </c>
      <c r="N6" s="34">
        <v>8355</v>
      </c>
      <c r="O6" s="34">
        <v>5570</v>
      </c>
      <c r="P6" s="34">
        <v>6729</v>
      </c>
      <c r="Q6" s="34">
        <v>19034</v>
      </c>
      <c r="R6" s="34">
        <v>30923</v>
      </c>
      <c r="S6" s="34">
        <v>16874</v>
      </c>
      <c r="T6" s="34">
        <v>19468</v>
      </c>
      <c r="U6" s="34">
        <v>2039</v>
      </c>
      <c r="V6" s="34">
        <v>15189</v>
      </c>
      <c r="W6" s="34">
        <v>21824</v>
      </c>
      <c r="X6" s="34">
        <v>29626</v>
      </c>
      <c r="Y6" s="34">
        <v>14391</v>
      </c>
      <c r="Z6" s="115">
        <f>(SUM(F6:Y6)/(COUNT(F6:Y6)))</f>
        <v>16493.7</v>
      </c>
      <c r="AA6" s="103"/>
      <c r="AX6"/>
    </row>
    <row r="7" spans="2:50">
      <c r="B7" s="4" t="s">
        <v>1</v>
      </c>
      <c r="C7" s="20">
        <f>+C41/20</f>
        <v>12500</v>
      </c>
      <c r="D7" s="10"/>
      <c r="E7" s="11">
        <v>0</v>
      </c>
      <c r="F7" s="34">
        <v>3695</v>
      </c>
      <c r="G7" s="34">
        <v>10490</v>
      </c>
      <c r="H7" s="34">
        <v>8195</v>
      </c>
      <c r="I7" s="34">
        <v>8685</v>
      </c>
      <c r="J7" s="34">
        <v>13475</v>
      </c>
      <c r="K7" s="114">
        <v>7445</v>
      </c>
      <c r="L7" s="34">
        <v>0</v>
      </c>
      <c r="M7" s="34">
        <v>6295</v>
      </c>
      <c r="N7" s="34">
        <v>11090</v>
      </c>
      <c r="O7" s="34">
        <v>8240</v>
      </c>
      <c r="P7" s="34">
        <v>2659</v>
      </c>
      <c r="Q7" s="34">
        <v>12385</v>
      </c>
      <c r="R7" s="34">
        <v>6745</v>
      </c>
      <c r="S7" s="34">
        <v>1695</v>
      </c>
      <c r="T7" s="34">
        <v>1000</v>
      </c>
      <c r="U7" s="34">
        <v>10230</v>
      </c>
      <c r="V7" s="34">
        <v>2695</v>
      </c>
      <c r="W7" s="34">
        <v>14145</v>
      </c>
      <c r="X7" s="34">
        <v>6995</v>
      </c>
      <c r="Y7" s="34">
        <v>2500</v>
      </c>
      <c r="Z7" s="69">
        <f>(SUM(F7:Y7)/(COUNT(F7:Y7)))</f>
        <v>6932.95</v>
      </c>
      <c r="AA7" s="103"/>
      <c r="AX7"/>
    </row>
    <row r="8" spans="2:50">
      <c r="B8" s="4" t="s">
        <v>2</v>
      </c>
      <c r="C8" s="20">
        <f>+C42/20</f>
        <v>7875</v>
      </c>
      <c r="D8" s="10"/>
      <c r="E8" s="11">
        <f>6295*0.9</f>
        <v>5665.5</v>
      </c>
      <c r="F8" s="34">
        <f>5545*0.9</f>
        <v>4990.5</v>
      </c>
      <c r="G8" s="34">
        <f>12490*0.9</f>
        <v>11241</v>
      </c>
      <c r="H8" s="34">
        <f>19080*0.9</f>
        <v>17172</v>
      </c>
      <c r="I8" s="117">
        <f>8390*0.9</f>
        <v>7551</v>
      </c>
      <c r="J8" s="34">
        <v>16951</v>
      </c>
      <c r="K8" s="93"/>
      <c r="L8" s="34">
        <v>1125</v>
      </c>
      <c r="M8" s="34">
        <v>10111</v>
      </c>
      <c r="N8" s="34">
        <v>12294</v>
      </c>
      <c r="O8" s="34">
        <v>9166</v>
      </c>
      <c r="P8" s="34">
        <v>7686</v>
      </c>
      <c r="Q8" s="34">
        <v>12028</v>
      </c>
      <c r="R8" s="34">
        <v>19152</v>
      </c>
      <c r="S8" s="34">
        <v>10071</v>
      </c>
      <c r="T8" s="34">
        <v>17824</v>
      </c>
      <c r="U8" s="34">
        <f>2500*0.9</f>
        <v>2250</v>
      </c>
      <c r="V8" s="34">
        <f>27263*0.9</f>
        <v>24536.7</v>
      </c>
      <c r="W8" s="34">
        <f>21481*0.9</f>
        <v>19332.900000000001</v>
      </c>
      <c r="X8" s="34">
        <f>12440*0.9</f>
        <v>11196</v>
      </c>
      <c r="Y8" s="34">
        <f>7545*0.9</f>
        <v>6790.5</v>
      </c>
      <c r="Z8" s="115">
        <f>(SUM(F8:Y8)/(COUNT(F8:Y8)))</f>
        <v>11656.242105263158</v>
      </c>
      <c r="AA8" s="103"/>
      <c r="AX8"/>
    </row>
    <row r="9" spans="2:50">
      <c r="B9" s="4" t="s">
        <v>3</v>
      </c>
      <c r="C9" s="21">
        <f>+C43/20</f>
        <v>14400</v>
      </c>
      <c r="D9" s="13"/>
      <c r="E9" s="40">
        <f>17612*1.64</f>
        <v>28883.679999999997</v>
      </c>
      <c r="F9" s="35">
        <f>17426*1.64</f>
        <v>28578.639999999999</v>
      </c>
      <c r="G9" s="35">
        <f>7145*1.64</f>
        <v>11717.8</v>
      </c>
      <c r="H9" s="35">
        <f>10230*1.64</f>
        <v>16777.2</v>
      </c>
      <c r="I9" s="35">
        <f>12952*1.64</f>
        <v>21241.279999999999</v>
      </c>
      <c r="J9" s="35">
        <v>17949</v>
      </c>
      <c r="K9" s="35">
        <v>17885</v>
      </c>
      <c r="L9" s="35">
        <v>17667</v>
      </c>
      <c r="M9" s="35">
        <v>19837</v>
      </c>
      <c r="N9" s="35">
        <v>22363</v>
      </c>
      <c r="O9" s="35">
        <v>29780</v>
      </c>
      <c r="P9" s="119"/>
      <c r="Q9" s="35">
        <v>28690</v>
      </c>
      <c r="R9" s="35">
        <v>18466</v>
      </c>
      <c r="S9" s="35">
        <v>24229</v>
      </c>
      <c r="T9" s="35">
        <v>38641</v>
      </c>
      <c r="U9" s="35">
        <f>10414*1.64</f>
        <v>17078.96</v>
      </c>
      <c r="V9" s="35">
        <f>19526*1.64</f>
        <v>32022.639999999999</v>
      </c>
      <c r="W9" s="35">
        <f>12816*1.64</f>
        <v>21018.239999999998</v>
      </c>
      <c r="X9" s="35">
        <f>7619*1.64</f>
        <v>12495.16</v>
      </c>
      <c r="Y9" s="35">
        <f>3928*1.64</f>
        <v>6441.9199999999992</v>
      </c>
      <c r="Z9" s="112">
        <f>(SUM(F9:Y9)/(COUNT(F9:Y9)))</f>
        <v>21204.149473684211</v>
      </c>
      <c r="AA9" s="103"/>
      <c r="AX9"/>
    </row>
    <row r="10" spans="2:50" ht="15.75" thickBot="1">
      <c r="B10" s="14" t="s">
        <v>27</v>
      </c>
      <c r="C10" s="20">
        <f>SUM(C6:C9)</f>
        <v>48525</v>
      </c>
      <c r="D10" s="10"/>
      <c r="E10" s="11">
        <f t="shared" ref="E10:Y10" si="0">SUM(E6:E9)</f>
        <v>36549.179999999993</v>
      </c>
      <c r="F10" s="10">
        <f t="shared" si="0"/>
        <v>71399.14</v>
      </c>
      <c r="G10" s="10">
        <f t="shared" si="0"/>
        <v>49141.8</v>
      </c>
      <c r="H10" s="10">
        <f t="shared" si="0"/>
        <v>52823.199999999997</v>
      </c>
      <c r="I10" s="10">
        <f t="shared" si="0"/>
        <v>51758.28</v>
      </c>
      <c r="J10" s="10">
        <f t="shared" si="0"/>
        <v>55040</v>
      </c>
      <c r="K10" s="10">
        <f t="shared" si="0"/>
        <v>35543</v>
      </c>
      <c r="L10" s="10">
        <f t="shared" si="0"/>
        <v>34015</v>
      </c>
      <c r="M10" s="10">
        <f t="shared" si="0"/>
        <v>69206</v>
      </c>
      <c r="N10" s="10">
        <f t="shared" si="0"/>
        <v>54102</v>
      </c>
      <c r="O10" s="10">
        <f t="shared" si="0"/>
        <v>52756</v>
      </c>
      <c r="P10" s="10">
        <f t="shared" si="0"/>
        <v>17074</v>
      </c>
      <c r="Q10" s="10">
        <f t="shared" si="0"/>
        <v>72137</v>
      </c>
      <c r="R10" s="10">
        <f t="shared" si="0"/>
        <v>75286</v>
      </c>
      <c r="S10" s="10">
        <f t="shared" si="0"/>
        <v>52869</v>
      </c>
      <c r="T10" s="10">
        <f t="shared" si="0"/>
        <v>76933</v>
      </c>
      <c r="U10" s="10">
        <f t="shared" si="0"/>
        <v>31597.96</v>
      </c>
      <c r="V10" s="10">
        <f t="shared" si="0"/>
        <v>74443.34</v>
      </c>
      <c r="W10" s="10">
        <f t="shared" si="0"/>
        <v>76320.14</v>
      </c>
      <c r="X10" s="10">
        <f t="shared" si="0"/>
        <v>60312.160000000003</v>
      </c>
      <c r="Y10" s="10">
        <f t="shared" si="0"/>
        <v>30123.42</v>
      </c>
      <c r="Z10" s="67"/>
      <c r="AA10" s="10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116">
        <f>(SUM(F10:Y10)/(COUNT(F10:Y10)))</f>
        <v>54644.021999999997</v>
      </c>
      <c r="AA11" s="104"/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4"/>
      <c r="AA12" s="104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04"/>
      <c r="AA13" s="104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  <c r="Z14" s="104"/>
      <c r="AA14" s="104"/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2.4825454545454546</v>
      </c>
      <c r="G15" s="25">
        <f t="shared" si="2"/>
        <v>1.1413090909090908</v>
      </c>
      <c r="H15" s="25">
        <f t="shared" si="2"/>
        <v>0.77665454545454549</v>
      </c>
      <c r="I15" s="25">
        <f t="shared" si="2"/>
        <v>1.0386181818181819</v>
      </c>
      <c r="J15" s="25">
        <f t="shared" si="2"/>
        <v>0.48472727272727267</v>
      </c>
      <c r="K15" s="25">
        <f t="shared" si="2"/>
        <v>0.74276363636363629</v>
      </c>
      <c r="L15" s="25">
        <f t="shared" si="2"/>
        <v>1.1071272727272727</v>
      </c>
      <c r="M15" s="25">
        <f t="shared" si="2"/>
        <v>2.3973090909090908</v>
      </c>
      <c r="N15" s="25">
        <f t="shared" si="2"/>
        <v>0.60763636363636364</v>
      </c>
      <c r="O15" s="25">
        <f t="shared" si="2"/>
        <v>0.40509090909090906</v>
      </c>
      <c r="P15" s="25">
        <f t="shared" si="2"/>
        <v>0.48938181818181814</v>
      </c>
      <c r="Q15" s="25">
        <f t="shared" si="2"/>
        <v>1.384290909090909</v>
      </c>
      <c r="R15" s="25">
        <f t="shared" si="2"/>
        <v>2.2489454545454546</v>
      </c>
      <c r="S15" s="25">
        <f t="shared" si="2"/>
        <v>1.2272000000000001</v>
      </c>
      <c r="T15" s="25">
        <f t="shared" si="2"/>
        <v>1.4158545454545455</v>
      </c>
      <c r="U15" s="25">
        <f t="shared" si="2"/>
        <v>0.14829090909090914</v>
      </c>
      <c r="V15" s="25">
        <f t="shared" si="2"/>
        <v>1.1046545454545456</v>
      </c>
      <c r="W15" s="25">
        <f t="shared" si="2"/>
        <v>1.5872000000000002</v>
      </c>
      <c r="X15" s="25">
        <f t="shared" si="2"/>
        <v>2.154618181818182</v>
      </c>
      <c r="Y15" s="25">
        <f t="shared" si="2"/>
        <v>1.0466181818181819</v>
      </c>
      <c r="Z15" s="104"/>
      <c r="AA15" s="104"/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0.29559999999999997</v>
      </c>
      <c r="G16" s="25">
        <f t="shared" si="2"/>
        <v>0.83919999999999995</v>
      </c>
      <c r="H16" s="25">
        <f t="shared" si="2"/>
        <v>0.65559999999999996</v>
      </c>
      <c r="I16" s="25">
        <f t="shared" si="2"/>
        <v>0.69479999999999997</v>
      </c>
      <c r="J16" s="25">
        <f t="shared" si="2"/>
        <v>1.0780000000000001</v>
      </c>
      <c r="K16" s="25">
        <f t="shared" si="2"/>
        <v>0.59560000000000002</v>
      </c>
      <c r="L16" s="25">
        <f t="shared" si="2"/>
        <v>0</v>
      </c>
      <c r="M16" s="25">
        <f t="shared" si="2"/>
        <v>0.50360000000000005</v>
      </c>
      <c r="N16" s="25">
        <f t="shared" si="2"/>
        <v>0.88719999999999999</v>
      </c>
      <c r="O16" s="25">
        <f t="shared" si="2"/>
        <v>0.65920000000000001</v>
      </c>
      <c r="P16" s="25">
        <f t="shared" si="2"/>
        <v>0.21272000000000002</v>
      </c>
      <c r="Q16" s="25">
        <f t="shared" si="2"/>
        <v>0.99080000000000001</v>
      </c>
      <c r="R16" s="25">
        <f t="shared" si="2"/>
        <v>0.53960000000000008</v>
      </c>
      <c r="S16" s="25">
        <f t="shared" si="2"/>
        <v>0.13560000000000005</v>
      </c>
      <c r="T16" s="25">
        <f t="shared" si="2"/>
        <v>7.999999999999996E-2</v>
      </c>
      <c r="U16" s="25">
        <f t="shared" si="2"/>
        <v>0.81840000000000002</v>
      </c>
      <c r="V16" s="25">
        <f t="shared" si="2"/>
        <v>0.21560000000000001</v>
      </c>
      <c r="W16" s="25">
        <f t="shared" si="2"/>
        <v>1.1315999999999999</v>
      </c>
      <c r="X16" s="25">
        <f t="shared" si="2"/>
        <v>0.55959999999999999</v>
      </c>
      <c r="Y16" s="25">
        <f t="shared" si="2"/>
        <v>0.19999999999999996</v>
      </c>
      <c r="Z16" s="104"/>
      <c r="AA16" s="104"/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0.63371428571428567</v>
      </c>
      <c r="G17" s="25">
        <f t="shared" si="2"/>
        <v>1.4274285714285715</v>
      </c>
      <c r="H17" s="25">
        <f t="shared" si="2"/>
        <v>2.1805714285714286</v>
      </c>
      <c r="I17" s="25">
        <f t="shared" si="2"/>
        <v>0.95885714285714285</v>
      </c>
      <c r="J17" s="25">
        <f t="shared" si="2"/>
        <v>2.1525079365079365</v>
      </c>
      <c r="K17" s="25">
        <f t="shared" si="2"/>
        <v>0</v>
      </c>
      <c r="L17" s="25">
        <f t="shared" si="2"/>
        <v>0.1428571428571429</v>
      </c>
      <c r="M17" s="25">
        <f t="shared" si="2"/>
        <v>1.2839365079365079</v>
      </c>
      <c r="N17" s="25">
        <f t="shared" si="2"/>
        <v>1.5611428571428572</v>
      </c>
      <c r="O17" s="25">
        <f t="shared" si="2"/>
        <v>1.163936507936508</v>
      </c>
      <c r="P17" s="25">
        <f t="shared" si="2"/>
        <v>0.97599999999999998</v>
      </c>
      <c r="Q17" s="25">
        <f t="shared" si="2"/>
        <v>1.5273650793650795</v>
      </c>
      <c r="R17" s="25">
        <f t="shared" si="2"/>
        <v>2.4319999999999999</v>
      </c>
      <c r="S17" s="25">
        <f t="shared" si="2"/>
        <v>1.2788571428571429</v>
      </c>
      <c r="T17" s="25">
        <f t="shared" si="2"/>
        <v>2.2633650793650792</v>
      </c>
      <c r="U17" s="25">
        <f t="shared" si="2"/>
        <v>0.2857142857142857</v>
      </c>
      <c r="V17" s="25">
        <f t="shared" si="2"/>
        <v>3.1157714285714286</v>
      </c>
      <c r="W17" s="25">
        <f t="shared" si="2"/>
        <v>2.4549714285714286</v>
      </c>
      <c r="X17" s="25">
        <f t="shared" si="2"/>
        <v>1.4217142857142857</v>
      </c>
      <c r="Y17" s="25">
        <f t="shared" si="2"/>
        <v>0.86228571428571432</v>
      </c>
      <c r="Z17" s="104"/>
      <c r="AA17" s="104"/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1.9846277777777779</v>
      </c>
      <c r="G18" s="27">
        <f t="shared" si="2"/>
        <v>0.81373611111111099</v>
      </c>
      <c r="H18" s="27">
        <f t="shared" si="2"/>
        <v>1.1650833333333335</v>
      </c>
      <c r="I18" s="27">
        <f t="shared" si="2"/>
        <v>1.4750888888888887</v>
      </c>
      <c r="J18" s="27">
        <f t="shared" si="2"/>
        <v>1.2464583333333334</v>
      </c>
      <c r="K18" s="27">
        <f t="shared" si="2"/>
        <v>1.242013888888889</v>
      </c>
      <c r="L18" s="27">
        <f t="shared" si="2"/>
        <v>1.2268749999999999</v>
      </c>
      <c r="M18" s="27">
        <f t="shared" si="2"/>
        <v>1.3775694444444444</v>
      </c>
      <c r="N18" s="27">
        <f t="shared" si="2"/>
        <v>1.5529861111111112</v>
      </c>
      <c r="O18" s="27">
        <f t="shared" si="2"/>
        <v>2.0680555555555555</v>
      </c>
      <c r="P18" s="27">
        <f t="shared" si="2"/>
        <v>0</v>
      </c>
      <c r="Q18" s="27">
        <f t="shared" si="2"/>
        <v>1.9923611111111112</v>
      </c>
      <c r="R18" s="27">
        <f t="shared" si="2"/>
        <v>1.2823611111111111</v>
      </c>
      <c r="S18" s="27">
        <f t="shared" si="2"/>
        <v>1.6825694444444443</v>
      </c>
      <c r="T18" s="27">
        <f t="shared" si="2"/>
        <v>2.6834027777777778</v>
      </c>
      <c r="U18" s="27">
        <f t="shared" si="2"/>
        <v>1.1860388888888889</v>
      </c>
      <c r="V18" s="27">
        <f t="shared" si="2"/>
        <v>2.2237944444444446</v>
      </c>
      <c r="W18" s="27">
        <f t="shared" si="2"/>
        <v>1.4595999999999998</v>
      </c>
      <c r="X18" s="27">
        <f t="shared" si="2"/>
        <v>0.86771944444444449</v>
      </c>
      <c r="Y18" s="27">
        <f t="shared" si="2"/>
        <v>0.44735555555555551</v>
      </c>
      <c r="Z18" s="104"/>
      <c r="AA18" s="104"/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1.4713887686759402</v>
      </c>
      <c r="G19" s="25">
        <f t="shared" si="2"/>
        <v>1.0127109737248841</v>
      </c>
      <c r="H19" s="25">
        <f t="shared" si="2"/>
        <v>1.0885770221535291</v>
      </c>
      <c r="I19" s="25">
        <f t="shared" si="2"/>
        <v>1.0666312210200928</v>
      </c>
      <c r="J19" s="25">
        <f>(J10-$C10)/$C10+1</f>
        <v>1.1342606903657908</v>
      </c>
      <c r="K19" s="25">
        <f>(K10-$C10)/$C10+1</f>
        <v>0.73246780010303969</v>
      </c>
      <c r="L19" s="25">
        <f>(L10-$C10)/$C10+1</f>
        <v>0.70097887686759397</v>
      </c>
      <c r="M19" s="25">
        <f t="shared" si="2"/>
        <v>1.4261926841834107</v>
      </c>
      <c r="N19" s="25">
        <f t="shared" si="2"/>
        <v>1.1149304482225657</v>
      </c>
      <c r="O19" s="25">
        <f t="shared" si="2"/>
        <v>1.0871921689850592</v>
      </c>
      <c r="P19" s="25">
        <f t="shared" si="2"/>
        <v>0.35185986604842867</v>
      </c>
      <c r="Q19" s="25">
        <f t="shared" si="2"/>
        <v>1.4865945388974755</v>
      </c>
      <c r="R19" s="25">
        <f t="shared" si="2"/>
        <v>1.5514889232354456</v>
      </c>
      <c r="S19" s="25">
        <f>(S10-$C10)/$C10+1</f>
        <v>1.0895208655332302</v>
      </c>
      <c r="T19" s="25">
        <f>(T10-$C10)/$C10+1</f>
        <v>1.5854301906233901</v>
      </c>
      <c r="U19" s="25">
        <f>(U10-$C10)/$C10+1</f>
        <v>0.65116867594023697</v>
      </c>
      <c r="V19" s="25">
        <f>(V10-$C10)/$C10+1</f>
        <v>1.5341234415249869</v>
      </c>
      <c r="W19" s="25">
        <f>(W10-$C10)/$C10+1</f>
        <v>1.5728004121586809</v>
      </c>
      <c r="X19" s="25">
        <f t="shared" si="2"/>
        <v>1.2429090159711489</v>
      </c>
      <c r="Y19" s="25">
        <f t="shared" si="2"/>
        <v>0.62078145285935082</v>
      </c>
      <c r="Z19" s="104"/>
      <c r="AA19" s="104"/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03"/>
      <c r="AA20" s="103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105" t="s">
        <v>39</v>
      </c>
      <c r="AA21" s="106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107" t="s">
        <v>40</v>
      </c>
      <c r="AA22" s="108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2000</v>
      </c>
      <c r="G23" s="34">
        <v>14998</v>
      </c>
      <c r="H23" s="34">
        <v>25677</v>
      </c>
      <c r="I23" s="23">
        <v>39958</v>
      </c>
      <c r="J23" s="23">
        <v>46623</v>
      </c>
      <c r="K23" s="23">
        <v>56836</v>
      </c>
      <c r="L23" s="23">
        <v>72059</v>
      </c>
      <c r="M23" s="23">
        <v>105022</v>
      </c>
      <c r="N23" s="23">
        <v>113377</v>
      </c>
      <c r="O23" s="23">
        <v>118947</v>
      </c>
      <c r="P23" s="23">
        <v>125676</v>
      </c>
      <c r="Q23" s="23">
        <v>144710</v>
      </c>
      <c r="R23" s="23">
        <v>172848</v>
      </c>
      <c r="S23" s="23">
        <v>189722</v>
      </c>
      <c r="T23" s="23">
        <v>209190</v>
      </c>
      <c r="U23" s="23">
        <v>211229</v>
      </c>
      <c r="V23" s="23">
        <v>226418</v>
      </c>
      <c r="W23" s="23">
        <v>248242</v>
      </c>
      <c r="X23" s="99">
        <v>275083</v>
      </c>
      <c r="Y23" s="99">
        <v>281802</v>
      </c>
      <c r="Z23" s="109">
        <f>+Y23/C40</f>
        <v>1.0247345454545456</v>
      </c>
      <c r="AA23" s="97">
        <f>+Z23-Y$21</f>
        <v>2.4734545454545565E-2</v>
      </c>
      <c r="AX23"/>
    </row>
    <row r="24" spans="2:50">
      <c r="B24" s="4" t="str">
        <f>+B16</f>
        <v>Boston</v>
      </c>
      <c r="C24" s="4"/>
      <c r="D24" s="4"/>
      <c r="E24" s="23"/>
      <c r="F24" s="34">
        <v>0</v>
      </c>
      <c r="G24" s="34">
        <v>17380</v>
      </c>
      <c r="H24" s="34">
        <v>25575</v>
      </c>
      <c r="I24" s="34">
        <v>34260</v>
      </c>
      <c r="J24" s="34">
        <v>47040</v>
      </c>
      <c r="K24" s="34">
        <v>54485</v>
      </c>
      <c r="L24" s="34">
        <v>54485</v>
      </c>
      <c r="M24" s="34">
        <v>60780</v>
      </c>
      <c r="N24" s="34">
        <v>71870</v>
      </c>
      <c r="O24" s="34">
        <v>80110</v>
      </c>
      <c r="P24" s="23">
        <v>82805</v>
      </c>
      <c r="Q24" s="23">
        <v>97185</v>
      </c>
      <c r="R24" s="23">
        <v>103930</v>
      </c>
      <c r="S24" s="23">
        <v>105625</v>
      </c>
      <c r="T24" s="23">
        <v>106625</v>
      </c>
      <c r="U24" s="23">
        <v>116825</v>
      </c>
      <c r="V24" s="23">
        <v>119520</v>
      </c>
      <c r="W24" s="23">
        <v>133665</v>
      </c>
      <c r="X24" s="23">
        <v>128275</v>
      </c>
      <c r="Y24" s="23">
        <v>132465</v>
      </c>
      <c r="Z24" s="109">
        <f>+Y24/C41</f>
        <v>0.52986</v>
      </c>
      <c r="AA24" s="79">
        <f>+Z24-Y$21</f>
        <v>-0.47014</v>
      </c>
      <c r="AX24"/>
    </row>
    <row r="25" spans="2:50" s="4" customFormat="1" ht="12.75">
      <c r="B25" s="4" t="str">
        <f>+B17</f>
        <v>Canada</v>
      </c>
      <c r="E25" s="23"/>
      <c r="F25" s="34">
        <f>8990*0.9</f>
        <v>8091</v>
      </c>
      <c r="G25" s="34">
        <f>17730*0.9</f>
        <v>15957</v>
      </c>
      <c r="H25" s="34">
        <f>40560*0.9</f>
        <v>36504</v>
      </c>
      <c r="I25" s="34">
        <f>46255*0.9</f>
        <v>41629.5</v>
      </c>
      <c r="J25" s="34">
        <v>61006</v>
      </c>
      <c r="K25" s="34">
        <v>61006</v>
      </c>
      <c r="L25" s="34">
        <v>62131</v>
      </c>
      <c r="M25" s="34">
        <v>72243</v>
      </c>
      <c r="N25" s="34">
        <v>84537</v>
      </c>
      <c r="O25" s="34">
        <v>93703</v>
      </c>
      <c r="P25" s="34">
        <v>101389</v>
      </c>
      <c r="Q25" s="34">
        <v>113418</v>
      </c>
      <c r="R25" s="34">
        <v>132570</v>
      </c>
      <c r="S25" s="34">
        <v>142641</v>
      </c>
      <c r="T25" s="120">
        <v>160465</v>
      </c>
      <c r="U25" s="120">
        <f>180987*0.9</f>
        <v>162888.30000000002</v>
      </c>
      <c r="V25" s="120">
        <f>195774*0.9</f>
        <v>176196.6</v>
      </c>
      <c r="W25" s="120">
        <f>210754*0.9</f>
        <v>189678.6</v>
      </c>
      <c r="X25" s="120">
        <f>210279*0.9</f>
        <v>189251.1</v>
      </c>
      <c r="Y25" s="120">
        <f>206679*0.9</f>
        <v>186011.1</v>
      </c>
      <c r="Z25" s="109">
        <f>Y25/C42</f>
        <v>1.1810228571428572</v>
      </c>
      <c r="AA25" s="113">
        <f>+Z25-Y$21</f>
        <v>0.18102285714285715</v>
      </c>
    </row>
    <row r="26" spans="2:50">
      <c r="B26" s="5" t="str">
        <f>+B18</f>
        <v>Norwich</v>
      </c>
      <c r="C26" s="19"/>
      <c r="D26" s="19"/>
      <c r="E26" s="35"/>
      <c r="F26" s="35">
        <f>32174*1.64</f>
        <v>52765.359999999993</v>
      </c>
      <c r="G26" s="35">
        <f>36950*1.64</f>
        <v>60598</v>
      </c>
      <c r="H26" s="35">
        <f>46430*1.64</f>
        <v>76145.2</v>
      </c>
      <c r="I26" s="35">
        <f>55812*1.64</f>
        <v>91531.68</v>
      </c>
      <c r="J26" s="35">
        <v>107441</v>
      </c>
      <c r="K26" s="35">
        <v>123801</v>
      </c>
      <c r="L26" s="35">
        <v>141469</v>
      </c>
      <c r="M26" s="35">
        <v>161307</v>
      </c>
      <c r="N26" s="35">
        <v>183570</v>
      </c>
      <c r="O26" s="35">
        <v>213449</v>
      </c>
      <c r="P26" s="35">
        <v>213449</v>
      </c>
      <c r="Q26" s="35">
        <v>237365</v>
      </c>
      <c r="R26" s="35">
        <v>255831</v>
      </c>
      <c r="S26" s="35">
        <v>280061</v>
      </c>
      <c r="T26" s="92">
        <v>315268</v>
      </c>
      <c r="U26" s="92">
        <f>199013*1.64</f>
        <v>326381.32</v>
      </c>
      <c r="V26" s="92">
        <f>221027*1.64</f>
        <v>362484.27999999997</v>
      </c>
      <c r="W26" s="92">
        <f>225546*1.64</f>
        <v>369895.44</v>
      </c>
      <c r="X26" s="92">
        <f>236035*1.64</f>
        <v>387097.39999999997</v>
      </c>
      <c r="Y26" s="92">
        <f>226062*1.64</f>
        <v>370741.68</v>
      </c>
      <c r="Z26" s="110">
        <f>+Y26/C43</f>
        <v>1.2872975</v>
      </c>
      <c r="AA26" s="113">
        <f>+Z26-Y$21</f>
        <v>0.28729749999999998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62856.359999999993</v>
      </c>
      <c r="G27" s="10">
        <f t="shared" ref="G27:Y27" si="5">SUM(G23:G26)</f>
        <v>108933</v>
      </c>
      <c r="H27" s="10">
        <f t="shared" si="5"/>
        <v>163901.20000000001</v>
      </c>
      <c r="I27" s="4">
        <f t="shared" si="5"/>
        <v>207379.18</v>
      </c>
      <c r="J27" s="4">
        <f t="shared" si="5"/>
        <v>262110</v>
      </c>
      <c r="K27" s="10">
        <f t="shared" si="5"/>
        <v>296128</v>
      </c>
      <c r="L27" s="10">
        <f t="shared" si="5"/>
        <v>330144</v>
      </c>
      <c r="M27" s="10">
        <f t="shared" si="5"/>
        <v>399352</v>
      </c>
      <c r="N27" s="10">
        <f t="shared" si="5"/>
        <v>453354</v>
      </c>
      <c r="O27" s="4">
        <f>SUM(O23:O26)</f>
        <v>506209</v>
      </c>
      <c r="P27" s="10">
        <f t="shared" si="5"/>
        <v>523319</v>
      </c>
      <c r="Q27" s="10">
        <f t="shared" si="5"/>
        <v>592678</v>
      </c>
      <c r="R27" s="10">
        <f t="shared" si="5"/>
        <v>665179</v>
      </c>
      <c r="S27" s="10">
        <f t="shared" si="5"/>
        <v>718049</v>
      </c>
      <c r="T27" s="4">
        <f t="shared" si="5"/>
        <v>791548</v>
      </c>
      <c r="U27" s="10">
        <f t="shared" si="5"/>
        <v>817323.62000000011</v>
      </c>
      <c r="V27" s="10">
        <f t="shared" si="5"/>
        <v>884618.87999999989</v>
      </c>
      <c r="W27" s="10">
        <f t="shared" si="5"/>
        <v>941481.04</v>
      </c>
      <c r="X27" s="10">
        <f t="shared" si="5"/>
        <v>979706.5</v>
      </c>
      <c r="Y27" s="10">
        <f t="shared" si="5"/>
        <v>971019.78</v>
      </c>
      <c r="Z27" s="111">
        <f>+Y27/C44</f>
        <v>1.0005355795981452</v>
      </c>
      <c r="AA27" s="118">
        <f>+Z27-Y$21</f>
        <v>5.3557959814520828E-4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6.4766986089644513E-2</v>
      </c>
      <c r="G28" s="30">
        <f t="shared" si="6"/>
        <v>0.11224420401854714</v>
      </c>
      <c r="H28" s="30">
        <f t="shared" si="6"/>
        <v>0.16888325605358065</v>
      </c>
      <c r="I28" s="30">
        <f t="shared" si="6"/>
        <v>0.21368282328696547</v>
      </c>
      <c r="J28" s="30">
        <f t="shared" si="6"/>
        <v>0.27007727975270479</v>
      </c>
      <c r="K28" s="30">
        <f t="shared" si="6"/>
        <v>0.30512931478619271</v>
      </c>
      <c r="L28" s="30">
        <f t="shared" si="6"/>
        <v>0.34017928902627509</v>
      </c>
      <c r="M28" s="30">
        <f t="shared" si="6"/>
        <v>0.41149098402885109</v>
      </c>
      <c r="N28" s="30">
        <f t="shared" si="6"/>
        <v>0.46713446676970632</v>
      </c>
      <c r="O28" s="30">
        <f>+O27/$C$44</f>
        <v>0.52159608449252959</v>
      </c>
      <c r="P28" s="30">
        <f t="shared" ref="P28:Y28" si="7">+P27/$C$44</f>
        <v>0.53922617207624934</v>
      </c>
      <c r="Q28" s="30">
        <f t="shared" si="7"/>
        <v>0.61069345698093769</v>
      </c>
      <c r="R28" s="30">
        <f t="shared" si="7"/>
        <v>0.68539824832560536</v>
      </c>
      <c r="S28" s="30">
        <f t="shared" si="7"/>
        <v>0.73987532199896955</v>
      </c>
      <c r="T28" s="30">
        <f t="shared" si="7"/>
        <v>0.81560844925296239</v>
      </c>
      <c r="U28" s="30">
        <f t="shared" si="7"/>
        <v>0.84216756311179819</v>
      </c>
      <c r="V28" s="30">
        <f t="shared" si="7"/>
        <v>0.91150837712519306</v>
      </c>
      <c r="W28" s="30">
        <f t="shared" si="7"/>
        <v>0.97009895929933032</v>
      </c>
      <c r="X28" s="30">
        <f t="shared" si="7"/>
        <v>1.0094863472436888</v>
      </c>
      <c r="Y28" s="30">
        <f t="shared" si="7"/>
        <v>1.0005355795981452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0.14545454545454545</v>
      </c>
      <c r="G32" s="17">
        <f t="shared" si="9"/>
        <v>0.54538181818181819</v>
      </c>
      <c r="H32" s="17">
        <f t="shared" si="9"/>
        <v>0.62247272727272729</v>
      </c>
      <c r="I32" s="17">
        <f t="shared" si="9"/>
        <v>0.72650909090909088</v>
      </c>
      <c r="J32" s="17">
        <f t="shared" si="9"/>
        <v>0.67815272727272724</v>
      </c>
      <c r="K32" s="17">
        <f t="shared" si="9"/>
        <v>0.68892121212121205</v>
      </c>
      <c r="L32" s="17">
        <f t="shared" si="9"/>
        <v>0.74866493506493503</v>
      </c>
      <c r="M32" s="17">
        <f t="shared" si="9"/>
        <v>0.95474545454545456</v>
      </c>
      <c r="N32" s="17">
        <f t="shared" si="9"/>
        <v>0.91617777777777787</v>
      </c>
      <c r="O32" s="17">
        <f t="shared" si="9"/>
        <v>0.8650690909090909</v>
      </c>
      <c r="P32" s="17">
        <f t="shared" si="9"/>
        <v>0.83091570247933888</v>
      </c>
      <c r="Q32" s="17">
        <f t="shared" si="9"/>
        <v>0.87703030303030294</v>
      </c>
      <c r="R32" s="17">
        <f t="shared" si="9"/>
        <v>0.96698181818181816</v>
      </c>
      <c r="S32" s="17">
        <f t="shared" si="9"/>
        <v>0.98556883116883121</v>
      </c>
      <c r="T32" s="17">
        <f t="shared" si="9"/>
        <v>1.0142545454545455</v>
      </c>
      <c r="U32" s="17">
        <f t="shared" si="9"/>
        <v>0.96013181818181814</v>
      </c>
      <c r="V32" s="17">
        <f t="shared" si="9"/>
        <v>0.96863315508021386</v>
      </c>
      <c r="W32" s="17">
        <f t="shared" si="9"/>
        <v>1.0029979797979798</v>
      </c>
      <c r="X32" s="17">
        <f t="shared" si="9"/>
        <v>1.0529492822966506</v>
      </c>
      <c r="Y32" s="17">
        <f t="shared" si="9"/>
        <v>1.0247345454545456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</v>
      </c>
      <c r="G33" s="17">
        <f t="shared" si="10"/>
        <v>0.69520000000000004</v>
      </c>
      <c r="H33" s="17">
        <f t="shared" si="10"/>
        <v>0.68200000000000005</v>
      </c>
      <c r="I33" s="17">
        <f t="shared" si="10"/>
        <v>0.68520000000000003</v>
      </c>
      <c r="J33" s="17">
        <f t="shared" si="10"/>
        <v>0.75263999999999998</v>
      </c>
      <c r="K33" s="17">
        <f t="shared" si="10"/>
        <v>0.7264666666666667</v>
      </c>
      <c r="L33" s="17">
        <f t="shared" si="10"/>
        <v>0.62268571428571429</v>
      </c>
      <c r="M33" s="17">
        <f t="shared" si="10"/>
        <v>0.60780000000000001</v>
      </c>
      <c r="N33" s="17">
        <f t="shared" si="10"/>
        <v>0.63884444444444455</v>
      </c>
      <c r="O33" s="17">
        <f t="shared" si="10"/>
        <v>0.64088000000000001</v>
      </c>
      <c r="P33" s="17">
        <f t="shared" si="10"/>
        <v>0.60221818181818187</v>
      </c>
      <c r="Q33" s="17">
        <f t="shared" si="10"/>
        <v>0.64790000000000003</v>
      </c>
      <c r="R33" s="17">
        <f t="shared" si="10"/>
        <v>0.63956923076923078</v>
      </c>
      <c r="S33" s="17">
        <f t="shared" si="10"/>
        <v>0.60357142857142854</v>
      </c>
      <c r="T33" s="17">
        <f t="shared" si="10"/>
        <v>0.56866666666666665</v>
      </c>
      <c r="U33" s="17">
        <f t="shared" si="10"/>
        <v>0.58412500000000001</v>
      </c>
      <c r="V33" s="17">
        <f t="shared" si="10"/>
        <v>0.56244705882352941</v>
      </c>
      <c r="W33" s="17">
        <f t="shared" si="10"/>
        <v>0.59406666666666663</v>
      </c>
      <c r="X33" s="17">
        <f t="shared" si="10"/>
        <v>0.54010526315789475</v>
      </c>
      <c r="Y33" s="17">
        <f t="shared" si="10"/>
        <v>0.52986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1.0274285714285714</v>
      </c>
      <c r="G34" s="17">
        <f t="shared" si="11"/>
        <v>1.0131428571428571</v>
      </c>
      <c r="H34" s="17">
        <f t="shared" si="11"/>
        <v>1.5451428571428572</v>
      </c>
      <c r="I34" s="17">
        <f t="shared" si="11"/>
        <v>1.3215714285714286</v>
      </c>
      <c r="J34" s="17">
        <f t="shared" si="11"/>
        <v>1.5493587301587302</v>
      </c>
      <c r="K34" s="17">
        <f t="shared" si="11"/>
        <v>1.2911322751322749</v>
      </c>
      <c r="L34" s="17">
        <f t="shared" si="11"/>
        <v>1.127092970521542</v>
      </c>
      <c r="M34" s="17">
        <f t="shared" si="11"/>
        <v>1.1467142857142858</v>
      </c>
      <c r="N34" s="17">
        <f t="shared" si="11"/>
        <v>1.1927619047619047</v>
      </c>
      <c r="O34" s="17">
        <f t="shared" si="11"/>
        <v>1.1898793650793651</v>
      </c>
      <c r="P34" s="17">
        <f t="shared" si="11"/>
        <v>1.1704357864357864</v>
      </c>
      <c r="Q34" s="17">
        <f t="shared" si="11"/>
        <v>1.2001904761904763</v>
      </c>
      <c r="R34" s="17">
        <f t="shared" si="11"/>
        <v>1.2949450549450552</v>
      </c>
      <c r="S34" s="17">
        <f t="shared" si="11"/>
        <v>1.2937959183673469</v>
      </c>
      <c r="T34" s="17">
        <f t="shared" si="11"/>
        <v>1.3584338624338623</v>
      </c>
      <c r="U34" s="17">
        <f t="shared" si="11"/>
        <v>1.2927642857142858</v>
      </c>
      <c r="V34" s="17">
        <f t="shared" si="11"/>
        <v>1.3161277310924371</v>
      </c>
      <c r="W34" s="17">
        <f t="shared" si="11"/>
        <v>1.3381206349206349</v>
      </c>
      <c r="X34" s="17">
        <f t="shared" si="11"/>
        <v>1.264836090225564</v>
      </c>
      <c r="Y34" s="17">
        <f t="shared" si="11"/>
        <v>1.1810228571428572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3.6642611111111107</v>
      </c>
      <c r="G35" s="18">
        <f t="shared" si="12"/>
        <v>2.1040972222222223</v>
      </c>
      <c r="H35" s="18">
        <f t="shared" si="12"/>
        <v>1.7626203703703704</v>
      </c>
      <c r="I35" s="18">
        <f t="shared" si="12"/>
        <v>1.5890916666666666</v>
      </c>
      <c r="J35" s="18">
        <f t="shared" si="12"/>
        <v>1.4922361111111111</v>
      </c>
      <c r="K35" s="18">
        <f t="shared" si="12"/>
        <v>1.4328819444444445</v>
      </c>
      <c r="L35" s="18">
        <f t="shared" si="12"/>
        <v>1.4034623015873016</v>
      </c>
      <c r="M35" s="18">
        <f t="shared" si="12"/>
        <v>1.4002343749999999</v>
      </c>
      <c r="N35" s="18">
        <f t="shared" si="12"/>
        <v>1.4164351851851853</v>
      </c>
      <c r="O35" s="18">
        <f t="shared" si="12"/>
        <v>1.4822847222222222</v>
      </c>
      <c r="P35" s="18">
        <f t="shared" si="12"/>
        <v>1.3475315656565656</v>
      </c>
      <c r="Q35" s="18">
        <f t="shared" si="12"/>
        <v>1.3736400462962963</v>
      </c>
      <c r="R35" s="18">
        <f t="shared" si="12"/>
        <v>1.3666185897435896</v>
      </c>
      <c r="S35" s="18">
        <f t="shared" si="12"/>
        <v>1.3891914682539681</v>
      </c>
      <c r="T35" s="18">
        <f t="shared" si="12"/>
        <v>1.4595740740740739</v>
      </c>
      <c r="U35" s="18">
        <f t="shared" si="12"/>
        <v>1.4165855902777778</v>
      </c>
      <c r="V35" s="18">
        <f t="shared" si="12"/>
        <v>1.4807364379084964</v>
      </c>
      <c r="W35" s="18">
        <f t="shared" si="12"/>
        <v>1.4270657407407408</v>
      </c>
      <c r="X35" s="18">
        <f t="shared" si="12"/>
        <v>1.4148296783625729</v>
      </c>
      <c r="Y35" s="18">
        <f t="shared" si="12"/>
        <v>1.2872975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1.2953397217928901</v>
      </c>
      <c r="G36" s="17">
        <f t="shared" si="13"/>
        <v>1.1224420401854713</v>
      </c>
      <c r="H36" s="17">
        <f t="shared" si="13"/>
        <v>1.1258883736905376</v>
      </c>
      <c r="I36" s="17">
        <f t="shared" si="13"/>
        <v>1.0684141164348273</v>
      </c>
      <c r="J36" s="17">
        <f t="shared" si="13"/>
        <v>1.0803091190108192</v>
      </c>
      <c r="K36" s="17">
        <f t="shared" si="13"/>
        <v>1.0170977159539756</v>
      </c>
      <c r="L36" s="17">
        <f t="shared" si="13"/>
        <v>0.97194082578935737</v>
      </c>
      <c r="M36" s="17">
        <f t="shared" si="13"/>
        <v>1.0287274600721277</v>
      </c>
      <c r="N36" s="17">
        <f t="shared" si="13"/>
        <v>1.0380765928215696</v>
      </c>
      <c r="O36" s="17">
        <f t="shared" si="13"/>
        <v>1.0431921689850592</v>
      </c>
      <c r="P36" s="17">
        <f t="shared" si="13"/>
        <v>0.98041122195681696</v>
      </c>
      <c r="Q36" s="17">
        <f t="shared" si="13"/>
        <v>1.0178224283015627</v>
      </c>
      <c r="R36" s="17">
        <f t="shared" si="13"/>
        <v>1.0544588435778544</v>
      </c>
      <c r="S36" s="17">
        <f t="shared" si="13"/>
        <v>1.0569647457128137</v>
      </c>
      <c r="T36" s="17">
        <f t="shared" si="13"/>
        <v>1.0874779323372832</v>
      </c>
      <c r="U36" s="17">
        <f t="shared" si="13"/>
        <v>1.0527094538897477</v>
      </c>
      <c r="V36" s="17">
        <f t="shared" si="13"/>
        <v>1.0723627966178744</v>
      </c>
      <c r="W36" s="17">
        <f t="shared" si="13"/>
        <v>1.0778877325548115</v>
      </c>
      <c r="X36" s="17">
        <f t="shared" si="13"/>
        <v>1.0626172076249354</v>
      </c>
      <c r="Y36" s="17">
        <f t="shared" si="13"/>
        <v>1.0005355795981452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275000</v>
      </c>
      <c r="D40" s="4"/>
      <c r="E40" s="4"/>
      <c r="F40" s="48">
        <f t="shared" ref="F40:Y43" si="15">(F23)/F$1*$Y$1</f>
        <v>40000</v>
      </c>
      <c r="G40" s="48">
        <f t="shared" si="15"/>
        <v>149980</v>
      </c>
      <c r="H40" s="48">
        <f t="shared" si="15"/>
        <v>171180</v>
      </c>
      <c r="I40" s="48">
        <f t="shared" si="15"/>
        <v>199790</v>
      </c>
      <c r="J40" s="55">
        <f t="shared" si="15"/>
        <v>186492</v>
      </c>
      <c r="K40" s="55">
        <f t="shared" si="15"/>
        <v>189453.33333333331</v>
      </c>
      <c r="L40" s="55">
        <f t="shared" si="15"/>
        <v>205882.85714285713</v>
      </c>
      <c r="M40" s="55">
        <f t="shared" si="15"/>
        <v>262555</v>
      </c>
      <c r="N40" s="55">
        <f t="shared" si="15"/>
        <v>251948.88888888891</v>
      </c>
      <c r="O40" s="55">
        <f t="shared" si="15"/>
        <v>237894</v>
      </c>
      <c r="P40" s="55">
        <f t="shared" si="15"/>
        <v>228501.81818181821</v>
      </c>
      <c r="Q40" s="55">
        <f t="shared" si="15"/>
        <v>241183.33333333331</v>
      </c>
      <c r="R40" s="55">
        <f t="shared" si="15"/>
        <v>265920</v>
      </c>
      <c r="S40" s="55">
        <f t="shared" si="15"/>
        <v>271031.42857142858</v>
      </c>
      <c r="T40" s="55">
        <f t="shared" si="15"/>
        <v>278920</v>
      </c>
      <c r="U40" s="55">
        <f t="shared" si="15"/>
        <v>264036.25</v>
      </c>
      <c r="V40" s="55">
        <f t="shared" si="15"/>
        <v>266374.1176470588</v>
      </c>
      <c r="W40" s="55">
        <f t="shared" si="15"/>
        <v>275824.44444444444</v>
      </c>
      <c r="X40" s="55">
        <f>(X23)/X$1*$Y$1</f>
        <v>289561.05263157893</v>
      </c>
      <c r="Y40" s="55">
        <f t="shared" si="15"/>
        <v>281802</v>
      </c>
      <c r="AX40"/>
    </row>
    <row r="41" spans="2:50">
      <c r="B41" s="4" t="s">
        <v>1</v>
      </c>
      <c r="C41" s="37">
        <v>250000</v>
      </c>
      <c r="D41" s="4"/>
      <c r="E41" s="4"/>
      <c r="F41" s="48">
        <f t="shared" si="15"/>
        <v>0</v>
      </c>
      <c r="G41" s="48">
        <f t="shared" si="15"/>
        <v>173800</v>
      </c>
      <c r="H41" s="48">
        <f t="shared" si="15"/>
        <v>170500</v>
      </c>
      <c r="I41" s="48">
        <f t="shared" si="15"/>
        <v>171300</v>
      </c>
      <c r="J41" s="55">
        <f t="shared" si="15"/>
        <v>188160</v>
      </c>
      <c r="K41" s="55">
        <f t="shared" si="15"/>
        <v>181616.66666666669</v>
      </c>
      <c r="L41" s="55">
        <f t="shared" si="15"/>
        <v>155671.42857142858</v>
      </c>
      <c r="M41" s="55">
        <f t="shared" si="15"/>
        <v>151950</v>
      </c>
      <c r="N41" s="55">
        <f t="shared" si="15"/>
        <v>159711.11111111112</v>
      </c>
      <c r="O41" s="55">
        <f t="shared" si="15"/>
        <v>160220</v>
      </c>
      <c r="P41" s="55">
        <f t="shared" si="15"/>
        <v>150554.54545454547</v>
      </c>
      <c r="Q41" s="55">
        <f t="shared" si="15"/>
        <v>161975</v>
      </c>
      <c r="R41" s="55">
        <f t="shared" si="15"/>
        <v>159892.30769230769</v>
      </c>
      <c r="S41" s="55">
        <f t="shared" si="15"/>
        <v>150892.85714285713</v>
      </c>
      <c r="T41" s="55">
        <f t="shared" si="15"/>
        <v>142166.66666666666</v>
      </c>
      <c r="U41" s="55">
        <f t="shared" si="15"/>
        <v>146031.25</v>
      </c>
      <c r="V41" s="55">
        <f t="shared" si="15"/>
        <v>140611.76470588235</v>
      </c>
      <c r="W41" s="55">
        <f t="shared" si="15"/>
        <v>148516.66666666666</v>
      </c>
      <c r="X41" s="55">
        <f t="shared" si="15"/>
        <v>135026.31578947368</v>
      </c>
      <c r="Y41" s="55">
        <f t="shared" si="15"/>
        <v>132465</v>
      </c>
      <c r="AX41"/>
    </row>
    <row r="42" spans="2:50">
      <c r="B42" s="4" t="s">
        <v>2</v>
      </c>
      <c r="C42" s="37">
        <f>175000*0.9</f>
        <v>157500</v>
      </c>
      <c r="D42" s="4"/>
      <c r="E42" s="4"/>
      <c r="F42" s="55">
        <f t="shared" si="15"/>
        <v>161820</v>
      </c>
      <c r="G42" s="55">
        <f t="shared" si="15"/>
        <v>159570</v>
      </c>
      <c r="H42" s="55">
        <f t="shared" si="15"/>
        <v>243360</v>
      </c>
      <c r="I42" s="55">
        <f t="shared" si="15"/>
        <v>208147.5</v>
      </c>
      <c r="J42" s="55">
        <f t="shared" si="15"/>
        <v>244024</v>
      </c>
      <c r="K42" s="55">
        <f t="shared" si="15"/>
        <v>203353.33333333331</v>
      </c>
      <c r="L42" s="55">
        <f t="shared" si="15"/>
        <v>177517.14285714287</v>
      </c>
      <c r="M42" s="55">
        <f t="shared" si="15"/>
        <v>180607.5</v>
      </c>
      <c r="N42" s="55">
        <f t="shared" si="15"/>
        <v>187860</v>
      </c>
      <c r="O42" s="55">
        <f t="shared" si="15"/>
        <v>187406</v>
      </c>
      <c r="P42" s="55">
        <f t="shared" si="15"/>
        <v>184343.63636363635</v>
      </c>
      <c r="Q42" s="55">
        <f t="shared" si="15"/>
        <v>189030</v>
      </c>
      <c r="R42" s="55">
        <f t="shared" si="15"/>
        <v>203953.84615384619</v>
      </c>
      <c r="S42" s="55">
        <f t="shared" si="15"/>
        <v>203772.85714285713</v>
      </c>
      <c r="T42" s="55">
        <f t="shared" si="15"/>
        <v>213953.33333333331</v>
      </c>
      <c r="U42" s="55">
        <f t="shared" si="15"/>
        <v>203610.37500000003</v>
      </c>
      <c r="V42" s="55">
        <f t="shared" si="15"/>
        <v>207290.11764705883</v>
      </c>
      <c r="W42" s="55">
        <f t="shared" si="15"/>
        <v>210754</v>
      </c>
      <c r="X42" s="55">
        <f t="shared" si="15"/>
        <v>199211.68421052632</v>
      </c>
      <c r="Y42" s="55">
        <f t="shared" si="15"/>
        <v>186011.1</v>
      </c>
      <c r="AA42" s="48"/>
    </row>
    <row r="43" spans="2:50">
      <c r="B43" s="4" t="s">
        <v>3</v>
      </c>
      <c r="C43" s="38">
        <f>180000*1.6</f>
        <v>288000</v>
      </c>
      <c r="D43" s="19"/>
      <c r="E43" s="19"/>
      <c r="F43" s="98">
        <f t="shared" si="15"/>
        <v>1055307.2</v>
      </c>
      <c r="G43" s="98">
        <f t="shared" si="15"/>
        <v>605980</v>
      </c>
      <c r="H43" s="98">
        <f t="shared" si="15"/>
        <v>507634.66666666669</v>
      </c>
      <c r="I43" s="98">
        <f t="shared" si="15"/>
        <v>457658.39999999997</v>
      </c>
      <c r="J43" s="98">
        <f t="shared" si="15"/>
        <v>429764</v>
      </c>
      <c r="K43" s="98">
        <f t="shared" si="15"/>
        <v>412670</v>
      </c>
      <c r="L43" s="98">
        <f t="shared" si="15"/>
        <v>404197.14285714284</v>
      </c>
      <c r="M43" s="98">
        <f t="shared" si="15"/>
        <v>403267.5</v>
      </c>
      <c r="N43" s="98">
        <f t="shared" si="15"/>
        <v>407933.33333333337</v>
      </c>
      <c r="O43" s="98">
        <f t="shared" si="15"/>
        <v>426898</v>
      </c>
      <c r="P43" s="98">
        <f t="shared" si="15"/>
        <v>388089.09090909088</v>
      </c>
      <c r="Q43" s="98">
        <f t="shared" si="15"/>
        <v>395608.33333333337</v>
      </c>
      <c r="R43" s="98">
        <f t="shared" si="15"/>
        <v>393586.15384615381</v>
      </c>
      <c r="S43" s="98">
        <f t="shared" si="15"/>
        <v>400087.14285714284</v>
      </c>
      <c r="T43" s="98">
        <f t="shared" si="15"/>
        <v>420357.33333333331</v>
      </c>
      <c r="U43" s="98">
        <f t="shared" si="15"/>
        <v>407976.65</v>
      </c>
      <c r="V43" s="98">
        <f t="shared" si="15"/>
        <v>426452.09411764698</v>
      </c>
      <c r="W43" s="98">
        <f t="shared" si="15"/>
        <v>410994.93333333335</v>
      </c>
      <c r="X43" s="98">
        <f>(X26)/X$1*$Y$1</f>
        <v>407470.94736842101</v>
      </c>
      <c r="Y43" s="98">
        <f t="shared" si="15"/>
        <v>370741.68</v>
      </c>
    </row>
    <row r="44" spans="2:50">
      <c r="B44" s="14" t="s">
        <v>27</v>
      </c>
      <c r="C44" s="39">
        <f>SUM(C40:C43)</f>
        <v>970500</v>
      </c>
      <c r="D44" s="10">
        <f>SUM(D40:D43)</f>
        <v>0</v>
      </c>
      <c r="E44" s="10">
        <f>SUM(E40:E43)</f>
        <v>0</v>
      </c>
      <c r="F44" s="10">
        <f t="shared" ref="F44:Y44" si="16">SUM(F40:F43)</f>
        <v>1257127.2</v>
      </c>
      <c r="G44" s="10">
        <f t="shared" si="16"/>
        <v>1089330</v>
      </c>
      <c r="H44" s="10">
        <f t="shared" si="16"/>
        <v>1092674.6666666667</v>
      </c>
      <c r="I44" s="10">
        <f t="shared" si="16"/>
        <v>1036895.8999999999</v>
      </c>
      <c r="J44" s="10">
        <f t="shared" si="16"/>
        <v>1048440</v>
      </c>
      <c r="K44" s="10">
        <f t="shared" si="16"/>
        <v>987093.33333333326</v>
      </c>
      <c r="L44" s="10">
        <f t="shared" si="16"/>
        <v>943268.57142857136</v>
      </c>
      <c r="M44" s="10">
        <f t="shared" si="16"/>
        <v>998380</v>
      </c>
      <c r="N44" s="10">
        <f t="shared" si="16"/>
        <v>1007453.3333333334</v>
      </c>
      <c r="O44" s="10">
        <f t="shared" si="16"/>
        <v>1012418</v>
      </c>
      <c r="P44" s="10">
        <f t="shared" si="16"/>
        <v>951489.09090909082</v>
      </c>
      <c r="Q44" s="10">
        <f t="shared" si="16"/>
        <v>987796.66666666663</v>
      </c>
      <c r="R44" s="10">
        <f t="shared" si="16"/>
        <v>1023352.3076923077</v>
      </c>
      <c r="S44" s="10">
        <f t="shared" si="16"/>
        <v>1025784.2857142857</v>
      </c>
      <c r="T44" s="10">
        <f t="shared" si="16"/>
        <v>1055397.3333333333</v>
      </c>
      <c r="U44" s="10">
        <f t="shared" si="16"/>
        <v>1021654.525</v>
      </c>
      <c r="V44" s="10">
        <f t="shared" si="16"/>
        <v>1040728.094117647</v>
      </c>
      <c r="W44" s="10">
        <f t="shared" si="16"/>
        <v>1046090.0444444445</v>
      </c>
      <c r="X44" s="10">
        <f t="shared" si="16"/>
        <v>1031269.9999999999</v>
      </c>
      <c r="Y44" s="10">
        <f t="shared" si="16"/>
        <v>971019.78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B1:AX64"/>
  <sheetViews>
    <sheetView showGridLines="0" topLeftCell="K1" workbookViewId="0">
      <selection activeCell="W44" sqref="U43:W44"/>
    </sheetView>
  </sheetViews>
  <sheetFormatPr defaultColWidth="8.85546875" defaultRowHeight="15"/>
  <cols>
    <col min="1" max="1" width="2.7109375" customWidth="1"/>
    <col min="2" max="2" width="9" customWidth="1"/>
    <col min="3" max="3" width="9.140625" customWidth="1"/>
    <col min="4" max="4" width="0.42578125" customWidth="1"/>
    <col min="5" max="5" width="8.28515625" customWidth="1"/>
    <col min="6" max="6" width="8" bestFit="1" customWidth="1"/>
    <col min="7" max="7" width="10" bestFit="1" customWidth="1"/>
    <col min="8" max="8" width="8.28515625" customWidth="1"/>
    <col min="9" max="9" width="8.42578125" customWidth="1"/>
    <col min="10" max="10" width="8.140625" customWidth="1"/>
    <col min="11" max="11" width="7.85546875" customWidth="1"/>
    <col min="12" max="12" width="8.85546875" bestFit="1" customWidth="1"/>
    <col min="13" max="13" width="9.28515625" bestFit="1" customWidth="1"/>
    <col min="14" max="14" width="8.42578125" customWidth="1"/>
    <col min="15" max="15" width="7.7109375" customWidth="1"/>
    <col min="16" max="16" width="8.85546875" customWidth="1"/>
    <col min="17" max="17" width="8.85546875" bestFit="1" customWidth="1"/>
    <col min="18" max="18" width="8.7109375" bestFit="1" customWidth="1"/>
    <col min="19" max="19" width="9.140625" bestFit="1" customWidth="1"/>
    <col min="20" max="20" width="7.85546875" customWidth="1"/>
    <col min="21" max="22" width="8.7109375" bestFit="1" customWidth="1"/>
    <col min="23" max="23" width="8" customWidth="1"/>
    <col min="24" max="24" width="8.7109375" customWidth="1"/>
    <col min="25" max="25" width="9.28515625" customWidth="1"/>
    <col min="26" max="26" width="7.28515625" bestFit="1" customWidth="1"/>
    <col min="27" max="27" width="7" bestFit="1" customWidth="1"/>
    <col min="50" max="50" width="9.140625" style="6" customWidth="1"/>
  </cols>
  <sheetData>
    <row r="1" spans="2:50">
      <c r="C1" s="3">
        <v>1</v>
      </c>
      <c r="D1" s="3">
        <v>2</v>
      </c>
      <c r="E1" s="3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</row>
    <row r="2" spans="2:50" ht="18.75">
      <c r="B2" s="2" t="s">
        <v>54</v>
      </c>
      <c r="M2" s="93" t="s">
        <v>45</v>
      </c>
      <c r="O2" s="28"/>
      <c r="P2" s="28"/>
      <c r="Q2" s="28"/>
      <c r="R2" s="28"/>
    </row>
    <row r="3" spans="2:50">
      <c r="F3" s="28"/>
    </row>
    <row r="4" spans="2:50" ht="15.75" thickBot="1">
      <c r="B4" s="9" t="s">
        <v>24</v>
      </c>
      <c r="C4" s="4"/>
      <c r="D4" s="4"/>
      <c r="E4" s="4"/>
      <c r="G4" s="4"/>
      <c r="H4" s="4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"/>
    </row>
    <row r="5" spans="2:50">
      <c r="B5" s="4"/>
      <c r="C5" s="16" t="s">
        <v>32</v>
      </c>
      <c r="D5" s="4"/>
      <c r="E5" s="7" t="s">
        <v>57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76" t="s">
        <v>43</v>
      </c>
      <c r="AX5"/>
    </row>
    <row r="6" spans="2:50">
      <c r="B6" s="4" t="s">
        <v>0</v>
      </c>
      <c r="C6" s="20">
        <f>+C40/20</f>
        <v>18750</v>
      </c>
      <c r="D6" s="10"/>
      <c r="E6" s="11">
        <v>-9286</v>
      </c>
      <c r="F6" s="34">
        <v>20656</v>
      </c>
      <c r="G6" s="34">
        <v>9991</v>
      </c>
      <c r="H6" s="34">
        <v>26113</v>
      </c>
      <c r="I6" s="34">
        <v>15679</v>
      </c>
      <c r="J6" s="34">
        <v>18334</v>
      </c>
      <c r="K6" s="34">
        <v>16249</v>
      </c>
      <c r="L6" s="34">
        <v>17208</v>
      </c>
      <c r="M6" s="34">
        <v>11140</v>
      </c>
      <c r="N6" s="34">
        <v>30211</v>
      </c>
      <c r="O6" s="34">
        <v>16452</v>
      </c>
      <c r="P6" s="34">
        <v>9080</v>
      </c>
      <c r="Q6" s="34">
        <v>31014</v>
      </c>
      <c r="R6" s="34">
        <v>25349</v>
      </c>
      <c r="S6" s="34">
        <v>14531</v>
      </c>
      <c r="T6" s="34">
        <v>31110</v>
      </c>
      <c r="U6" s="34">
        <v>21670</v>
      </c>
      <c r="V6" s="34">
        <v>33582</v>
      </c>
      <c r="W6" s="34">
        <v>32185</v>
      </c>
      <c r="X6" s="34">
        <v>28702</v>
      </c>
      <c r="Y6" s="34">
        <v>23759</v>
      </c>
      <c r="Z6" s="115">
        <f>(SUM(F6:Y6)/(COUNT(F6:Y6)))</f>
        <v>21650.75</v>
      </c>
      <c r="AA6" s="103"/>
      <c r="AX6"/>
    </row>
    <row r="7" spans="2:50">
      <c r="B7" s="4" t="s">
        <v>1</v>
      </c>
      <c r="C7" s="20">
        <f>+C41/20</f>
        <v>16250</v>
      </c>
      <c r="D7" s="10"/>
      <c r="E7" s="11">
        <v>6995</v>
      </c>
      <c r="F7" s="34">
        <v>5390</v>
      </c>
      <c r="G7" s="34">
        <v>4195</v>
      </c>
      <c r="H7" s="34">
        <v>0</v>
      </c>
      <c r="I7" s="34">
        <v>15160</v>
      </c>
      <c r="J7" s="34">
        <v>11135</v>
      </c>
      <c r="K7" s="34">
        <v>15170</v>
      </c>
      <c r="L7" s="34">
        <f>15547*0.9</f>
        <v>13992.300000000001</v>
      </c>
      <c r="M7" s="34">
        <v>2695</v>
      </c>
      <c r="N7" s="34">
        <v>4795</v>
      </c>
      <c r="O7" s="34">
        <v>4795</v>
      </c>
      <c r="P7" s="81"/>
      <c r="Q7" s="34">
        <v>6000</v>
      </c>
      <c r="R7" s="34">
        <v>3500</v>
      </c>
      <c r="S7" s="34">
        <v>4045</v>
      </c>
      <c r="T7" s="34">
        <v>9445</v>
      </c>
      <c r="U7" s="34">
        <v>3000</v>
      </c>
      <c r="V7" s="34">
        <v>6695</v>
      </c>
      <c r="W7" s="34">
        <v>6890</v>
      </c>
      <c r="X7" s="34">
        <v>16830</v>
      </c>
      <c r="Y7" s="34">
        <v>17580</v>
      </c>
      <c r="Z7" s="69">
        <f>(SUM(F7:Y7)/(COUNT(F7:Y7)))</f>
        <v>7963.8052631578939</v>
      </c>
      <c r="AA7" s="103"/>
      <c r="AX7"/>
    </row>
    <row r="8" spans="2:50">
      <c r="B8" s="4" t="s">
        <v>2</v>
      </c>
      <c r="C8" s="20">
        <f>+C42/20</f>
        <v>11475</v>
      </c>
      <c r="D8" s="10"/>
      <c r="E8" s="11">
        <f>35654*0.9</f>
        <v>32088.600000000002</v>
      </c>
      <c r="F8" s="34">
        <f>2695*0.9</f>
        <v>2425.5</v>
      </c>
      <c r="G8" s="34">
        <f>9153*0.9</f>
        <v>8237.7000000000007</v>
      </c>
      <c r="H8" s="34">
        <f>24696*0.9</f>
        <v>22226.400000000001</v>
      </c>
      <c r="I8" s="34">
        <f>20159*0.9</f>
        <v>18143.100000000002</v>
      </c>
      <c r="J8" s="34">
        <f>4790*0.6</f>
        <v>2874</v>
      </c>
      <c r="K8" s="34">
        <f>13190*0.9</f>
        <v>11871</v>
      </c>
      <c r="L8" s="34">
        <v>12515</v>
      </c>
      <c r="M8" s="34">
        <f>7695*0.9</f>
        <v>6925.5</v>
      </c>
      <c r="N8" s="34">
        <f>15220*0.9</f>
        <v>13698</v>
      </c>
      <c r="O8" s="34">
        <f>9890*0.9</f>
        <v>8901</v>
      </c>
      <c r="P8" s="81"/>
      <c r="Q8" s="34">
        <f>28870*0.9</f>
        <v>25983</v>
      </c>
      <c r="R8" s="34">
        <f>31843*0.9</f>
        <v>28658.7</v>
      </c>
      <c r="S8" s="34">
        <f>15385*0.9</f>
        <v>13846.5</v>
      </c>
      <c r="T8" s="34">
        <f>4350*0.9</f>
        <v>3915</v>
      </c>
      <c r="U8" s="34">
        <f>6235*0.9</f>
        <v>5611.5</v>
      </c>
      <c r="V8" s="34">
        <f>12140*0.9</f>
        <v>10926</v>
      </c>
      <c r="W8" s="34">
        <f>4200*0.9</f>
        <v>3780</v>
      </c>
      <c r="X8" s="34">
        <f>8240*0.9</f>
        <v>7416</v>
      </c>
      <c r="Y8" s="34">
        <f>12815*0.9</f>
        <v>11533.5</v>
      </c>
      <c r="Z8" s="115">
        <f>(SUM(F8:Y8)/(COUNT(F8:Y8)))</f>
        <v>11551.968421052632</v>
      </c>
      <c r="AA8" s="103"/>
      <c r="AX8"/>
    </row>
    <row r="9" spans="2:50">
      <c r="B9" s="4" t="s">
        <v>3</v>
      </c>
      <c r="C9" s="21">
        <f>+C43/20</f>
        <v>19270</v>
      </c>
      <c r="D9" s="13"/>
      <c r="E9" s="40">
        <f>5312*1.64</f>
        <v>8711.68</v>
      </c>
      <c r="F9" s="35">
        <f>9328*1.64</f>
        <v>15297.919999999998</v>
      </c>
      <c r="G9" s="35">
        <f>11095*1.64</f>
        <v>18195.8</v>
      </c>
      <c r="H9" s="35">
        <f>3327*1.64</f>
        <v>5456.28</v>
      </c>
      <c r="I9" s="35">
        <f>14360*1.64</f>
        <v>23550.399999999998</v>
      </c>
      <c r="J9" s="35">
        <f>14322*1.64</f>
        <v>23488.079999999998</v>
      </c>
      <c r="K9" s="80">
        <f>6859*1.64</f>
        <v>11248.76</v>
      </c>
      <c r="L9" s="35">
        <f>10076*1.64</f>
        <v>16524.64</v>
      </c>
      <c r="M9" s="35">
        <f>11296*1.64</f>
        <v>18525.439999999999</v>
      </c>
      <c r="N9" s="35">
        <f>19675*1.64</f>
        <v>32266.999999999996</v>
      </c>
      <c r="O9" s="35">
        <f>14893*1.64</f>
        <v>24424.519999999997</v>
      </c>
      <c r="P9" s="35">
        <f>10415*1.64</f>
        <v>17080.599999999999</v>
      </c>
      <c r="Q9" s="35">
        <f>7163*1.64</f>
        <v>11747.32</v>
      </c>
      <c r="R9" s="35">
        <f>12774*1.64</f>
        <v>20949.359999999997</v>
      </c>
      <c r="S9" s="35">
        <f>7819*1.64</f>
        <v>12823.16</v>
      </c>
      <c r="T9" s="35">
        <f>13331*1.64</f>
        <v>21862.84</v>
      </c>
      <c r="U9" s="35">
        <f>7447*1.64</f>
        <v>12213.08</v>
      </c>
      <c r="V9" s="35">
        <f>11391*1.64</f>
        <v>18681.239999999998</v>
      </c>
      <c r="W9" s="35">
        <f>7729*1.64</f>
        <v>12675.56</v>
      </c>
      <c r="X9" s="35">
        <f>14759*1.64</f>
        <v>24204.76</v>
      </c>
      <c r="Y9" s="35">
        <f>16263*1.64</f>
        <v>26671.32</v>
      </c>
      <c r="Z9" s="94">
        <f>(SUM(F9:Y9)/(COUNT(F9:Y9)))</f>
        <v>18394.404000000002</v>
      </c>
      <c r="AA9" s="103"/>
      <c r="AX9"/>
    </row>
    <row r="10" spans="2:50" ht="15.75" thickBot="1">
      <c r="B10" s="14" t="s">
        <v>27</v>
      </c>
      <c r="C10" s="20">
        <f>SUM(C6:C9)</f>
        <v>65745</v>
      </c>
      <c r="D10" s="10"/>
      <c r="E10" s="11">
        <f t="shared" ref="E10:Y10" si="0">SUM(E6:E9)</f>
        <v>38509.279999999999</v>
      </c>
      <c r="F10" s="10">
        <f t="shared" si="0"/>
        <v>43769.42</v>
      </c>
      <c r="G10" s="10">
        <f t="shared" si="0"/>
        <v>40619.5</v>
      </c>
      <c r="H10" s="10">
        <f t="shared" si="0"/>
        <v>53795.68</v>
      </c>
      <c r="I10" s="10">
        <f t="shared" si="0"/>
        <v>72532.5</v>
      </c>
      <c r="J10" s="10">
        <f t="shared" si="0"/>
        <v>55831.08</v>
      </c>
      <c r="K10" s="10">
        <f t="shared" si="0"/>
        <v>54538.76</v>
      </c>
      <c r="L10" s="10">
        <f t="shared" si="0"/>
        <v>60239.94</v>
      </c>
      <c r="M10" s="10">
        <f t="shared" si="0"/>
        <v>39285.94</v>
      </c>
      <c r="N10" s="10">
        <f t="shared" si="0"/>
        <v>80971</v>
      </c>
      <c r="O10" s="10">
        <f t="shared" si="0"/>
        <v>54572.52</v>
      </c>
      <c r="P10" s="10">
        <f t="shared" si="0"/>
        <v>26160.6</v>
      </c>
      <c r="Q10" s="10">
        <f t="shared" si="0"/>
        <v>74744.320000000007</v>
      </c>
      <c r="R10" s="10">
        <f t="shared" si="0"/>
        <v>78457.06</v>
      </c>
      <c r="S10" s="10">
        <f t="shared" si="0"/>
        <v>45245.66</v>
      </c>
      <c r="T10" s="10">
        <f t="shared" si="0"/>
        <v>66332.84</v>
      </c>
      <c r="U10" s="10">
        <f t="shared" si="0"/>
        <v>42494.58</v>
      </c>
      <c r="V10" s="10">
        <f t="shared" si="0"/>
        <v>69884.239999999991</v>
      </c>
      <c r="W10" s="10">
        <f t="shared" si="0"/>
        <v>55530.559999999998</v>
      </c>
      <c r="X10" s="10">
        <f t="shared" si="0"/>
        <v>77152.759999999995</v>
      </c>
      <c r="Y10" s="10">
        <f t="shared" si="0"/>
        <v>79543.820000000007</v>
      </c>
      <c r="Z10" s="67"/>
      <c r="AA10" s="103"/>
      <c r="AX10"/>
    </row>
    <row r="11" spans="2:50" s="1" customFormat="1" ht="13.5" thickBot="1">
      <c r="B11" s="14"/>
      <c r="C11" s="20"/>
      <c r="D11" s="12"/>
      <c r="E11" s="41"/>
      <c r="F11" s="12"/>
      <c r="G11" s="12"/>
      <c r="H11" s="12"/>
      <c r="I11" s="12"/>
      <c r="J11" s="7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Y11" s="43" t="s">
        <v>36</v>
      </c>
      <c r="Z11" s="58">
        <f>(SUM(F10:Y10)/(COUNT(F10:Y10)))</f>
        <v>58585.139000000003</v>
      </c>
      <c r="AA11" s="104"/>
    </row>
    <row r="12" spans="2:50" s="1" customFormat="1" ht="12.75">
      <c r="B12" s="14"/>
      <c r="C12" s="14"/>
      <c r="D12" s="14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4"/>
      <c r="AA12" s="104"/>
    </row>
    <row r="13" spans="2:50" s="1" customFormat="1" ht="12.75">
      <c r="B13" s="22" t="s">
        <v>29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04"/>
      <c r="AA13" s="104"/>
    </row>
    <row r="14" spans="2:50" s="1" customFormat="1" ht="12.75">
      <c r="B14" s="23"/>
      <c r="C14" s="23"/>
      <c r="D14" s="23"/>
      <c r="E14" s="23"/>
      <c r="F14" s="23" t="str">
        <f>+F5</f>
        <v>Day 1</v>
      </c>
      <c r="G14" s="23" t="str">
        <f t="shared" ref="G14:Y14" si="1">+G5</f>
        <v>Day 2</v>
      </c>
      <c r="H14" s="23" t="str">
        <f t="shared" si="1"/>
        <v>Day 3</v>
      </c>
      <c r="I14" s="23" t="str">
        <f t="shared" si="1"/>
        <v>Day 4</v>
      </c>
      <c r="J14" s="23" t="str">
        <f t="shared" si="1"/>
        <v>Day 5</v>
      </c>
      <c r="K14" s="23" t="str">
        <f t="shared" si="1"/>
        <v>Day 6</v>
      </c>
      <c r="L14" s="23" t="str">
        <f t="shared" si="1"/>
        <v>Day 7</v>
      </c>
      <c r="M14" s="23" t="str">
        <f t="shared" si="1"/>
        <v>Day 8</v>
      </c>
      <c r="N14" s="23" t="str">
        <f t="shared" si="1"/>
        <v>Day 9</v>
      </c>
      <c r="O14" s="23" t="str">
        <f t="shared" si="1"/>
        <v>Day 10</v>
      </c>
      <c r="P14" s="23" t="str">
        <f t="shared" si="1"/>
        <v>Day 11</v>
      </c>
      <c r="Q14" s="23" t="str">
        <f t="shared" si="1"/>
        <v>Day 12</v>
      </c>
      <c r="R14" s="23" t="str">
        <f t="shared" si="1"/>
        <v>Day 13</v>
      </c>
      <c r="S14" s="23" t="str">
        <f t="shared" si="1"/>
        <v>Day 14</v>
      </c>
      <c r="T14" s="23" t="str">
        <f t="shared" si="1"/>
        <v>Day 15</v>
      </c>
      <c r="U14" s="23" t="str">
        <f t="shared" si="1"/>
        <v>Day 16</v>
      </c>
      <c r="V14" s="23" t="str">
        <f t="shared" si="1"/>
        <v>Day 17</v>
      </c>
      <c r="W14" s="23" t="str">
        <f t="shared" si="1"/>
        <v>Day 18</v>
      </c>
      <c r="X14" s="23" t="str">
        <f t="shared" si="1"/>
        <v>Day 19</v>
      </c>
      <c r="Y14" s="23" t="str">
        <f t="shared" si="1"/>
        <v>Day 20</v>
      </c>
      <c r="Z14" s="104"/>
      <c r="AA14" s="104"/>
    </row>
    <row r="15" spans="2:50" s="1" customFormat="1" ht="12.75">
      <c r="B15" s="23" t="s">
        <v>0</v>
      </c>
      <c r="C15" s="25">
        <f>(C6-$C6)/$C6+1</f>
        <v>1</v>
      </c>
      <c r="D15" s="25"/>
      <c r="E15" s="25"/>
      <c r="F15" s="25">
        <f t="shared" ref="F15:Y19" si="2">(F6-$C6)/$C6+1</f>
        <v>1.1016533333333334</v>
      </c>
      <c r="G15" s="25">
        <f t="shared" si="2"/>
        <v>0.5328533333333334</v>
      </c>
      <c r="H15" s="25">
        <f t="shared" si="2"/>
        <v>1.3926933333333333</v>
      </c>
      <c r="I15" s="25">
        <f t="shared" si="2"/>
        <v>0.83621333333333336</v>
      </c>
      <c r="J15" s="25">
        <f t="shared" si="2"/>
        <v>0.97781333333333331</v>
      </c>
      <c r="K15" s="25">
        <f t="shared" si="2"/>
        <v>0.86661333333333335</v>
      </c>
      <c r="L15" s="25">
        <f t="shared" si="2"/>
        <v>0.91776000000000002</v>
      </c>
      <c r="M15" s="25">
        <f t="shared" si="2"/>
        <v>0.5941333333333334</v>
      </c>
      <c r="N15" s="25">
        <f t="shared" si="2"/>
        <v>1.6112533333333334</v>
      </c>
      <c r="O15" s="25">
        <f t="shared" si="2"/>
        <v>0.87744</v>
      </c>
      <c r="P15" s="25">
        <f t="shared" si="2"/>
        <v>0.48426666666666662</v>
      </c>
      <c r="Q15" s="25">
        <f t="shared" si="2"/>
        <v>1.65408</v>
      </c>
      <c r="R15" s="25">
        <f t="shared" si="2"/>
        <v>1.3519466666666666</v>
      </c>
      <c r="S15" s="25">
        <f t="shared" si="2"/>
        <v>0.77498666666666671</v>
      </c>
      <c r="T15" s="25">
        <f t="shared" si="2"/>
        <v>1.6592</v>
      </c>
      <c r="U15" s="25">
        <f t="shared" si="2"/>
        <v>1.1557333333333333</v>
      </c>
      <c r="V15" s="25">
        <f t="shared" si="2"/>
        <v>1.79104</v>
      </c>
      <c r="W15" s="25">
        <f t="shared" si="2"/>
        <v>1.7165333333333335</v>
      </c>
      <c r="X15" s="25">
        <f t="shared" si="2"/>
        <v>1.5307733333333333</v>
      </c>
      <c r="Y15" s="25">
        <f t="shared" si="2"/>
        <v>1.2671466666666666</v>
      </c>
      <c r="Z15" s="104"/>
      <c r="AA15" s="104"/>
    </row>
    <row r="16" spans="2:50" s="1" customFormat="1" ht="12.75">
      <c r="B16" s="23" t="s">
        <v>1</v>
      </c>
      <c r="C16" s="25">
        <f>(C7-$C7)/$C7+1</f>
        <v>1</v>
      </c>
      <c r="D16" s="25"/>
      <c r="E16" s="25"/>
      <c r="F16" s="25">
        <f t="shared" si="2"/>
        <v>0.33169230769230773</v>
      </c>
      <c r="G16" s="25">
        <f t="shared" si="2"/>
        <v>0.25815384615384618</v>
      </c>
      <c r="H16" s="25">
        <f t="shared" si="2"/>
        <v>0</v>
      </c>
      <c r="I16" s="25">
        <f t="shared" si="2"/>
        <v>0.93292307692307697</v>
      </c>
      <c r="J16" s="25">
        <f t="shared" si="2"/>
        <v>0.68523076923076931</v>
      </c>
      <c r="K16" s="25">
        <f t="shared" si="2"/>
        <v>0.93353846153846154</v>
      </c>
      <c r="L16" s="25">
        <f t="shared" si="2"/>
        <v>0.86106461538461543</v>
      </c>
      <c r="M16" s="25">
        <f t="shared" si="2"/>
        <v>0.16584615384615387</v>
      </c>
      <c r="N16" s="25">
        <f t="shared" si="2"/>
        <v>0.29507692307692313</v>
      </c>
      <c r="O16" s="25">
        <f t="shared" si="2"/>
        <v>0.29507692307692313</v>
      </c>
      <c r="P16" s="25">
        <f t="shared" si="2"/>
        <v>0</v>
      </c>
      <c r="Q16" s="25">
        <f t="shared" si="2"/>
        <v>0.36923076923076925</v>
      </c>
      <c r="R16" s="25">
        <f t="shared" si="2"/>
        <v>0.2153846153846154</v>
      </c>
      <c r="S16" s="25">
        <f t="shared" si="2"/>
        <v>0.24892307692307691</v>
      </c>
      <c r="T16" s="25">
        <f t="shared" si="2"/>
        <v>0.58123076923076922</v>
      </c>
      <c r="U16" s="25">
        <f t="shared" si="2"/>
        <v>0.18461538461538463</v>
      </c>
      <c r="V16" s="25">
        <f t="shared" si="2"/>
        <v>0.41200000000000003</v>
      </c>
      <c r="W16" s="25">
        <f t="shared" si="2"/>
        <v>0.42400000000000004</v>
      </c>
      <c r="X16" s="25">
        <f t="shared" si="2"/>
        <v>1.0356923076923077</v>
      </c>
      <c r="Y16" s="25">
        <f t="shared" si="2"/>
        <v>1.0818461538461539</v>
      </c>
      <c r="Z16" s="104"/>
      <c r="AA16" s="104"/>
    </row>
    <row r="17" spans="2:50" s="1" customFormat="1" ht="12.75">
      <c r="B17" s="23" t="s">
        <v>2</v>
      </c>
      <c r="C17" s="25">
        <f>(C8-$C8)/$C8+1</f>
        <v>1</v>
      </c>
      <c r="D17" s="25"/>
      <c r="E17" s="25"/>
      <c r="F17" s="25">
        <f t="shared" si="2"/>
        <v>0.21137254901960789</v>
      </c>
      <c r="G17" s="25">
        <f t="shared" si="2"/>
        <v>0.71788235294117653</v>
      </c>
      <c r="H17" s="25">
        <f t="shared" si="2"/>
        <v>1.9369411764705884</v>
      </c>
      <c r="I17" s="25">
        <f t="shared" si="2"/>
        <v>1.5810980392156866</v>
      </c>
      <c r="J17" s="25">
        <f t="shared" si="2"/>
        <v>0.25045751633986924</v>
      </c>
      <c r="K17" s="25">
        <f t="shared" si="2"/>
        <v>1.0345098039215685</v>
      </c>
      <c r="L17" s="25">
        <f t="shared" si="2"/>
        <v>1.0906318082788671</v>
      </c>
      <c r="M17" s="25">
        <f t="shared" si="2"/>
        <v>0.60352941176470587</v>
      </c>
      <c r="N17" s="25">
        <f t="shared" si="2"/>
        <v>1.1937254901960785</v>
      </c>
      <c r="O17" s="25">
        <f t="shared" si="2"/>
        <v>0.77568627450980387</v>
      </c>
      <c r="P17" s="25">
        <f t="shared" si="2"/>
        <v>0</v>
      </c>
      <c r="Q17" s="25">
        <f t="shared" si="2"/>
        <v>2.2643137254901964</v>
      </c>
      <c r="R17" s="25">
        <f t="shared" si="2"/>
        <v>2.4974901960784317</v>
      </c>
      <c r="S17" s="25">
        <f t="shared" si="2"/>
        <v>1.2066666666666666</v>
      </c>
      <c r="T17" s="25">
        <f t="shared" si="2"/>
        <v>0.3411764705882353</v>
      </c>
      <c r="U17" s="25">
        <f t="shared" si="2"/>
        <v>0.48901960784313725</v>
      </c>
      <c r="V17" s="25">
        <f t="shared" si="2"/>
        <v>0.95215686274509803</v>
      </c>
      <c r="W17" s="25">
        <f t="shared" si="2"/>
        <v>0.3294117647058824</v>
      </c>
      <c r="X17" s="25">
        <f t="shared" si="2"/>
        <v>0.64627450980392154</v>
      </c>
      <c r="Y17" s="25">
        <f t="shared" si="2"/>
        <v>1.0050980392156863</v>
      </c>
      <c r="Z17" s="104"/>
      <c r="AA17" s="104"/>
    </row>
    <row r="18" spans="2:50" s="1" customFormat="1" ht="12.75">
      <c r="B18" s="23" t="s">
        <v>3</v>
      </c>
      <c r="C18" s="27">
        <f>(C9-$C9)/$C9+1</f>
        <v>1</v>
      </c>
      <c r="D18" s="27"/>
      <c r="E18" s="27"/>
      <c r="F18" s="27">
        <f t="shared" si="2"/>
        <v>0.79387234042553179</v>
      </c>
      <c r="G18" s="27">
        <f t="shared" si="2"/>
        <v>0.94425531914893612</v>
      </c>
      <c r="H18" s="27">
        <f t="shared" si="2"/>
        <v>0.28314893617021275</v>
      </c>
      <c r="I18" s="27">
        <f t="shared" si="2"/>
        <v>1.2221276595744679</v>
      </c>
      <c r="J18" s="27">
        <f t="shared" si="2"/>
        <v>1.2188936170212765</v>
      </c>
      <c r="K18" s="27">
        <f t="shared" si="2"/>
        <v>0.58374468085106379</v>
      </c>
      <c r="L18" s="27">
        <f t="shared" si="2"/>
        <v>0.85753191489361702</v>
      </c>
      <c r="M18" s="27">
        <f t="shared" si="2"/>
        <v>0.96136170212765948</v>
      </c>
      <c r="N18" s="27">
        <f t="shared" si="2"/>
        <v>1.6744680851063829</v>
      </c>
      <c r="O18" s="27">
        <f t="shared" si="2"/>
        <v>1.2674893617021274</v>
      </c>
      <c r="P18" s="27">
        <f t="shared" si="2"/>
        <v>0.88638297872340421</v>
      </c>
      <c r="Q18" s="27">
        <f t="shared" si="2"/>
        <v>0.60961702127659567</v>
      </c>
      <c r="R18" s="27">
        <f t="shared" si="2"/>
        <v>1.0871489361702127</v>
      </c>
      <c r="S18" s="27">
        <f t="shared" si="2"/>
        <v>0.66544680851063831</v>
      </c>
      <c r="T18" s="27">
        <f t="shared" si="2"/>
        <v>1.1345531914893616</v>
      </c>
      <c r="U18" s="27">
        <f t="shared" si="2"/>
        <v>0.63378723404255322</v>
      </c>
      <c r="V18" s="27">
        <f t="shared" si="2"/>
        <v>0.96944680851063825</v>
      </c>
      <c r="W18" s="27">
        <f t="shared" si="2"/>
        <v>0.65778723404255324</v>
      </c>
      <c r="X18" s="27">
        <f t="shared" si="2"/>
        <v>1.2560851063829785</v>
      </c>
      <c r="Y18" s="27">
        <f t="shared" si="2"/>
        <v>1.3840851063829787</v>
      </c>
      <c r="Z18" s="104"/>
      <c r="AA18" s="104"/>
    </row>
    <row r="19" spans="2:50" s="1" customFormat="1" ht="12.75">
      <c r="B19" s="29" t="s">
        <v>27</v>
      </c>
      <c r="C19" s="25">
        <f>(C10-$C10)/$C10+1</f>
        <v>1</v>
      </c>
      <c r="D19" s="25"/>
      <c r="E19" s="25"/>
      <c r="F19" s="25">
        <f>(F10-$C10)/$C10+1</f>
        <v>0.66574522777397516</v>
      </c>
      <c r="G19" s="25">
        <f t="shared" si="2"/>
        <v>0.61783405582173545</v>
      </c>
      <c r="H19" s="25">
        <f t="shared" si="2"/>
        <v>0.8182474712905925</v>
      </c>
      <c r="I19" s="25">
        <f t="shared" si="2"/>
        <v>1.1032397900981064</v>
      </c>
      <c r="J19" s="25">
        <f>(J10-$C10)/$C10+1</f>
        <v>0.84920647958019624</v>
      </c>
      <c r="K19" s="25">
        <f>(K10-$C10)/$C10+1</f>
        <v>0.82954992775115977</v>
      </c>
      <c r="L19" s="25">
        <f>(L10-$C10)/$C10+1</f>
        <v>0.91626648414328093</v>
      </c>
      <c r="M19" s="25">
        <f t="shared" si="2"/>
        <v>0.5975502319568029</v>
      </c>
      <c r="N19" s="25">
        <f t="shared" si="2"/>
        <v>1.2315917560270744</v>
      </c>
      <c r="O19" s="25">
        <f t="shared" si="2"/>
        <v>0.83006342687656853</v>
      </c>
      <c r="P19" s="25">
        <f t="shared" si="2"/>
        <v>0.3979101072324891</v>
      </c>
      <c r="Q19" s="25">
        <f t="shared" si="2"/>
        <v>1.1368821963647426</v>
      </c>
      <c r="R19" s="25">
        <f t="shared" si="2"/>
        <v>1.1933540193170582</v>
      </c>
      <c r="S19" s="25">
        <f>(S10-$C10)/$C10+1</f>
        <v>0.6881992546961746</v>
      </c>
      <c r="T19" s="25">
        <f>(T10-$C10)/$C10+1</f>
        <v>1.0089412122594874</v>
      </c>
      <c r="U19" s="25">
        <f>(U10-$C10)/$C10+1</f>
        <v>0.64635455167693356</v>
      </c>
      <c r="V19" s="25">
        <f>(V10-$C10)/$C10+1</f>
        <v>1.0629590082896037</v>
      </c>
      <c r="W19" s="25">
        <f>(W10-$C10)/$C10+1</f>
        <v>0.84463548558825763</v>
      </c>
      <c r="X19" s="25">
        <f t="shared" si="2"/>
        <v>1.1735152483078561</v>
      </c>
      <c r="Y19" s="25">
        <f t="shared" si="2"/>
        <v>1.2098839455471899</v>
      </c>
      <c r="Z19" s="104"/>
      <c r="AA19" s="104"/>
    </row>
    <row r="20" spans="2:5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03"/>
      <c r="AA20" s="103"/>
      <c r="AX20"/>
    </row>
    <row r="21" spans="2:50">
      <c r="B21" s="9" t="s">
        <v>33</v>
      </c>
      <c r="C21" s="4"/>
      <c r="D21" s="4"/>
      <c r="E21" s="4"/>
      <c r="F21" s="49">
        <f>+F1/$Y$1</f>
        <v>0.05</v>
      </c>
      <c r="G21" s="49">
        <f t="shared" ref="G21:Y21" si="3">+G1/$Y$1</f>
        <v>0.1</v>
      </c>
      <c r="H21" s="49">
        <f t="shared" si="3"/>
        <v>0.15</v>
      </c>
      <c r="I21" s="49">
        <f t="shared" si="3"/>
        <v>0.2</v>
      </c>
      <c r="J21" s="49">
        <f t="shared" si="3"/>
        <v>0.25</v>
      </c>
      <c r="K21" s="49">
        <f t="shared" si="3"/>
        <v>0.3</v>
      </c>
      <c r="L21" s="49">
        <f t="shared" si="3"/>
        <v>0.35</v>
      </c>
      <c r="M21" s="49">
        <f t="shared" si="3"/>
        <v>0.4</v>
      </c>
      <c r="N21" s="49">
        <f t="shared" si="3"/>
        <v>0.45</v>
      </c>
      <c r="O21" s="49">
        <f t="shared" si="3"/>
        <v>0.5</v>
      </c>
      <c r="P21" s="49">
        <f t="shared" si="3"/>
        <v>0.55000000000000004</v>
      </c>
      <c r="Q21" s="49">
        <f t="shared" si="3"/>
        <v>0.6</v>
      </c>
      <c r="R21" s="49">
        <f t="shared" si="3"/>
        <v>0.65</v>
      </c>
      <c r="S21" s="49">
        <f t="shared" si="3"/>
        <v>0.7</v>
      </c>
      <c r="T21" s="49">
        <f t="shared" si="3"/>
        <v>0.75</v>
      </c>
      <c r="U21" s="49">
        <f t="shared" si="3"/>
        <v>0.8</v>
      </c>
      <c r="V21" s="49">
        <f t="shared" si="3"/>
        <v>0.85</v>
      </c>
      <c r="W21" s="49">
        <f t="shared" si="3"/>
        <v>0.9</v>
      </c>
      <c r="X21" s="49">
        <f t="shared" si="3"/>
        <v>0.95</v>
      </c>
      <c r="Y21" s="49">
        <f t="shared" si="3"/>
        <v>1</v>
      </c>
      <c r="Z21" s="105" t="s">
        <v>39</v>
      </c>
      <c r="AA21" s="106" t="s">
        <v>37</v>
      </c>
      <c r="AX21"/>
    </row>
    <row r="22" spans="2:50">
      <c r="B22" s="4"/>
      <c r="C22" s="4"/>
      <c r="D22" s="4"/>
      <c r="E22" s="4"/>
      <c r="F22" s="4" t="str">
        <f t="shared" ref="F22:Y22" si="4">+F14</f>
        <v>Day 1</v>
      </c>
      <c r="G22" s="4" t="str">
        <f t="shared" si="4"/>
        <v>Day 2</v>
      </c>
      <c r="H22" s="4" t="str">
        <f t="shared" si="4"/>
        <v>Day 3</v>
      </c>
      <c r="I22" s="4" t="str">
        <f t="shared" si="4"/>
        <v>Day 4</v>
      </c>
      <c r="J22" s="4" t="str">
        <f t="shared" si="4"/>
        <v>Day 5</v>
      </c>
      <c r="K22" s="4" t="str">
        <f t="shared" si="4"/>
        <v>Day 6</v>
      </c>
      <c r="L22" s="4" t="str">
        <f t="shared" si="4"/>
        <v>Day 7</v>
      </c>
      <c r="M22" s="4" t="str">
        <f t="shared" si="4"/>
        <v>Day 8</v>
      </c>
      <c r="N22" s="4" t="str">
        <f t="shared" si="4"/>
        <v>Day 9</v>
      </c>
      <c r="O22" s="4" t="str">
        <f t="shared" si="4"/>
        <v>Day 10</v>
      </c>
      <c r="P22" s="4" t="str">
        <f t="shared" si="4"/>
        <v>Day 11</v>
      </c>
      <c r="Q22" s="4" t="str">
        <f t="shared" si="4"/>
        <v>Day 12</v>
      </c>
      <c r="R22" s="4" t="str">
        <f t="shared" si="4"/>
        <v>Day 13</v>
      </c>
      <c r="S22" s="4" t="str">
        <f t="shared" si="4"/>
        <v>Day 14</v>
      </c>
      <c r="T22" s="4" t="str">
        <f t="shared" si="4"/>
        <v>Day 15</v>
      </c>
      <c r="U22" s="4" t="str">
        <f t="shared" si="4"/>
        <v>Day 16</v>
      </c>
      <c r="V22" s="4" t="str">
        <f t="shared" si="4"/>
        <v>Day 17</v>
      </c>
      <c r="W22" s="4" t="str">
        <f t="shared" si="4"/>
        <v>Day 18</v>
      </c>
      <c r="X22" s="4" t="str">
        <f t="shared" si="4"/>
        <v>Day 19</v>
      </c>
      <c r="Y22" s="4" t="str">
        <f t="shared" si="4"/>
        <v>Day 20</v>
      </c>
      <c r="Z22" s="107" t="s">
        <v>40</v>
      </c>
      <c r="AA22" s="108" t="s">
        <v>38</v>
      </c>
      <c r="AX22"/>
    </row>
    <row r="23" spans="2:50">
      <c r="B23" s="4" t="str">
        <f>+B15</f>
        <v>San Diego</v>
      </c>
      <c r="C23" s="4"/>
      <c r="D23" s="4"/>
      <c r="E23" s="23"/>
      <c r="F23" s="23">
        <v>162</v>
      </c>
      <c r="G23" s="34">
        <v>10153</v>
      </c>
      <c r="H23" s="34">
        <v>36266</v>
      </c>
      <c r="I23" s="23">
        <v>51945</v>
      </c>
      <c r="J23" s="23">
        <v>70279</v>
      </c>
      <c r="K23" s="23">
        <v>83281</v>
      </c>
      <c r="L23" s="23">
        <v>97704</v>
      </c>
      <c r="M23" s="23">
        <v>108844</v>
      </c>
      <c r="N23" s="23">
        <v>143155</v>
      </c>
      <c r="O23" s="23">
        <v>159697</v>
      </c>
      <c r="P23" s="23">
        <v>168777</v>
      </c>
      <c r="Q23" s="23">
        <v>199791</v>
      </c>
      <c r="R23" s="23">
        <v>225140</v>
      </c>
      <c r="S23" s="23">
        <v>239671</v>
      </c>
      <c r="T23" s="23">
        <v>270781</v>
      </c>
      <c r="U23" s="23">
        <v>289666</v>
      </c>
      <c r="V23" s="23">
        <v>323248</v>
      </c>
      <c r="W23" s="23">
        <v>355433</v>
      </c>
      <c r="X23" s="99">
        <v>378654</v>
      </c>
      <c r="Y23" s="99">
        <v>393632</v>
      </c>
      <c r="Z23" s="109">
        <f>+Y23/C40</f>
        <v>1.0496853333333334</v>
      </c>
      <c r="AA23" s="97">
        <f>+Z23-Y$21</f>
        <v>4.9685333333333359E-2</v>
      </c>
      <c r="AX23"/>
    </row>
    <row r="24" spans="2:50">
      <c r="B24" s="4" t="str">
        <f>+B16</f>
        <v>Boston</v>
      </c>
      <c r="C24" s="4"/>
      <c r="D24" s="4"/>
      <c r="E24" s="23"/>
      <c r="F24" s="34">
        <v>12385</v>
      </c>
      <c r="G24" s="34">
        <v>16580</v>
      </c>
      <c r="H24" s="34">
        <v>16580</v>
      </c>
      <c r="I24" s="34">
        <v>31740</v>
      </c>
      <c r="J24" s="34">
        <v>42875</v>
      </c>
      <c r="K24" s="34">
        <v>58045</v>
      </c>
      <c r="L24" s="34">
        <v>70560</v>
      </c>
      <c r="M24" s="34">
        <v>73255</v>
      </c>
      <c r="N24" s="34">
        <v>78050</v>
      </c>
      <c r="O24" s="34">
        <v>82845</v>
      </c>
      <c r="P24" s="34">
        <v>82845</v>
      </c>
      <c r="Q24" s="23">
        <v>88845</v>
      </c>
      <c r="R24" s="23">
        <v>86600</v>
      </c>
      <c r="S24" s="23">
        <v>90645</v>
      </c>
      <c r="T24" s="23">
        <v>95840</v>
      </c>
      <c r="U24" s="23">
        <v>103090</v>
      </c>
      <c r="V24" s="121">
        <v>108785</v>
      </c>
      <c r="W24" s="23">
        <v>116675</v>
      </c>
      <c r="X24" s="23">
        <v>133505</v>
      </c>
      <c r="Y24" s="23">
        <v>140600</v>
      </c>
      <c r="Z24" s="109">
        <f>+Y24/C41</f>
        <v>0.43261538461538462</v>
      </c>
      <c r="AA24" s="79">
        <f>+Z24-Y$21</f>
        <v>-0.56738461538461538</v>
      </c>
      <c r="AX24"/>
    </row>
    <row r="25" spans="2:50" s="4" customFormat="1" ht="12.75">
      <c r="B25" s="4" t="str">
        <f>+B17</f>
        <v>Canada</v>
      </c>
      <c r="E25" s="23"/>
      <c r="F25" s="34">
        <f>44644*0.9</f>
        <v>40179.599999999999</v>
      </c>
      <c r="G25" s="34">
        <f>53797*0.9</f>
        <v>48417.3</v>
      </c>
      <c r="H25" s="34">
        <f>78493*0.9</f>
        <v>70643.7</v>
      </c>
      <c r="I25" s="34">
        <f>98652*0.9</f>
        <v>88786.8</v>
      </c>
      <c r="J25" s="34">
        <f>105537*0.9</f>
        <v>94983.3</v>
      </c>
      <c r="K25" s="34">
        <f>116632*0.9</f>
        <v>104968.8</v>
      </c>
      <c r="L25" s="34">
        <f>132179*0.9</f>
        <v>118961.1</v>
      </c>
      <c r="M25" s="34">
        <f>139874*0.9</f>
        <v>125886.6</v>
      </c>
      <c r="N25" s="34">
        <f>155094*0.9</f>
        <v>139584.6</v>
      </c>
      <c r="O25" s="34">
        <f>164894*0.9</f>
        <v>148404.6</v>
      </c>
      <c r="P25" s="34">
        <f>164894*0.9</f>
        <v>148404.6</v>
      </c>
      <c r="Q25" s="34">
        <f>191019*0.9</f>
        <v>171917.1</v>
      </c>
      <c r="R25" s="34">
        <f>215867*0.9</f>
        <v>194280.30000000002</v>
      </c>
      <c r="S25" s="34">
        <f>231252*0.9</f>
        <v>208126.80000000002</v>
      </c>
      <c r="T25" s="34">
        <f>234252*0.9</f>
        <v>210826.80000000002</v>
      </c>
      <c r="U25" s="34">
        <f>241837*0.9</f>
        <v>217653.30000000002</v>
      </c>
      <c r="V25" s="121">
        <f>253977*0.9</f>
        <v>228579.30000000002</v>
      </c>
      <c r="W25" s="120">
        <f>258177*0.9</f>
        <v>232359.30000000002</v>
      </c>
      <c r="X25" s="120">
        <f>266417*0.9</f>
        <v>239775.30000000002</v>
      </c>
      <c r="Y25" s="120">
        <f>284022*0.9</f>
        <v>255619.80000000002</v>
      </c>
      <c r="Z25" s="109">
        <f>Y25/C42</f>
        <v>1.1138117647058825</v>
      </c>
      <c r="AA25" s="113">
        <f>+Z25-Y$21</f>
        <v>0.1138117647058825</v>
      </c>
    </row>
    <row r="26" spans="2:50">
      <c r="B26" s="5" t="str">
        <f>+B18</f>
        <v>Norwich</v>
      </c>
      <c r="C26" s="19"/>
      <c r="D26" s="19"/>
      <c r="E26" s="35"/>
      <c r="F26" s="35">
        <f>14639*1.64</f>
        <v>24007.96</v>
      </c>
      <c r="G26" s="35">
        <f>25734*1.64</f>
        <v>42203.759999999995</v>
      </c>
      <c r="H26" s="35">
        <f>31524*1.64</f>
        <v>51699.359999999993</v>
      </c>
      <c r="I26" s="35">
        <f>45885*1.64</f>
        <v>75251.399999999994</v>
      </c>
      <c r="J26" s="35">
        <f>60207*1.64</f>
        <v>98739.48</v>
      </c>
      <c r="K26" s="35">
        <f>67066*1.64</f>
        <v>109988.23999999999</v>
      </c>
      <c r="L26" s="35">
        <f>72459*1.64</f>
        <v>118832.76</v>
      </c>
      <c r="M26" s="35">
        <f>84629*1.64</f>
        <v>138791.56</v>
      </c>
      <c r="N26" s="35">
        <f>105548*1.64</f>
        <v>173098.72</v>
      </c>
      <c r="O26" s="35">
        <f>119197*1.64</f>
        <v>195483.08</v>
      </c>
      <c r="P26" s="35">
        <f>129612*1.64</f>
        <v>212563.68</v>
      </c>
      <c r="Q26" s="35">
        <f>136775*1.64</f>
        <v>224311</v>
      </c>
      <c r="R26" s="35">
        <f>149547*1.64</f>
        <v>245257.08</v>
      </c>
      <c r="S26" s="35">
        <f>157331*1.64</f>
        <v>258022.84</v>
      </c>
      <c r="T26" s="35">
        <f>170711*1.64</f>
        <v>279966.03999999998</v>
      </c>
      <c r="U26" s="35">
        <f>177325*1.64</f>
        <v>290813</v>
      </c>
      <c r="V26" s="35">
        <f>186197*1.64</f>
        <v>305363.07999999996</v>
      </c>
      <c r="W26" s="35">
        <f>192347*1.64</f>
        <v>315449.07999999996</v>
      </c>
      <c r="X26" s="35">
        <f>201444*1.64</f>
        <v>330368.15999999997</v>
      </c>
      <c r="Y26" s="35">
        <f>207984*1.64</f>
        <v>341093.75999999995</v>
      </c>
      <c r="Z26" s="110">
        <f>+Y26/C43</f>
        <v>0.88503829787234034</v>
      </c>
      <c r="AA26" s="79">
        <f>+Z26-Y$21</f>
        <v>-0.11496170212765966</v>
      </c>
      <c r="AX26"/>
    </row>
    <row r="27" spans="2:50">
      <c r="B27" s="4" t="str">
        <f>+B19</f>
        <v>Group</v>
      </c>
      <c r="C27" s="4"/>
      <c r="D27" s="4"/>
      <c r="E27" s="4"/>
      <c r="F27" s="10">
        <f>SUM(F23:F26)</f>
        <v>76734.559999999998</v>
      </c>
      <c r="G27" s="10">
        <f t="shared" ref="G27:Y27" si="5">SUM(G23:G26)</f>
        <v>117354.06</v>
      </c>
      <c r="H27" s="10">
        <f t="shared" si="5"/>
        <v>175189.06</v>
      </c>
      <c r="I27" s="4">
        <f t="shared" si="5"/>
        <v>247723.19999999998</v>
      </c>
      <c r="J27" s="4">
        <f t="shared" si="5"/>
        <v>306876.77999999997</v>
      </c>
      <c r="K27" s="10">
        <f t="shared" si="5"/>
        <v>356283.04</v>
      </c>
      <c r="L27" s="10">
        <f t="shared" si="5"/>
        <v>406057.86</v>
      </c>
      <c r="M27" s="10">
        <f t="shared" si="5"/>
        <v>446777.16</v>
      </c>
      <c r="N27" s="10">
        <f t="shared" si="5"/>
        <v>533888.31999999995</v>
      </c>
      <c r="O27" s="4">
        <f>SUM(O23:O26)</f>
        <v>586429.67999999993</v>
      </c>
      <c r="P27" s="10">
        <f t="shared" si="5"/>
        <v>612590.28</v>
      </c>
      <c r="Q27" s="10">
        <f t="shared" si="5"/>
        <v>684864.1</v>
      </c>
      <c r="R27" s="10">
        <f t="shared" si="5"/>
        <v>751277.38</v>
      </c>
      <c r="S27" s="10">
        <f t="shared" si="5"/>
        <v>796465.64</v>
      </c>
      <c r="T27" s="4">
        <f t="shared" si="5"/>
        <v>857413.84000000008</v>
      </c>
      <c r="U27" s="10">
        <f t="shared" si="5"/>
        <v>901222.3</v>
      </c>
      <c r="V27" s="10">
        <f t="shared" si="5"/>
        <v>965975.38</v>
      </c>
      <c r="W27" s="10">
        <f t="shared" si="5"/>
        <v>1019916.38</v>
      </c>
      <c r="X27" s="10">
        <f t="shared" si="5"/>
        <v>1082302.46</v>
      </c>
      <c r="Y27" s="10">
        <f t="shared" si="5"/>
        <v>1130945.56</v>
      </c>
      <c r="Z27" s="111">
        <f>+Y27/C44</f>
        <v>0.86010005323598759</v>
      </c>
      <c r="AA27" s="84">
        <f>+Z27-Y$21</f>
        <v>-0.13989994676401241</v>
      </c>
      <c r="AX27"/>
    </row>
    <row r="28" spans="2:50" s="1" customFormat="1" ht="11.25">
      <c r="B28" s="1" t="s">
        <v>34</v>
      </c>
      <c r="E28" s="30"/>
      <c r="F28" s="30">
        <f t="shared" ref="F28:N28" si="6">+F27/$C$44</f>
        <v>5.8357715415620959E-2</v>
      </c>
      <c r="G28" s="30">
        <f t="shared" si="6"/>
        <v>8.9249418206707731E-2</v>
      </c>
      <c r="H28" s="30">
        <f t="shared" si="6"/>
        <v>0.13323375161609247</v>
      </c>
      <c r="I28" s="30">
        <f t="shared" si="6"/>
        <v>0.18839698836413415</v>
      </c>
      <c r="J28" s="30">
        <f t="shared" si="6"/>
        <v>0.23338412046543461</v>
      </c>
      <c r="K28" s="30">
        <f t="shared" si="6"/>
        <v>0.2709582781960605</v>
      </c>
      <c r="L28" s="30">
        <f t="shared" si="6"/>
        <v>0.30881273100616013</v>
      </c>
      <c r="M28" s="30">
        <f t="shared" si="6"/>
        <v>0.33978033310517908</v>
      </c>
      <c r="N28" s="30">
        <f t="shared" si="6"/>
        <v>0.40602959920906528</v>
      </c>
      <c r="O28" s="30">
        <f>+O27/$C$44</f>
        <v>0.44598804471822945</v>
      </c>
      <c r="P28" s="30">
        <f t="shared" ref="P28:Y28" si="7">+P27/$C$44</f>
        <v>0.46588355007985399</v>
      </c>
      <c r="Q28" s="30">
        <f t="shared" si="7"/>
        <v>0.5208488097954217</v>
      </c>
      <c r="R28" s="30">
        <f t="shared" si="7"/>
        <v>0.57135704616320637</v>
      </c>
      <c r="S28" s="30">
        <f t="shared" si="7"/>
        <v>0.60572335538824251</v>
      </c>
      <c r="T28" s="30">
        <f t="shared" si="7"/>
        <v>0.65207532131721047</v>
      </c>
      <c r="U28" s="30">
        <f t="shared" si="7"/>
        <v>0.68539227317666751</v>
      </c>
      <c r="V28" s="30">
        <f t="shared" si="7"/>
        <v>0.73463790402311968</v>
      </c>
      <c r="W28" s="30">
        <f t="shared" si="7"/>
        <v>0.77566079549775646</v>
      </c>
      <c r="X28" s="30">
        <f t="shared" si="7"/>
        <v>0.8231062894516693</v>
      </c>
      <c r="Y28" s="30">
        <f t="shared" si="7"/>
        <v>0.86010005323598759</v>
      </c>
    </row>
    <row r="29" spans="2:50" s="1" customFormat="1" ht="11.2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50">
      <c r="B30" s="9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X30"/>
    </row>
    <row r="31" spans="2:50">
      <c r="B31" s="4"/>
      <c r="C31" s="4"/>
      <c r="D31" s="4"/>
      <c r="E31" s="4"/>
      <c r="F31" s="4" t="str">
        <f>+F14</f>
        <v>Day 1</v>
      </c>
      <c r="G31" s="4" t="str">
        <f t="shared" ref="G31:Y31" si="8">+G14</f>
        <v>Day 2</v>
      </c>
      <c r="H31" s="4" t="str">
        <f t="shared" si="8"/>
        <v>Day 3</v>
      </c>
      <c r="I31" s="4" t="str">
        <f t="shared" si="8"/>
        <v>Day 4</v>
      </c>
      <c r="J31" s="4" t="str">
        <f t="shared" si="8"/>
        <v>Day 5</v>
      </c>
      <c r="K31" s="4" t="str">
        <f t="shared" si="8"/>
        <v>Day 6</v>
      </c>
      <c r="L31" s="4" t="str">
        <f t="shared" si="8"/>
        <v>Day 7</v>
      </c>
      <c r="M31" s="4" t="str">
        <f t="shared" si="8"/>
        <v>Day 8</v>
      </c>
      <c r="N31" s="4" t="str">
        <f t="shared" si="8"/>
        <v>Day 9</v>
      </c>
      <c r="O31" s="4" t="str">
        <f t="shared" si="8"/>
        <v>Day 10</v>
      </c>
      <c r="P31" s="4" t="str">
        <f t="shared" si="8"/>
        <v>Day 11</v>
      </c>
      <c r="Q31" s="4" t="str">
        <f t="shared" si="8"/>
        <v>Day 12</v>
      </c>
      <c r="R31" s="4" t="str">
        <f t="shared" si="8"/>
        <v>Day 13</v>
      </c>
      <c r="S31" s="4" t="str">
        <f t="shared" si="8"/>
        <v>Day 14</v>
      </c>
      <c r="T31" s="4" t="str">
        <f t="shared" si="8"/>
        <v>Day 15</v>
      </c>
      <c r="U31" s="4" t="str">
        <f t="shared" si="8"/>
        <v>Day 16</v>
      </c>
      <c r="V31" s="4" t="str">
        <f t="shared" si="8"/>
        <v>Day 17</v>
      </c>
      <c r="W31" s="4" t="str">
        <f t="shared" si="8"/>
        <v>Day 18</v>
      </c>
      <c r="X31" s="4" t="str">
        <f t="shared" si="8"/>
        <v>Day 19</v>
      </c>
      <c r="Y31" s="4" t="str">
        <f t="shared" si="8"/>
        <v>Day 20</v>
      </c>
      <c r="AX31"/>
    </row>
    <row r="32" spans="2:50">
      <c r="B32" s="4" t="s">
        <v>0</v>
      </c>
      <c r="C32" s="17"/>
      <c r="D32" s="17"/>
      <c r="E32" s="17"/>
      <c r="F32" s="17">
        <f t="shared" ref="F32:Y32" si="9">(F40/$C$40)</f>
        <v>8.6400000000000001E-3</v>
      </c>
      <c r="G32" s="17">
        <f t="shared" si="9"/>
        <v>0.27074666666666669</v>
      </c>
      <c r="H32" s="17">
        <f t="shared" si="9"/>
        <v>0.6447288888888888</v>
      </c>
      <c r="I32" s="17">
        <f t="shared" si="9"/>
        <v>0.69259999999999999</v>
      </c>
      <c r="J32" s="17">
        <f t="shared" si="9"/>
        <v>0.74964266666666668</v>
      </c>
      <c r="K32" s="17">
        <f t="shared" si="9"/>
        <v>0.74027555555555546</v>
      </c>
      <c r="L32" s="17">
        <f t="shared" si="9"/>
        <v>0.74441142857142861</v>
      </c>
      <c r="M32" s="17">
        <f t="shared" si="9"/>
        <v>0.72562666666666664</v>
      </c>
      <c r="N32" s="17">
        <f t="shared" si="9"/>
        <v>0.84832592592592604</v>
      </c>
      <c r="O32" s="17">
        <f t="shared" si="9"/>
        <v>0.85171733333333333</v>
      </c>
      <c r="P32" s="17">
        <f t="shared" si="9"/>
        <v>0.81831272727272719</v>
      </c>
      <c r="Q32" s="17">
        <f t="shared" si="9"/>
        <v>0.88795999999999997</v>
      </c>
      <c r="R32" s="17">
        <f t="shared" si="9"/>
        <v>0.923651282051282</v>
      </c>
      <c r="S32" s="17">
        <f t="shared" si="9"/>
        <v>0.91303238095238093</v>
      </c>
      <c r="T32" s="17">
        <f t="shared" si="9"/>
        <v>0.96277688888888879</v>
      </c>
      <c r="U32" s="17">
        <f t="shared" si="9"/>
        <v>0.96555333333333337</v>
      </c>
      <c r="V32" s="17">
        <f t="shared" si="9"/>
        <v>1.0141113725490198</v>
      </c>
      <c r="W32" s="17">
        <f t="shared" si="9"/>
        <v>1.0531348148148147</v>
      </c>
      <c r="X32" s="17">
        <f t="shared" si="9"/>
        <v>1.0628884210526317</v>
      </c>
      <c r="Y32" s="17">
        <f t="shared" si="9"/>
        <v>1.0496853333333334</v>
      </c>
      <c r="AX32"/>
    </row>
    <row r="33" spans="2:50">
      <c r="B33" s="4" t="s">
        <v>1</v>
      </c>
      <c r="C33" s="17"/>
      <c r="D33" s="17"/>
      <c r="E33" s="17"/>
      <c r="F33" s="17">
        <f t="shared" ref="F33:Y33" si="10">(F41/$C$41)</f>
        <v>0.76215384615384618</v>
      </c>
      <c r="G33" s="17">
        <f t="shared" si="10"/>
        <v>0.51015384615384618</v>
      </c>
      <c r="H33" s="17">
        <f t="shared" si="10"/>
        <v>0.34010256410256412</v>
      </c>
      <c r="I33" s="17">
        <f t="shared" si="10"/>
        <v>0.48830769230769233</v>
      </c>
      <c r="J33" s="17">
        <f t="shared" si="10"/>
        <v>0.52769230769230768</v>
      </c>
      <c r="K33" s="17">
        <f t="shared" si="10"/>
        <v>0.59533333333333327</v>
      </c>
      <c r="L33" s="17">
        <f t="shared" si="10"/>
        <v>0.62030769230769234</v>
      </c>
      <c r="M33" s="17">
        <f t="shared" si="10"/>
        <v>0.5635</v>
      </c>
      <c r="N33" s="17">
        <f t="shared" si="10"/>
        <v>0.53367521367521364</v>
      </c>
      <c r="O33" s="17">
        <f t="shared" si="10"/>
        <v>0.50981538461538467</v>
      </c>
      <c r="P33" s="17">
        <f t="shared" si="10"/>
        <v>0.4634685314685314</v>
      </c>
      <c r="Q33" s="17">
        <f t="shared" si="10"/>
        <v>0.45561538461538459</v>
      </c>
      <c r="R33" s="17">
        <f t="shared" si="10"/>
        <v>0.4099408284023669</v>
      </c>
      <c r="S33" s="17">
        <f t="shared" si="10"/>
        <v>0.39843956043956041</v>
      </c>
      <c r="T33" s="17">
        <f t="shared" si="10"/>
        <v>0.39318974358974357</v>
      </c>
      <c r="U33" s="17">
        <f t="shared" si="10"/>
        <v>0.39650000000000002</v>
      </c>
      <c r="V33" s="17">
        <f t="shared" si="10"/>
        <v>0.39379185520361992</v>
      </c>
      <c r="W33" s="17">
        <f t="shared" si="10"/>
        <v>0.3988888888888889</v>
      </c>
      <c r="X33" s="17">
        <f t="shared" si="10"/>
        <v>0.43240485829959519</v>
      </c>
      <c r="Y33" s="17">
        <f t="shared" si="10"/>
        <v>0.43261538461538462</v>
      </c>
      <c r="AX33"/>
    </row>
    <row r="34" spans="2:50">
      <c r="B34" s="4" t="s">
        <v>2</v>
      </c>
      <c r="C34" s="17"/>
      <c r="D34" s="17"/>
      <c r="E34" s="17"/>
      <c r="F34" s="17">
        <f t="shared" ref="F34:Y34" si="11">(F42/$C$42)</f>
        <v>3.5014901960784313</v>
      </c>
      <c r="G34" s="17">
        <f t="shared" si="11"/>
        <v>2.1096862745098037</v>
      </c>
      <c r="H34" s="17">
        <f t="shared" si="11"/>
        <v>2.0521045751633986</v>
      </c>
      <c r="I34" s="17">
        <f t="shared" si="11"/>
        <v>1.9343529411764706</v>
      </c>
      <c r="J34" s="17">
        <f t="shared" si="11"/>
        <v>1.6554823529411766</v>
      </c>
      <c r="K34" s="17">
        <f t="shared" si="11"/>
        <v>1.5246013071895426</v>
      </c>
      <c r="L34" s="17">
        <f t="shared" si="11"/>
        <v>1.4809971988795518</v>
      </c>
      <c r="M34" s="17">
        <f t="shared" si="11"/>
        <v>1.3713137254901961</v>
      </c>
      <c r="N34" s="17">
        <f t="shared" si="11"/>
        <v>1.3515816993464052</v>
      </c>
      <c r="O34" s="17">
        <f t="shared" si="11"/>
        <v>1.2932862745098039</v>
      </c>
      <c r="P34" s="17">
        <f t="shared" si="11"/>
        <v>1.1757147950089126</v>
      </c>
      <c r="Q34" s="17">
        <f t="shared" si="11"/>
        <v>1.2484901960784314</v>
      </c>
      <c r="R34" s="17">
        <f t="shared" si="11"/>
        <v>1.3023650075414781</v>
      </c>
      <c r="S34" s="17">
        <f t="shared" si="11"/>
        <v>1.2955294117647058</v>
      </c>
      <c r="T34" s="17">
        <f t="shared" si="11"/>
        <v>1.2248470588235296</v>
      </c>
      <c r="U34" s="17">
        <f t="shared" si="11"/>
        <v>1.1854754901960785</v>
      </c>
      <c r="V34" s="17">
        <f t="shared" si="11"/>
        <v>1.1717508650519033</v>
      </c>
      <c r="W34" s="17">
        <f t="shared" si="11"/>
        <v>1.1249542483660131</v>
      </c>
      <c r="X34" s="17">
        <f t="shared" si="11"/>
        <v>1.099760577915377</v>
      </c>
      <c r="Y34" s="17">
        <f t="shared" si="11"/>
        <v>1.1138117647058825</v>
      </c>
      <c r="AX34"/>
    </row>
    <row r="35" spans="2:50">
      <c r="B35" s="4" t="s">
        <v>3</v>
      </c>
      <c r="C35" s="18"/>
      <c r="D35" s="18"/>
      <c r="E35" s="18"/>
      <c r="F35" s="18">
        <f t="shared" ref="F35:Y35" si="12">(F43/$C$43)</f>
        <v>1.2458723404255319</v>
      </c>
      <c r="G35" s="18">
        <f t="shared" si="12"/>
        <v>1.0950638297872339</v>
      </c>
      <c r="H35" s="18">
        <f t="shared" si="12"/>
        <v>0.89429787234042546</v>
      </c>
      <c r="I35" s="18">
        <f t="shared" si="12"/>
        <v>0.97627659574468084</v>
      </c>
      <c r="J35" s="18">
        <f t="shared" si="12"/>
        <v>1.0248000000000002</v>
      </c>
      <c r="K35" s="18">
        <f t="shared" si="12"/>
        <v>0.95129078014184398</v>
      </c>
      <c r="L35" s="18">
        <f t="shared" si="12"/>
        <v>0.88096048632218837</v>
      </c>
      <c r="M35" s="18">
        <f t="shared" si="12"/>
        <v>0.90030851063829798</v>
      </c>
      <c r="N35" s="18">
        <f t="shared" si="12"/>
        <v>0.99808983451536648</v>
      </c>
      <c r="O35" s="18">
        <f t="shared" si="12"/>
        <v>1.0144425531914891</v>
      </c>
      <c r="P35" s="18">
        <f t="shared" si="12"/>
        <v>1.0028007736943907</v>
      </c>
      <c r="Q35" s="18">
        <f t="shared" si="12"/>
        <v>0.97003546099290772</v>
      </c>
      <c r="R35" s="18">
        <f t="shared" si="12"/>
        <v>0.97903109656301135</v>
      </c>
      <c r="S35" s="18">
        <f t="shared" si="12"/>
        <v>0.95641945288753794</v>
      </c>
      <c r="T35" s="18">
        <f t="shared" si="12"/>
        <v>0.96857304964538993</v>
      </c>
      <c r="U35" s="18">
        <f t="shared" si="12"/>
        <v>0.94321808510638294</v>
      </c>
      <c r="V35" s="18">
        <f t="shared" si="12"/>
        <v>0.93215018773466818</v>
      </c>
      <c r="W35" s="18">
        <f t="shared" si="12"/>
        <v>0.90944208037825058</v>
      </c>
      <c r="X35" s="18">
        <f t="shared" si="12"/>
        <v>0.90232474804031337</v>
      </c>
      <c r="Y35" s="18">
        <f t="shared" si="12"/>
        <v>0.88503829787234034</v>
      </c>
      <c r="AX35"/>
    </row>
    <row r="36" spans="2:50">
      <c r="B36" s="14" t="s">
        <v>27</v>
      </c>
      <c r="C36" s="17"/>
      <c r="D36" s="17"/>
      <c r="E36" s="17">
        <f t="shared" ref="E36:Y36" si="13">(E44/$C$44)</f>
        <v>0</v>
      </c>
      <c r="F36" s="17">
        <f t="shared" si="13"/>
        <v>1.1671543083124192</v>
      </c>
      <c r="G36" s="17">
        <f t="shared" si="13"/>
        <v>0.89249418206707742</v>
      </c>
      <c r="H36" s="17">
        <f t="shared" si="13"/>
        <v>0.88822501077394966</v>
      </c>
      <c r="I36" s="17">
        <f t="shared" si="13"/>
        <v>0.94198494182067072</v>
      </c>
      <c r="J36" s="17">
        <f t="shared" si="13"/>
        <v>0.93353648186173865</v>
      </c>
      <c r="K36" s="17">
        <f t="shared" si="13"/>
        <v>0.90319426065353514</v>
      </c>
      <c r="L36" s="17">
        <f t="shared" si="13"/>
        <v>0.88232208858902916</v>
      </c>
      <c r="M36" s="17">
        <f t="shared" si="13"/>
        <v>0.84945083276294764</v>
      </c>
      <c r="N36" s="17">
        <f t="shared" si="13"/>
        <v>0.90228799824236749</v>
      </c>
      <c r="O36" s="17">
        <f t="shared" si="13"/>
        <v>0.8919760894364589</v>
      </c>
      <c r="P36" s="17">
        <f t="shared" si="13"/>
        <v>0.84706100014518904</v>
      </c>
      <c r="Q36" s="17">
        <f t="shared" si="13"/>
        <v>0.86808134965903605</v>
      </c>
      <c r="R36" s="17">
        <f t="shared" si="13"/>
        <v>0.87901084025108656</v>
      </c>
      <c r="S36" s="17">
        <f t="shared" si="13"/>
        <v>0.86531907912606054</v>
      </c>
      <c r="T36" s="17">
        <f t="shared" si="13"/>
        <v>0.86943376175628062</v>
      </c>
      <c r="U36" s="17">
        <f t="shared" si="13"/>
        <v>0.85674034147083433</v>
      </c>
      <c r="V36" s="17">
        <f t="shared" si="13"/>
        <v>0.86427988708602321</v>
      </c>
      <c r="W36" s="17">
        <f t="shared" si="13"/>
        <v>0.86184532833084049</v>
      </c>
      <c r="X36" s="17">
        <f t="shared" si="13"/>
        <v>0.86642767310702029</v>
      </c>
      <c r="Y36" s="17">
        <f t="shared" si="13"/>
        <v>0.86010005323598759</v>
      </c>
      <c r="AX36"/>
    </row>
    <row r="37" spans="2:5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X37"/>
    </row>
    <row r="38" spans="2:50"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X38"/>
    </row>
    <row r="39" spans="2:50">
      <c r="B39" s="4"/>
      <c r="C39" s="4"/>
      <c r="D39" s="4"/>
      <c r="E39" s="4"/>
      <c r="F39" s="4" t="str">
        <f>+F31</f>
        <v>Day 1</v>
      </c>
      <c r="G39" s="4" t="str">
        <f t="shared" ref="G39:Y39" si="14">+G31</f>
        <v>Day 2</v>
      </c>
      <c r="H39" s="4" t="str">
        <f t="shared" si="14"/>
        <v>Day 3</v>
      </c>
      <c r="I39" s="4" t="str">
        <f t="shared" si="14"/>
        <v>Day 4</v>
      </c>
      <c r="J39" s="4" t="str">
        <f t="shared" si="14"/>
        <v>Day 5</v>
      </c>
      <c r="K39" s="4" t="str">
        <f t="shared" si="14"/>
        <v>Day 6</v>
      </c>
      <c r="L39" s="4" t="str">
        <f t="shared" si="14"/>
        <v>Day 7</v>
      </c>
      <c r="M39" s="4" t="str">
        <f t="shared" si="14"/>
        <v>Day 8</v>
      </c>
      <c r="N39" s="4" t="str">
        <f t="shared" si="14"/>
        <v>Day 9</v>
      </c>
      <c r="O39" s="4" t="str">
        <f t="shared" si="14"/>
        <v>Day 10</v>
      </c>
      <c r="P39" s="4" t="str">
        <f t="shared" si="14"/>
        <v>Day 11</v>
      </c>
      <c r="Q39" s="4" t="str">
        <f t="shared" si="14"/>
        <v>Day 12</v>
      </c>
      <c r="R39" s="4" t="str">
        <f t="shared" si="14"/>
        <v>Day 13</v>
      </c>
      <c r="S39" s="4" t="str">
        <f t="shared" si="14"/>
        <v>Day 14</v>
      </c>
      <c r="T39" s="4" t="str">
        <f t="shared" si="14"/>
        <v>Day 15</v>
      </c>
      <c r="U39" s="4" t="str">
        <f t="shared" si="14"/>
        <v>Day 16</v>
      </c>
      <c r="V39" s="4" t="str">
        <f t="shared" si="14"/>
        <v>Day 17</v>
      </c>
      <c r="W39" s="4" t="str">
        <f t="shared" si="14"/>
        <v>Day 18</v>
      </c>
      <c r="X39" s="4" t="str">
        <f t="shared" si="14"/>
        <v>Day 19</v>
      </c>
      <c r="Y39" s="4" t="str">
        <f t="shared" si="14"/>
        <v>Day 20</v>
      </c>
      <c r="AX39"/>
    </row>
    <row r="40" spans="2:50">
      <c r="B40" s="4" t="s">
        <v>0</v>
      </c>
      <c r="C40" s="37">
        <v>375000</v>
      </c>
      <c r="D40" s="4"/>
      <c r="E40" s="4"/>
      <c r="F40" s="48">
        <f t="shared" ref="F40:Y43" si="15">(F23)/F$1*$Y$1</f>
        <v>3240</v>
      </c>
      <c r="G40" s="10">
        <f t="shared" si="15"/>
        <v>101530</v>
      </c>
      <c r="H40" s="10">
        <f t="shared" si="15"/>
        <v>241773.33333333331</v>
      </c>
      <c r="I40" s="10">
        <f t="shared" si="15"/>
        <v>259725</v>
      </c>
      <c r="J40" s="10">
        <f t="shared" si="15"/>
        <v>281116</v>
      </c>
      <c r="K40" s="10">
        <f t="shared" si="15"/>
        <v>277603.33333333331</v>
      </c>
      <c r="L40" s="10">
        <f t="shared" si="15"/>
        <v>279154.28571428574</v>
      </c>
      <c r="M40" s="10">
        <f t="shared" si="15"/>
        <v>272110</v>
      </c>
      <c r="N40" s="10">
        <f t="shared" si="15"/>
        <v>318122.22222222225</v>
      </c>
      <c r="O40" s="10">
        <f t="shared" si="15"/>
        <v>319394</v>
      </c>
      <c r="P40" s="10">
        <f t="shared" si="15"/>
        <v>306867.27272727271</v>
      </c>
      <c r="Q40" s="10">
        <f t="shared" si="15"/>
        <v>332985</v>
      </c>
      <c r="R40" s="10">
        <f t="shared" si="15"/>
        <v>346369.23076923075</v>
      </c>
      <c r="S40" s="10">
        <f t="shared" si="15"/>
        <v>342387.14285714284</v>
      </c>
      <c r="T40" s="10">
        <f t="shared" si="15"/>
        <v>361041.33333333331</v>
      </c>
      <c r="U40" s="10">
        <f t="shared" si="15"/>
        <v>362082.5</v>
      </c>
      <c r="V40" s="10">
        <f t="shared" si="15"/>
        <v>380291.76470588241</v>
      </c>
      <c r="W40" s="10">
        <f t="shared" si="15"/>
        <v>394925.55555555556</v>
      </c>
      <c r="X40" s="10">
        <f>(X23)/X$1*$Y$1</f>
        <v>398583.15789473685</v>
      </c>
      <c r="Y40" s="10">
        <f t="shared" si="15"/>
        <v>393632</v>
      </c>
      <c r="AX40"/>
    </row>
    <row r="41" spans="2:50">
      <c r="B41" s="4" t="s">
        <v>1</v>
      </c>
      <c r="C41" s="37">
        <v>325000</v>
      </c>
      <c r="D41" s="4"/>
      <c r="E41" s="4"/>
      <c r="F41" s="10">
        <f t="shared" si="15"/>
        <v>247700</v>
      </c>
      <c r="G41" s="10">
        <f t="shared" si="15"/>
        <v>165800</v>
      </c>
      <c r="H41" s="10">
        <f t="shared" si="15"/>
        <v>110533.33333333334</v>
      </c>
      <c r="I41" s="10">
        <f t="shared" si="15"/>
        <v>158700</v>
      </c>
      <c r="J41" s="10">
        <f t="shared" si="15"/>
        <v>171500</v>
      </c>
      <c r="K41" s="10">
        <f t="shared" si="15"/>
        <v>193483.33333333331</v>
      </c>
      <c r="L41" s="10">
        <f t="shared" si="15"/>
        <v>201600</v>
      </c>
      <c r="M41" s="10">
        <f t="shared" si="15"/>
        <v>183137.5</v>
      </c>
      <c r="N41" s="10">
        <f t="shared" si="15"/>
        <v>173444.44444444444</v>
      </c>
      <c r="O41" s="10">
        <f t="shared" si="15"/>
        <v>165690</v>
      </c>
      <c r="P41" s="10">
        <f t="shared" si="15"/>
        <v>150627.27272727271</v>
      </c>
      <c r="Q41" s="10">
        <f t="shared" si="15"/>
        <v>148075</v>
      </c>
      <c r="R41" s="10">
        <f t="shared" si="15"/>
        <v>133230.76923076925</v>
      </c>
      <c r="S41" s="10">
        <f t="shared" si="15"/>
        <v>129492.85714285713</v>
      </c>
      <c r="T41" s="10">
        <f t="shared" si="15"/>
        <v>127786.66666666666</v>
      </c>
      <c r="U41" s="10">
        <f t="shared" si="15"/>
        <v>128862.5</v>
      </c>
      <c r="V41" s="10">
        <f t="shared" si="15"/>
        <v>127982.35294117648</v>
      </c>
      <c r="W41" s="10">
        <f t="shared" si="15"/>
        <v>129638.88888888889</v>
      </c>
      <c r="X41" s="10">
        <f t="shared" si="15"/>
        <v>140531.57894736843</v>
      </c>
      <c r="Y41" s="10">
        <f t="shared" si="15"/>
        <v>140600</v>
      </c>
      <c r="AX41"/>
    </row>
    <row r="42" spans="2:50">
      <c r="B42" s="4" t="s">
        <v>2</v>
      </c>
      <c r="C42" s="37">
        <f>255000*0.9</f>
        <v>229500</v>
      </c>
      <c r="D42" s="4"/>
      <c r="E42" s="4"/>
      <c r="F42" s="10">
        <f t="shared" si="15"/>
        <v>803592</v>
      </c>
      <c r="G42" s="10">
        <f t="shared" si="15"/>
        <v>484173</v>
      </c>
      <c r="H42" s="10">
        <f t="shared" si="15"/>
        <v>470957.99999999994</v>
      </c>
      <c r="I42" s="10">
        <f t="shared" si="15"/>
        <v>443934</v>
      </c>
      <c r="J42" s="10">
        <f t="shared" si="15"/>
        <v>379933.2</v>
      </c>
      <c r="K42" s="10">
        <f t="shared" si="15"/>
        <v>349896</v>
      </c>
      <c r="L42" s="10">
        <f t="shared" si="15"/>
        <v>339888.85714285716</v>
      </c>
      <c r="M42" s="10">
        <f t="shared" si="15"/>
        <v>314716.5</v>
      </c>
      <c r="N42" s="10">
        <f t="shared" si="15"/>
        <v>310188</v>
      </c>
      <c r="O42" s="10">
        <f t="shared" si="15"/>
        <v>296809.2</v>
      </c>
      <c r="P42" s="10">
        <f t="shared" si="15"/>
        <v>269826.54545454547</v>
      </c>
      <c r="Q42" s="10">
        <f t="shared" si="15"/>
        <v>286528.5</v>
      </c>
      <c r="R42" s="10">
        <f t="shared" si="15"/>
        <v>298892.76923076925</v>
      </c>
      <c r="S42" s="10">
        <f t="shared" si="15"/>
        <v>297324</v>
      </c>
      <c r="T42" s="10">
        <f t="shared" si="15"/>
        <v>281102.40000000002</v>
      </c>
      <c r="U42" s="10">
        <f t="shared" si="15"/>
        <v>272066.625</v>
      </c>
      <c r="V42" s="10">
        <f t="shared" si="15"/>
        <v>268916.82352941181</v>
      </c>
      <c r="W42" s="10">
        <f t="shared" si="15"/>
        <v>258177</v>
      </c>
      <c r="X42" s="10">
        <f t="shared" si="15"/>
        <v>252395.05263157899</v>
      </c>
      <c r="Y42" s="10">
        <f t="shared" si="15"/>
        <v>255619.80000000005</v>
      </c>
      <c r="AA42" s="48"/>
    </row>
    <row r="43" spans="2:50">
      <c r="B43" s="4" t="s">
        <v>3</v>
      </c>
      <c r="C43" s="38">
        <f>235000*1.64</f>
        <v>385400</v>
      </c>
      <c r="D43" s="19"/>
      <c r="E43" s="19"/>
      <c r="F43" s="13">
        <f t="shared" si="15"/>
        <v>480159.19999999995</v>
      </c>
      <c r="G43" s="13">
        <f t="shared" si="15"/>
        <v>422037.6</v>
      </c>
      <c r="H43" s="13">
        <f t="shared" si="15"/>
        <v>344662.39999999997</v>
      </c>
      <c r="I43" s="13">
        <f t="shared" si="15"/>
        <v>376257</v>
      </c>
      <c r="J43" s="13">
        <f t="shared" si="15"/>
        <v>394957.92000000004</v>
      </c>
      <c r="K43" s="13">
        <f t="shared" si="15"/>
        <v>366627.46666666667</v>
      </c>
      <c r="L43" s="13">
        <f t="shared" si="15"/>
        <v>339522.1714285714</v>
      </c>
      <c r="M43" s="13">
        <f t="shared" si="15"/>
        <v>346978.9</v>
      </c>
      <c r="N43" s="13">
        <f t="shared" si="15"/>
        <v>384663.82222222222</v>
      </c>
      <c r="O43" s="13">
        <f t="shared" si="15"/>
        <v>390966.15999999992</v>
      </c>
      <c r="P43" s="13">
        <f t="shared" si="15"/>
        <v>386479.41818181821</v>
      </c>
      <c r="Q43" s="13">
        <f t="shared" si="15"/>
        <v>373851.66666666663</v>
      </c>
      <c r="R43" s="13">
        <f t="shared" si="15"/>
        <v>377318.58461538458</v>
      </c>
      <c r="S43" s="13">
        <f t="shared" si="15"/>
        <v>368604.05714285711</v>
      </c>
      <c r="T43" s="13">
        <f t="shared" si="15"/>
        <v>373288.05333333329</v>
      </c>
      <c r="U43" s="13">
        <f t="shared" si="15"/>
        <v>363516.25</v>
      </c>
      <c r="V43" s="13">
        <f t="shared" si="15"/>
        <v>359250.68235294113</v>
      </c>
      <c r="W43" s="13">
        <f t="shared" si="15"/>
        <v>350498.97777777776</v>
      </c>
      <c r="X43" s="13">
        <f>(X26)/X$1*$Y$1</f>
        <v>347755.95789473678</v>
      </c>
      <c r="Y43" s="13">
        <f t="shared" si="15"/>
        <v>341093.75999999995</v>
      </c>
    </row>
    <row r="44" spans="2:50">
      <c r="B44" s="14" t="s">
        <v>27</v>
      </c>
      <c r="C44" s="39">
        <f>SUM(C40:C43)</f>
        <v>1314900</v>
      </c>
      <c r="D44" s="10">
        <f>SUM(D40:D43)</f>
        <v>0</v>
      </c>
      <c r="E44" s="10"/>
      <c r="F44" s="10">
        <f t="shared" ref="F44:Y44" si="16">SUM(F40:F43)</f>
        <v>1534691.2</v>
      </c>
      <c r="G44" s="10">
        <f t="shared" si="16"/>
        <v>1173540.6000000001</v>
      </c>
      <c r="H44" s="10">
        <f t="shared" si="16"/>
        <v>1167927.0666666664</v>
      </c>
      <c r="I44" s="10">
        <f t="shared" si="16"/>
        <v>1238616</v>
      </c>
      <c r="J44" s="10">
        <f t="shared" si="16"/>
        <v>1227507.1200000001</v>
      </c>
      <c r="K44" s="10">
        <f t="shared" si="16"/>
        <v>1187610.1333333333</v>
      </c>
      <c r="L44" s="10">
        <f t="shared" si="16"/>
        <v>1160165.3142857144</v>
      </c>
      <c r="M44" s="10">
        <f t="shared" si="16"/>
        <v>1116942.8999999999</v>
      </c>
      <c r="N44" s="10">
        <f t="shared" si="16"/>
        <v>1186418.4888888891</v>
      </c>
      <c r="O44" s="10">
        <f t="shared" si="16"/>
        <v>1172859.3599999999</v>
      </c>
      <c r="P44" s="10">
        <f t="shared" si="16"/>
        <v>1113800.509090909</v>
      </c>
      <c r="Q44" s="10">
        <f t="shared" si="16"/>
        <v>1141440.1666666665</v>
      </c>
      <c r="R44" s="10">
        <f t="shared" si="16"/>
        <v>1155811.3538461537</v>
      </c>
      <c r="S44" s="10">
        <f t="shared" si="16"/>
        <v>1137808.057142857</v>
      </c>
      <c r="T44" s="10">
        <f t="shared" si="16"/>
        <v>1143218.4533333334</v>
      </c>
      <c r="U44" s="10">
        <f t="shared" si="16"/>
        <v>1126527.875</v>
      </c>
      <c r="V44" s="10">
        <f t="shared" si="16"/>
        <v>1136441.6235294119</v>
      </c>
      <c r="W44" s="10">
        <f t="shared" si="16"/>
        <v>1133240.4222222222</v>
      </c>
      <c r="X44" s="10">
        <f t="shared" si="16"/>
        <v>1139265.7473684209</v>
      </c>
      <c r="Y44" s="10">
        <f t="shared" si="16"/>
        <v>1130945.56</v>
      </c>
    </row>
    <row r="45" spans="2:50">
      <c r="B45" s="5"/>
      <c r="C45" s="37" t="s">
        <v>28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50">
      <c r="B46" s="1"/>
      <c r="J46" s="28"/>
      <c r="K46" s="28"/>
      <c r="L46" s="28"/>
    </row>
    <row r="47" spans="2:50">
      <c r="B47" s="1"/>
      <c r="C47" s="28"/>
    </row>
    <row r="48" spans="2:50">
      <c r="B48" s="1"/>
      <c r="F48" s="1"/>
    </row>
    <row r="49" spans="2:6">
      <c r="E49" s="1"/>
      <c r="F49" s="1"/>
    </row>
    <row r="50" spans="2:6">
      <c r="B50" s="1"/>
      <c r="E50" s="1"/>
      <c r="F50" s="1"/>
    </row>
    <row r="51" spans="2:6">
      <c r="B51" s="1"/>
      <c r="E51" s="1"/>
      <c r="F51" s="1"/>
    </row>
    <row r="52" spans="2:6">
      <c r="B52" s="1"/>
      <c r="F52" s="1"/>
    </row>
    <row r="53" spans="2:6">
      <c r="E53" s="1"/>
      <c r="F53" s="1"/>
    </row>
    <row r="54" spans="2:6">
      <c r="B54" s="1"/>
      <c r="E54" s="1"/>
      <c r="F54" s="1"/>
    </row>
    <row r="55" spans="2:6">
      <c r="B55" s="1"/>
      <c r="E55" s="1"/>
      <c r="F55" s="1"/>
    </row>
    <row r="56" spans="2:6">
      <c r="B56" s="1"/>
      <c r="F56" s="1"/>
    </row>
    <row r="57" spans="2:6">
      <c r="E57" s="1"/>
      <c r="F57" s="1"/>
    </row>
    <row r="58" spans="2:6">
      <c r="B58" s="1"/>
      <c r="E58" s="1"/>
      <c r="F58" s="1"/>
    </row>
    <row r="59" spans="2:6">
      <c r="B59" s="1"/>
      <c r="E59" s="1"/>
      <c r="F59" s="1"/>
    </row>
    <row r="60" spans="2:6">
      <c r="B60" s="1"/>
      <c r="F60" s="1"/>
    </row>
    <row r="61" spans="2:6">
      <c r="B61" s="1"/>
      <c r="E61" s="1"/>
      <c r="F61" s="1"/>
    </row>
    <row r="62" spans="2:6">
      <c r="E62" s="1"/>
      <c r="F62" s="1"/>
    </row>
    <row r="63" spans="2:6">
      <c r="E63" s="1"/>
      <c r="F63" s="1"/>
    </row>
    <row r="64" spans="2:6">
      <c r="E64" s="1"/>
      <c r="F64" s="1"/>
    </row>
  </sheetData>
  <printOptions horizontalCentered="1"/>
  <pageMargins left="0.15748031496062992" right="0.15748031496062992" top="0.23622047244094491" bottom="0.15748031496062992" header="0.15748031496062992" footer="0.15748031496062992"/>
  <pageSetup paperSize="9" scale="65" fitToHeight="3" orientation="landscape"/>
  <rowBreaks count="2" manualBreakCount="2">
    <brk id="46" min="1" max="26" man="1"/>
    <brk id="94" min="1" max="26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Jan 10</vt:lpstr>
      <vt:lpstr>Feb 10</vt:lpstr>
      <vt:lpstr>Mar 10</vt:lpstr>
      <vt:lpstr>Apr 10</vt:lpstr>
      <vt:lpstr>May 10</vt:lpstr>
      <vt:lpstr>Jun 10</vt:lpstr>
      <vt:lpstr>Jul 10</vt:lpstr>
      <vt:lpstr>Aug 10</vt:lpstr>
      <vt:lpstr>Sep 10</vt:lpstr>
      <vt:lpstr>Oct 10</vt:lpstr>
      <vt:lpstr>Nov 10</vt:lpstr>
      <vt:lpstr>Dec 10</vt:lpstr>
      <vt:lpstr>Month - Jan 2011</vt:lpstr>
      <vt:lpstr>Month - Feb 2011</vt:lpstr>
      <vt:lpstr>Month - Mar 2011</vt:lpstr>
      <vt:lpstr>Month - Apr 2011</vt:lpstr>
      <vt:lpstr>Month - May 2011 </vt:lpstr>
      <vt:lpstr>Month - June 2011 </vt:lpstr>
      <vt:lpstr>Month - July 2011 </vt:lpstr>
      <vt:lpstr>Month - Aug 2011 </vt:lpstr>
      <vt:lpstr>Month - Sept 2011 </vt:lpstr>
      <vt:lpstr>Month - Oct 2011 </vt:lpstr>
      <vt:lpstr>Month - Nov 2011 </vt:lpstr>
      <vt:lpstr>Month - Dec 2011 </vt:lpstr>
      <vt:lpstr>Month - Jan 2012 </vt:lpstr>
      <vt:lpstr>Month - Feb 2012 </vt:lpstr>
      <vt:lpstr>Month - Mar 2012  </vt:lpstr>
      <vt:lpstr>Month - Apr 2012 </vt:lpstr>
      <vt:lpstr>Month - May 2012</vt:lpstr>
      <vt:lpstr>Month - June 2012</vt:lpstr>
      <vt:lpstr>Month - July 2012</vt:lpstr>
      <vt:lpstr>Month - Aug 2012</vt:lpstr>
      <vt:lpstr>Month - Sept 2012</vt:lpstr>
      <vt:lpstr>Month - Oct 2012</vt:lpstr>
      <vt:lpstr>Month - Nov 2012</vt:lpstr>
      <vt:lpstr>Month - Jan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Jilly &amp; Al</dc:creator>
  <cp:lastModifiedBy>jpickering</cp:lastModifiedBy>
  <cp:lastPrinted>2012-08-25T09:55:32Z</cp:lastPrinted>
  <dcterms:created xsi:type="dcterms:W3CDTF">2009-12-22T12:03:44Z</dcterms:created>
  <dcterms:modified xsi:type="dcterms:W3CDTF">2012-12-12T10:06:48Z</dcterms:modified>
</cp:coreProperties>
</file>