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audk-my.sharepoint.com/personal/msan18_student_aau_dk/Documents/6. semester/finansielle markeder/"/>
    </mc:Choice>
  </mc:AlternateContent>
  <xr:revisionPtr revIDLastSave="0" documentId="8_{D6D18070-DC1D-4CD2-A6C6-380E0FF6474D}" xr6:coauthVersionLast="47" xr6:coauthVersionMax="47" xr10:uidLastSave="{00000000-0000-0000-0000-000000000000}"/>
  <bookViews>
    <workbookView xWindow="1460" yWindow="1480" windowWidth="24480" windowHeight="8990" xr2:uid="{E8494A27-2B28-4BD9-8D41-5CC472D4641B}"/>
  </bookViews>
  <sheets>
    <sheet name="projekt" sheetId="1" r:id="rId1"/>
  </sheets>
  <externalReferences>
    <externalReference r:id="rId2"/>
  </externalReferences>
  <definedNames>
    <definedName name="a">'[1]Variance-covariance + correlati'!$L$2:$N$11</definedName>
    <definedName name="h" localSheetId="0">projekt!$D$4:$F$6</definedName>
    <definedName name="h">'[1]Mean-Variance'!$D$4:$F$6</definedName>
    <definedName name="k">'[1]Variance-covariance + correlati'!$P$3:$P$12</definedName>
    <definedName name="l">'[1]Variance-covariance + correlati'!$Q$2:$Z$2</definedName>
    <definedName name="p">'[1]Variance-covariance + correlati'!#REF!</definedName>
    <definedName name="solver_adj" localSheetId="0" hidden="1">projekt!$J$15:$J$19</definedName>
    <definedName name="solver_cvg" localSheetId="0" hidden="1">0.0001</definedName>
    <definedName name="solver_drv" localSheetId="0" hidden="1">2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projekt!$J$20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1</definedName>
    <definedName name="solver_nwt" localSheetId="0" hidden="1">1</definedName>
    <definedName name="solver_opt" localSheetId="0" hidden="1">projekt!$H$23</definedName>
    <definedName name="solver_pre" localSheetId="0" hidden="1">0.000001</definedName>
    <definedName name="solver_rbv" localSheetId="0" hidden="1">2</definedName>
    <definedName name="solver_rel1" localSheetId="0" hidden="1">2</definedName>
    <definedName name="solver_rhs1" localSheetId="0" hidden="1">1</definedName>
    <definedName name="solver_rlx" localSheetId="0" hidden="1">2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  <definedName name="u">'[1]Variance-covariance + correlati'!#REF!</definedName>
    <definedName name="vcov" localSheetId="0">projekt!$D$4:$F$6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3" i="1" l="1" a="1"/>
  <c r="O3" i="1" s="1"/>
  <c r="Q3" i="1" a="1"/>
  <c r="Q3" i="1" s="1"/>
  <c r="K4" i="1"/>
  <c r="L4" i="1"/>
  <c r="N4" i="1"/>
  <c r="L5" i="1"/>
  <c r="K5" i="1" s="1"/>
  <c r="B25" i="1" s="1" a="1"/>
  <c r="C28" i="1" s="1"/>
  <c r="N5" i="1"/>
  <c r="K6" i="1"/>
  <c r="L6" i="1"/>
  <c r="N6" i="1"/>
  <c r="L7" i="1"/>
  <c r="K7" i="1" s="1"/>
  <c r="N7" i="1"/>
  <c r="K8" i="1"/>
  <c r="L8" i="1"/>
  <c r="N8" i="1"/>
  <c r="B12" i="1" a="1"/>
  <c r="B12" i="1" s="1"/>
  <c r="C15" i="1"/>
  <c r="K15" i="1"/>
  <c r="K16" i="1"/>
  <c r="C17" i="1" a="1"/>
  <c r="C17" i="1" s="1"/>
  <c r="K17" i="1"/>
  <c r="K18" i="1"/>
  <c r="K19" i="1"/>
  <c r="J20" i="1"/>
  <c r="K20" i="1" a="1"/>
  <c r="K20" i="1" s="1"/>
  <c r="L20" i="1" a="1"/>
  <c r="L20" i="1"/>
  <c r="M20" i="1" s="1"/>
  <c r="H21" i="1" a="1"/>
  <c r="H21" i="1"/>
  <c r="H22" i="1" a="1"/>
  <c r="H22" i="1" s="1"/>
  <c r="L24" i="1"/>
  <c r="L26" i="1"/>
  <c r="C29" i="1"/>
  <c r="E49" i="1"/>
  <c r="E50" i="1"/>
  <c r="E51" i="1"/>
  <c r="E52" i="1"/>
  <c r="E53" i="1"/>
  <c r="A86" i="1"/>
  <c r="A87" i="1" s="1"/>
  <c r="A88" i="1"/>
  <c r="A115" i="1"/>
  <c r="A116" i="1"/>
  <c r="A117" i="1"/>
  <c r="A118" i="1"/>
  <c r="B181" i="1"/>
  <c r="C181" i="1"/>
  <c r="B182" i="1"/>
  <c r="C182" i="1"/>
  <c r="B184" i="1"/>
  <c r="B185" i="1" s="1"/>
  <c r="B186" i="1" s="1"/>
  <c r="C12" i="1" l="1"/>
  <c r="D17" i="1" a="1"/>
  <c r="D17" i="1" s="1"/>
  <c r="E17" i="1" s="1"/>
  <c r="K24" i="1" s="1"/>
  <c r="D12" i="1" a="1"/>
  <c r="D12" i="1" s="1"/>
  <c r="E12" i="1" s="1"/>
  <c r="H23" i="1"/>
  <c r="B25" i="1"/>
  <c r="C27" i="1"/>
  <c r="A119" i="1"/>
  <c r="A89" i="1"/>
  <c r="C26" i="1"/>
  <c r="C14" i="1"/>
  <c r="C16" i="1"/>
  <c r="C13" i="1"/>
  <c r="D119" i="1" l="1"/>
  <c r="A120" i="1"/>
  <c r="B30" i="1"/>
  <c r="C25" i="1"/>
  <c r="C30" i="1" a="1"/>
  <c r="C30" i="1" s="1"/>
  <c r="C119" i="1" s="1"/>
  <c r="B57" i="1" a="1"/>
  <c r="B57" i="1" s="1"/>
  <c r="D25" i="1" a="1"/>
  <c r="D25" i="1" s="1"/>
  <c r="E25" i="1" s="1"/>
  <c r="D30" i="1" a="1"/>
  <c r="D30" i="1" s="1"/>
  <c r="B48" i="1" a="1"/>
  <c r="B48" i="1" s="1"/>
  <c r="A90" i="1"/>
  <c r="B89" i="1"/>
  <c r="E30" i="1" l="1"/>
  <c r="K25" i="1" s="1"/>
  <c r="B66" i="1"/>
  <c r="B68" i="1"/>
  <c r="B70" i="1"/>
  <c r="B72" i="1"/>
  <c r="B74" i="1"/>
  <c r="B76" i="1"/>
  <c r="B78" i="1"/>
  <c r="B80" i="1"/>
  <c r="B82" i="1"/>
  <c r="B84" i="1"/>
  <c r="B67" i="1"/>
  <c r="B71" i="1"/>
  <c r="B75" i="1"/>
  <c r="B79" i="1"/>
  <c r="B83" i="1"/>
  <c r="B86" i="1"/>
  <c r="B115" i="1"/>
  <c r="B116" i="1"/>
  <c r="B117" i="1"/>
  <c r="B65" i="1"/>
  <c r="B69" i="1"/>
  <c r="B73" i="1"/>
  <c r="B77" i="1"/>
  <c r="B81" i="1"/>
  <c r="B85" i="1"/>
  <c r="D115" i="1"/>
  <c r="D118" i="1"/>
  <c r="D116" i="1"/>
  <c r="D117" i="1"/>
  <c r="B87" i="1"/>
  <c r="B118" i="1"/>
  <c r="B88" i="1"/>
  <c r="C65" i="1"/>
  <c r="C67" i="1"/>
  <c r="C69" i="1"/>
  <c r="C71" i="1"/>
  <c r="C73" i="1"/>
  <c r="C75" i="1"/>
  <c r="C77" i="1"/>
  <c r="C79" i="1"/>
  <c r="C81" i="1"/>
  <c r="C83" i="1"/>
  <c r="C85" i="1"/>
  <c r="E115" i="1"/>
  <c r="C68" i="1"/>
  <c r="C72" i="1"/>
  <c r="C76" i="1"/>
  <c r="C80" i="1"/>
  <c r="C84" i="1"/>
  <c r="C86" i="1"/>
  <c r="C118" i="1"/>
  <c r="C115" i="1"/>
  <c r="L25" i="1"/>
  <c r="C66" i="1"/>
  <c r="C70" i="1"/>
  <c r="C74" i="1"/>
  <c r="C78" i="1"/>
  <c r="C82" i="1"/>
  <c r="E116" i="1"/>
  <c r="E117" i="1"/>
  <c r="E118" i="1"/>
  <c r="C88" i="1"/>
  <c r="C87" i="1"/>
  <c r="C117" i="1"/>
  <c r="C116" i="1"/>
  <c r="A91" i="1"/>
  <c r="B90" i="1"/>
  <c r="C90" i="1"/>
  <c r="B119" i="1"/>
  <c r="C89" i="1"/>
  <c r="D120" i="1"/>
  <c r="B120" i="1"/>
  <c r="C120" i="1"/>
  <c r="E120" i="1"/>
  <c r="A121" i="1"/>
  <c r="E119" i="1"/>
  <c r="C121" i="1" l="1"/>
  <c r="B121" i="1"/>
  <c r="D121" i="1"/>
  <c r="E121" i="1"/>
  <c r="A122" i="1"/>
  <c r="B91" i="1"/>
  <c r="C91" i="1"/>
  <c r="A92" i="1"/>
  <c r="B92" i="1" l="1"/>
  <c r="C92" i="1"/>
  <c r="A93" i="1"/>
  <c r="B122" i="1"/>
  <c r="A123" i="1"/>
  <c r="C122" i="1"/>
  <c r="D122" i="1"/>
  <c r="E122" i="1"/>
  <c r="C93" i="1" l="1"/>
  <c r="A94" i="1"/>
  <c r="B93" i="1"/>
  <c r="E123" i="1"/>
  <c r="C123" i="1"/>
  <c r="D123" i="1"/>
  <c r="A124" i="1"/>
  <c r="B123" i="1"/>
  <c r="A95" i="1" l="1"/>
  <c r="B94" i="1"/>
  <c r="C94" i="1"/>
  <c r="D124" i="1"/>
  <c r="C124" i="1"/>
  <c r="E124" i="1"/>
  <c r="A125" i="1"/>
  <c r="B124" i="1"/>
  <c r="C125" i="1" l="1"/>
  <c r="D125" i="1"/>
  <c r="E125" i="1"/>
  <c r="A126" i="1"/>
  <c r="B125" i="1"/>
  <c r="C95" i="1"/>
  <c r="A96" i="1"/>
  <c r="B95" i="1"/>
  <c r="B96" i="1" l="1"/>
  <c r="C96" i="1"/>
  <c r="A97" i="1"/>
  <c r="B126" i="1"/>
  <c r="A127" i="1"/>
  <c r="D126" i="1"/>
  <c r="E126" i="1"/>
  <c r="C126" i="1"/>
  <c r="C97" i="1" l="1"/>
  <c r="B97" i="1"/>
  <c r="A98" i="1"/>
  <c r="E127" i="1"/>
  <c r="D127" i="1"/>
  <c r="A128" i="1"/>
  <c r="B127" i="1"/>
  <c r="C127" i="1"/>
  <c r="A99" i="1" l="1"/>
  <c r="B98" i="1"/>
  <c r="C98" i="1"/>
  <c r="D128" i="1"/>
  <c r="E128" i="1"/>
  <c r="A129" i="1"/>
  <c r="B128" i="1"/>
  <c r="C128" i="1"/>
  <c r="C129" i="1" l="1"/>
  <c r="E129" i="1"/>
  <c r="A130" i="1"/>
  <c r="B129" i="1"/>
  <c r="D129" i="1"/>
  <c r="B99" i="1"/>
  <c r="C99" i="1"/>
  <c r="A100" i="1"/>
  <c r="B100" i="1" l="1"/>
  <c r="A101" i="1"/>
  <c r="C100" i="1"/>
  <c r="B130" i="1"/>
  <c r="A131" i="1"/>
  <c r="E130" i="1"/>
  <c r="C130" i="1"/>
  <c r="D130" i="1"/>
  <c r="C101" i="1" l="1"/>
  <c r="B101" i="1"/>
  <c r="A102" i="1"/>
  <c r="E131" i="1"/>
  <c r="A132" i="1"/>
  <c r="B131" i="1"/>
  <c r="C131" i="1"/>
  <c r="D131" i="1"/>
  <c r="A103" i="1" l="1"/>
  <c r="C102" i="1"/>
  <c r="B102" i="1"/>
  <c r="D132" i="1"/>
  <c r="A133" i="1"/>
  <c r="B132" i="1"/>
  <c r="C132" i="1"/>
  <c r="E132" i="1"/>
  <c r="C133" i="1" l="1"/>
  <c r="A134" i="1"/>
  <c r="B133" i="1"/>
  <c r="D133" i="1"/>
  <c r="E133" i="1"/>
  <c r="B103" i="1"/>
  <c r="C103" i="1"/>
  <c r="A104" i="1"/>
  <c r="B104" i="1" l="1"/>
  <c r="C104" i="1"/>
  <c r="A105" i="1"/>
  <c r="B134" i="1"/>
  <c r="A135" i="1"/>
  <c r="C134" i="1"/>
  <c r="D134" i="1"/>
  <c r="E134" i="1"/>
  <c r="C105" i="1" l="1"/>
  <c r="B105" i="1"/>
  <c r="A106" i="1"/>
  <c r="E135" i="1"/>
  <c r="B135" i="1"/>
  <c r="C135" i="1"/>
  <c r="D135" i="1"/>
  <c r="A136" i="1"/>
  <c r="A137" i="1" l="1"/>
  <c r="B136" i="1"/>
  <c r="C136" i="1"/>
  <c r="A107" i="1"/>
  <c r="B106" i="1"/>
  <c r="C106" i="1"/>
  <c r="A108" i="1" l="1"/>
  <c r="B107" i="1"/>
  <c r="C107" i="1"/>
  <c r="A138" i="1"/>
  <c r="B137" i="1"/>
  <c r="C137" i="1"/>
  <c r="B138" i="1" l="1"/>
  <c r="C138" i="1"/>
  <c r="A139" i="1"/>
  <c r="B108" i="1"/>
  <c r="C108" i="1"/>
  <c r="A109" i="1"/>
  <c r="C139" i="1" l="1"/>
  <c r="A140" i="1"/>
  <c r="B139" i="1"/>
  <c r="C109" i="1"/>
  <c r="A110" i="1"/>
  <c r="B109" i="1"/>
  <c r="A141" i="1" l="1"/>
  <c r="B140" i="1"/>
  <c r="C140" i="1"/>
  <c r="A111" i="1"/>
  <c r="B110" i="1"/>
  <c r="C110" i="1"/>
  <c r="C111" i="1" l="1"/>
  <c r="A112" i="1"/>
  <c r="B111" i="1"/>
  <c r="C141" i="1"/>
  <c r="A142" i="1"/>
  <c r="B141" i="1"/>
  <c r="B112" i="1" l="1"/>
  <c r="C112" i="1"/>
  <c r="A113" i="1"/>
  <c r="B142" i="1"/>
  <c r="C142" i="1"/>
  <c r="A143" i="1"/>
  <c r="C113" i="1" l="1"/>
  <c r="B113" i="1"/>
  <c r="A114" i="1"/>
  <c r="C143" i="1"/>
  <c r="B143" i="1"/>
  <c r="A144" i="1"/>
  <c r="B114" i="1" l="1"/>
  <c r="C114" i="1"/>
  <c r="A145" i="1"/>
  <c r="B144" i="1"/>
  <c r="C144" i="1"/>
  <c r="B145" i="1" l="1"/>
  <c r="C145" i="1"/>
  <c r="A146" i="1"/>
  <c r="B146" i="1" l="1"/>
  <c r="A147" i="1"/>
  <c r="C146" i="1"/>
  <c r="C147" i="1" l="1"/>
  <c r="B147" i="1"/>
  <c r="A148" i="1"/>
  <c r="A149" i="1" l="1"/>
  <c r="C148" i="1"/>
  <c r="B148" i="1"/>
  <c r="B149" i="1" l="1"/>
  <c r="C149" i="1"/>
  <c r="A150" i="1"/>
  <c r="B150" i="1" l="1"/>
  <c r="C150" i="1"/>
  <c r="A151" i="1"/>
  <c r="C151" i="1" l="1"/>
  <c r="B151" i="1"/>
  <c r="A152" i="1"/>
  <c r="A153" i="1" l="1"/>
  <c r="B152" i="1"/>
  <c r="C152" i="1"/>
  <c r="A154" i="1" l="1"/>
  <c r="B153" i="1"/>
  <c r="C153" i="1"/>
  <c r="B154" i="1" l="1"/>
  <c r="C154" i="1"/>
  <c r="A155" i="1"/>
  <c r="C155" i="1" l="1"/>
  <c r="A156" i="1"/>
  <c r="B155" i="1"/>
  <c r="B156" i="1" l="1"/>
  <c r="C156" i="1"/>
  <c r="A157" i="1"/>
  <c r="B157" i="1" l="1"/>
  <c r="C157" i="1"/>
  <c r="A158" i="1"/>
  <c r="C158" i="1" l="1"/>
  <c r="A159" i="1"/>
  <c r="B158" i="1"/>
  <c r="A160" i="1" l="1"/>
  <c r="B159" i="1"/>
  <c r="C159" i="1"/>
  <c r="B160" i="1" l="1"/>
  <c r="C160" i="1"/>
  <c r="A161" i="1"/>
  <c r="B161" i="1" l="1"/>
  <c r="C161" i="1"/>
  <c r="A162" i="1"/>
  <c r="C162" i="1" l="1"/>
  <c r="A163" i="1"/>
  <c r="B162" i="1"/>
  <c r="A164" i="1" l="1"/>
  <c r="B163" i="1"/>
  <c r="C163" i="1"/>
  <c r="B164" i="1" l="1"/>
  <c r="C164" i="1"/>
  <c r="A165" i="1"/>
  <c r="B165" i="1" l="1"/>
  <c r="C16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<sst xmlns="http://schemas.openxmlformats.org/spreadsheetml/2006/main" count="105" uniqueCount="68">
  <si>
    <t>Bloomberg adjusted</t>
  </si>
  <si>
    <t>Beta</t>
  </si>
  <si>
    <t>Covariance</t>
  </si>
  <si>
    <t>Var</t>
  </si>
  <si>
    <t>Mean</t>
  </si>
  <si>
    <t>dec</t>
  </si>
  <si>
    <t>nov</t>
  </si>
  <si>
    <t>okt</t>
  </si>
  <si>
    <t>sep</t>
  </si>
  <si>
    <t>aug</t>
  </si>
  <si>
    <t>jul</t>
  </si>
  <si>
    <t>jun</t>
  </si>
  <si>
    <t>maj</t>
  </si>
  <si>
    <t>apr</t>
  </si>
  <si>
    <t>mar</t>
  </si>
  <si>
    <t>Feb</t>
  </si>
  <si>
    <t>jan</t>
  </si>
  <si>
    <t>SP500 E[r]</t>
  </si>
  <si>
    <t>Exxon E[r]</t>
  </si>
  <si>
    <t>Month</t>
  </si>
  <si>
    <t>E[r]</t>
  </si>
  <si>
    <t>STD</t>
  </si>
  <si>
    <t>Capital Market Line</t>
  </si>
  <si>
    <t>Gamma (vægt)</t>
  </si>
  <si>
    <t>Cov(r_tan, r_riskfree)</t>
  </si>
  <si>
    <t>Cov(r_tan, r_mvp)</t>
  </si>
  <si>
    <t xml:space="preserve">Efficient frontier </t>
  </si>
  <si>
    <t>riskfree</t>
  </si>
  <si>
    <t>Maer</t>
  </si>
  <si>
    <t>FLS</t>
  </si>
  <si>
    <t>Carl</t>
  </si>
  <si>
    <t>Novo</t>
  </si>
  <si>
    <t xml:space="preserve">Vest </t>
  </si>
  <si>
    <t>return</t>
  </si>
  <si>
    <t>Standard deviation</t>
  </si>
  <si>
    <t>Stock</t>
  </si>
  <si>
    <t>Beta calc</t>
  </si>
  <si>
    <t>MAER 0.0009242489 0.0004919582 0.0003982870 0.0009822949 0.0017903022</t>
  </si>
  <si>
    <t>FLS  0.0007761833 0.0003883377 0.0004819622 0.0020257171 0.0009822949</t>
  </si>
  <si>
    <t>CARL 0.0003230114 0.0003668241 0.0010233731 0.0004819622 0.0003982870</t>
  </si>
  <si>
    <t>NOVO 0.0003400467 0.0022885470 0.0003668241 0.0003883377 0.0004919582</t>
  </si>
  <si>
    <t>VEST 0.0042354922 0.0003400467 0.0003230114 0.0007761833 0.0009242489</t>
  </si>
  <si>
    <t>sum</t>
  </si>
  <si>
    <t>VEST         NOVO         CARL          FLS         MAER</t>
  </si>
  <si>
    <t>Risk free</t>
  </si>
  <si>
    <t>Tangency portfolio</t>
  </si>
  <si>
    <t>Minimum variance portfolio</t>
  </si>
  <si>
    <t>SD</t>
  </si>
  <si>
    <t>Varians</t>
  </si>
  <si>
    <t>Afkast</t>
  </si>
  <si>
    <t>Vægte</t>
  </si>
  <si>
    <t>Tangency portfolio with shorting</t>
  </si>
  <si>
    <t xml:space="preserve">𝜎 </t>
  </si>
  <si>
    <t>Sharpe</t>
  </si>
  <si>
    <t>Stdev</t>
  </si>
  <si>
    <t>SD (NS)</t>
  </si>
  <si>
    <t>Varians (NS)</t>
  </si>
  <si>
    <t>Sum</t>
  </si>
  <si>
    <t>Weight</t>
  </si>
  <si>
    <t>Intel</t>
  </si>
  <si>
    <t>Microsoft Intel</t>
  </si>
  <si>
    <t>AOL</t>
  </si>
  <si>
    <t>risk free</t>
  </si>
  <si>
    <t>return minus riskfree</t>
  </si>
  <si>
    <t>Mean return</t>
  </si>
  <si>
    <t>Vest</t>
  </si>
  <si>
    <t>Vector 1</t>
  </si>
  <si>
    <t>Mean variance - Kapitel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</si>
</sst>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4">
    <numFmt numFmtId="43" formatCode="_-* #,##0.00_-;\-* #,##0.00_-;_-* &quot;-&quot;??_-;_-@_-"/>
    <numFmt numFmtId="164" formatCode="_-* #,##0.00000\ _k_r_._-;\-* #,##0.00000\ _k_r_._-;_-* &quot;-&quot;?????\ _k_r_._-;_-@_-"/>
    <numFmt numFmtId="165" formatCode="_-* #,##0.000_-;\-* #,##0.000_-;_-* &quot;-&quot;??_-;_-@_-"/>
    <numFmt numFmtId="166" formatCode="0.0000000"/>
    <numFmt numFmtId="167" formatCode="_-* #,##0.000\ _k_r_._-;\-* #,##0.000\ _k_r_._-;_-* &quot;-&quot;???\ _k_r_._-;_-@_-"/>
    <numFmt numFmtId="168" formatCode="0.000%"/>
    <numFmt numFmtId="169" formatCode="0.0000%"/>
    <numFmt numFmtId="170" formatCode="_-* #,##0.00000\ _k_r_._-;\-* #,##0.00000\ _k_r_._-;_-* &quot;-&quot;??\ _k_r_._-;_-@_-"/>
    <numFmt numFmtId="171" formatCode="_-* #,##0.00000_-;\-* #,##0.00000_-;_-* &quot;-&quot;??_-;_-@_-"/>
    <numFmt numFmtId="172" formatCode="0.0%"/>
    <numFmt numFmtId="173" formatCode="_-* #,##0.0000000\ _k_r_._-;\-* #,##0.0000000\ _k_r_._-;_-* &quot;-&quot;??\ _k_r_._-;_-@_-"/>
    <numFmt numFmtId="174" formatCode="_-* #,##0.00\ _k_r_._-;\-* #,##0.00\ _k_r_._-;_-* &quot;-&quot;??\ _k_r_._-;_-@_-"/>
    <numFmt numFmtId="175" formatCode="_-* #,##0.00000000_-;\-* #,##0.00000000_-;_-* &quot;-&quot;??_-;_-@_-"/>
    <numFmt numFmtId="176" formatCode="_-* #,##0.0000000_-;\-* #,##0.0000000_-;_-* &quot;-&quot;??_-;_-@_-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7" fillId="0" borderId="0"/>
  </cellStyleXfs>
  <cellXfs count="61">
    <xf numFmtId="0" fontId="0" fillId="0" borderId="0" xfId="0"/>
    <xf numFmtId="0" fontId="3" fillId="0" borderId="0" xfId="0" applyFont="1"/>
    <xf numFmtId="0" fontId="2" fillId="0" borderId="0" xfId="0" applyFont="1" applyAlignment="1">
      <alignment horizontal="center"/>
    </xf>
    <xf numFmtId="164" fontId="0" fillId="0" borderId="1" xfId="0" applyNumberFormat="1" applyBorder="1"/>
    <xf numFmtId="165" fontId="0" fillId="0" borderId="0" xfId="1" applyNumberFormat="1" applyFont="1" applyBorder="1"/>
    <xf numFmtId="0" fontId="0" fillId="0" borderId="2" xfId="0" applyBorder="1"/>
    <xf numFmtId="0" fontId="0" fillId="0" borderId="3" xfId="0" applyBorder="1"/>
    <xf numFmtId="166" fontId="0" fillId="0" borderId="1" xfId="0" applyNumberFormat="1" applyBorder="1"/>
    <xf numFmtId="9" fontId="0" fillId="0" borderId="0" xfId="2" applyFont="1" applyBorder="1"/>
    <xf numFmtId="0" fontId="0" fillId="0" borderId="4" xfId="0" applyBorder="1"/>
    <xf numFmtId="167" fontId="0" fillId="0" borderId="0" xfId="0" applyNumberFormat="1"/>
    <xf numFmtId="0" fontId="0" fillId="0" borderId="0" xfId="0" applyAlignment="1">
      <alignment horizontal="center"/>
    </xf>
    <xf numFmtId="0" fontId="0" fillId="0" borderId="5" xfId="0" applyBorder="1"/>
    <xf numFmtId="0" fontId="0" fillId="0" borderId="4" xfId="0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4" xfId="0" applyFont="1" applyBorder="1" applyAlignment="1">
      <alignment horizontal="center"/>
    </xf>
    <xf numFmtId="0" fontId="5" fillId="0" borderId="0" xfId="0" applyFont="1"/>
    <xf numFmtId="0" fontId="0" fillId="2" borderId="0" xfId="0" applyFill="1"/>
    <xf numFmtId="0" fontId="0" fillId="2" borderId="3" xfId="0" applyFill="1" applyBorder="1"/>
    <xf numFmtId="0" fontId="3" fillId="0" borderId="4" xfId="0" applyFont="1" applyBorder="1"/>
    <xf numFmtId="0" fontId="0" fillId="2" borderId="2" xfId="0" applyFill="1" applyBorder="1"/>
    <xf numFmtId="0" fontId="3" fillId="0" borderId="6" xfId="0" applyFont="1" applyBorder="1"/>
    <xf numFmtId="0" fontId="6" fillId="0" borderId="0" xfId="0" applyFont="1"/>
    <xf numFmtId="0" fontId="4" fillId="0" borderId="0" xfId="0" applyFont="1"/>
    <xf numFmtId="0" fontId="0" fillId="3" borderId="0" xfId="0" applyFill="1"/>
    <xf numFmtId="0" fontId="3" fillId="0" borderId="3" xfId="0" applyFont="1" applyBorder="1"/>
    <xf numFmtId="0" fontId="3" fillId="3" borderId="0" xfId="0" applyFont="1" applyFill="1"/>
    <xf numFmtId="0" fontId="3" fillId="3" borderId="7" xfId="0" applyFont="1" applyFill="1" applyBorder="1"/>
    <xf numFmtId="0" fontId="0" fillId="0" borderId="1" xfId="0" applyBorder="1"/>
    <xf numFmtId="168" fontId="0" fillId="0" borderId="8" xfId="2" applyNumberFormat="1" applyFont="1" applyBorder="1"/>
    <xf numFmtId="10" fontId="0" fillId="0" borderId="1" xfId="2" applyNumberFormat="1" applyFont="1" applyBorder="1"/>
    <xf numFmtId="169" fontId="0" fillId="0" borderId="0" xfId="2" applyNumberFormat="1" applyFont="1" applyBorder="1"/>
    <xf numFmtId="170" fontId="0" fillId="0" borderId="4" xfId="0" applyNumberFormat="1" applyBorder="1"/>
    <xf numFmtId="0" fontId="3" fillId="0" borderId="9" xfId="0" applyFont="1" applyBorder="1"/>
    <xf numFmtId="0" fontId="3" fillId="0" borderId="10" xfId="0" applyFont="1" applyBorder="1"/>
    <xf numFmtId="0" fontId="3" fillId="0" borderId="11" xfId="0" applyFont="1" applyBorder="1"/>
    <xf numFmtId="0" fontId="4" fillId="0" borderId="4" xfId="0" applyFont="1" applyBorder="1"/>
    <xf numFmtId="171" fontId="0" fillId="0" borderId="0" xfId="1" applyNumberFormat="1" applyFont="1" applyBorder="1"/>
    <xf numFmtId="43" fontId="4" fillId="0" borderId="0" xfId="0" applyNumberFormat="1" applyFont="1"/>
    <xf numFmtId="166" fontId="0" fillId="0" borderId="0" xfId="0" applyNumberFormat="1"/>
    <xf numFmtId="172" fontId="0" fillId="0" borderId="0" xfId="2" applyNumberFormat="1" applyFont="1"/>
    <xf numFmtId="0" fontId="3" fillId="0" borderId="7" xfId="0" applyFont="1" applyBorder="1"/>
    <xf numFmtId="43" fontId="0" fillId="0" borderId="0" xfId="1" applyFont="1" applyBorder="1"/>
    <xf numFmtId="173" fontId="0" fillId="0" borderId="0" xfId="0" applyNumberFormat="1"/>
    <xf numFmtId="10" fontId="0" fillId="0" borderId="0" xfId="2" applyNumberFormat="1" applyFont="1" applyBorder="1"/>
    <xf numFmtId="174" fontId="0" fillId="0" borderId="0" xfId="0" applyNumberFormat="1"/>
    <xf numFmtId="43" fontId="0" fillId="0" borderId="0" xfId="1" applyFont="1"/>
    <xf numFmtId="0" fontId="0" fillId="2" borderId="1" xfId="0" applyFill="1" applyBorder="1"/>
    <xf numFmtId="0" fontId="0" fillId="4" borderId="0" xfId="0" applyFill="1"/>
    <xf numFmtId="0" fontId="0" fillId="0" borderId="7" xfId="0" applyBorder="1"/>
    <xf numFmtId="175" fontId="0" fillId="0" borderId="0" xfId="1" applyNumberFormat="1" applyFont="1"/>
    <xf numFmtId="176" fontId="0" fillId="0" borderId="0" xfId="1" applyNumberFormat="1" applyFont="1"/>
    <xf numFmtId="0" fontId="0" fillId="4" borderId="12" xfId="0" applyFill="1" applyBorder="1"/>
    <xf numFmtId="0" fontId="0" fillId="0" borderId="6" xfId="0" applyBorder="1"/>
    <xf numFmtId="0" fontId="0" fillId="0" borderId="13" xfId="0" applyBorder="1"/>
    <xf numFmtId="0" fontId="3" fillId="5" borderId="0" xfId="0" applyFont="1" applyFill="1"/>
    <xf numFmtId="0" fontId="3" fillId="5" borderId="5" xfId="0" applyFont="1" applyFill="1" applyBorder="1"/>
    <xf numFmtId="0" fontId="3" fillId="5" borderId="8" xfId="0" applyFont="1" applyFill="1" applyBorder="1"/>
    <xf numFmtId="0" fontId="3" fillId="5" borderId="14" xfId="0" applyFont="1" applyFill="1" applyBorder="1"/>
    <xf numFmtId="0" fontId="3" fillId="0" borderId="5" xfId="0" applyFont="1" applyBorder="1"/>
    <xf numFmtId="0" fontId="8" fillId="0" borderId="0" xfId="3" applyFont="1"/>
  </cellXfs>
  <cellStyles count="4">
    <cellStyle name="Comma" xfId="1" builtinId="3"/>
    <cellStyle name="Normal" xfId="0" builtinId="0"/>
    <cellStyle name="Normal 2" xfId="3" xr:uid="{9B5E7C55-C77D-448B-9E4D-5AF7ADD606BF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Mean-Standard deviation analysis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6599316652388564E-2"/>
          <c:y val="0.17530114226375909"/>
          <c:w val="0.86817585301837275"/>
          <c:h val="0.72088764946048411"/>
        </c:manualLayout>
      </c:layout>
      <c:scatterChart>
        <c:scatterStyle val="smoothMarker"/>
        <c:varyColors val="0"/>
        <c:ser>
          <c:idx val="0"/>
          <c:order val="0"/>
          <c:tx>
            <c:v>all</c:v>
          </c:tx>
          <c:spPr>
            <a:ln w="9525" cap="rnd">
              <a:solidFill>
                <a:schemeClr val="accent1">
                  <a:alpha val="5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projekt!$B$75:$B$155</c:f>
              <c:numCache>
                <c:formatCode>_-* #,##0.000_-;\-* #,##0.000_-;_-* "-"??_-;_-@_-</c:formatCode>
                <c:ptCount val="81"/>
                <c:pt idx="0">
                  <c:v>7.8291530549317603E-2</c:v>
                </c:pt>
                <c:pt idx="1">
                  <c:v>7.656558313057503E-2</c:v>
                </c:pt>
                <c:pt idx="2">
                  <c:v>7.4845038220023391E-2</c:v>
                </c:pt>
                <c:pt idx="3">
                  <c:v>7.3130277135055724E-2</c:v>
                </c:pt>
                <c:pt idx="4">
                  <c:v>7.1421716467786195E-2</c:v>
                </c:pt>
                <c:pt idx="5">
                  <c:v>6.9719812063868583E-2</c:v>
                </c:pt>
                <c:pt idx="6">
                  <c:v>6.8025063519992227E-2</c:v>
                </c:pt>
                <c:pt idx="7">
                  <c:v>6.6338019274306839E-2</c:v>
                </c:pt>
                <c:pt idx="8">
                  <c:v>6.4659282374916263E-2</c:v>
                </c:pt>
                <c:pt idx="9">
                  <c:v>6.298951702387881E-2</c:v>
                </c:pt>
                <c:pt idx="10">
                  <c:v>6.1329456007903647E-2</c:v>
                </c:pt>
                <c:pt idx="11">
                  <c:v>5.967990914211227E-2</c:v>
                </c:pt>
                <c:pt idx="12">
                  <c:v>5.8041772869698527E-2</c:v>
                </c:pt>
                <c:pt idx="13">
                  <c:v>5.6416041177718909E-2</c:v>
                </c:pt>
                <c:pt idx="14">
                  <c:v>5.4803818006923563E-2</c:v>
                </c:pt>
                <c:pt idx="15">
                  <c:v>5.3206331350389442E-2</c:v>
                </c:pt>
                <c:pt idx="16">
                  <c:v>5.1624949249954505E-2</c:v>
                </c:pt>
                <c:pt idx="17">
                  <c:v>5.0061197908308562E-2</c:v>
                </c:pt>
                <c:pt idx="18">
                  <c:v>4.8516782133925657E-2</c:v>
                </c:pt>
                <c:pt idx="19">
                  <c:v>4.6993608319730998E-2</c:v>
                </c:pt>
                <c:pt idx="20">
                  <c:v>4.549381011574307E-2</c:v>
                </c:pt>
                <c:pt idx="21">
                  <c:v>4.4019776878668926E-2</c:v>
                </c:pt>
                <c:pt idx="22">
                  <c:v>4.2574184850796795E-2</c:v>
                </c:pt>
                <c:pt idx="23">
                  <c:v>4.1160030814290566E-2</c:v>
                </c:pt>
                <c:pt idx="24">
                  <c:v>3.9780667656770081E-2</c:v>
                </c:pt>
                <c:pt idx="25">
                  <c:v>3.8439840835582967E-2</c:v>
                </c:pt>
                <c:pt idx="26">
                  <c:v>3.7141724103399151E-2</c:v>
                </c:pt>
                <c:pt idx="27">
                  <c:v>3.5890952020566462E-2</c:v>
                </c:pt>
                <c:pt idx="28">
                  <c:v>3.4692645707321008E-2</c:v>
                </c:pt>
                <c:pt idx="29">
                  <c:v>3.3552426992190978E-2</c:v>
                </c:pt>
                <c:pt idx="30">
                  <c:v>3.2476414666961405E-2</c:v>
                </c:pt>
                <c:pt idx="31">
                  <c:v>3.1471195144704284E-2</c:v>
                </c:pt>
                <c:pt idx="32">
                  <c:v>3.0543758768579926E-2</c:v>
                </c:pt>
                <c:pt idx="33">
                  <c:v>2.9701392850367471E-2</c:v>
                </c:pt>
                <c:pt idx="34">
                  <c:v>2.8951523905522306E-2</c:v>
                </c:pt>
                <c:pt idx="35">
                  <c:v>2.8301505212862996E-2</c:v>
                </c:pt>
                <c:pt idx="36">
                  <c:v>2.7758352253635404E-2</c:v>
                </c:pt>
                <c:pt idx="37">
                  <c:v>2.7328437643261139E-2</c:v>
                </c:pt>
                <c:pt idx="38">
                  <c:v>2.701716768774683E-2</c:v>
                </c:pt>
                <c:pt idx="39">
                  <c:v>2.6828672299902639E-2</c:v>
                </c:pt>
                <c:pt idx="40">
                  <c:v>2.6765545511810644E-2</c:v>
                </c:pt>
                <c:pt idx="41">
                  <c:v>2.6828672299902639E-2</c:v>
                </c:pt>
                <c:pt idx="42">
                  <c:v>2.7017167687746837E-2</c:v>
                </c:pt>
                <c:pt idx="43">
                  <c:v>2.7328437643261139E-2</c:v>
                </c:pt>
                <c:pt idx="44">
                  <c:v>2.7758352253635408E-2</c:v>
                </c:pt>
                <c:pt idx="45">
                  <c:v>2.8301505212863003E-2</c:v>
                </c:pt>
                <c:pt idx="46">
                  <c:v>2.8951523905522313E-2</c:v>
                </c:pt>
                <c:pt idx="47">
                  <c:v>2.9701392850367481E-2</c:v>
                </c:pt>
                <c:pt idx="48">
                  <c:v>3.0543758768579933E-2</c:v>
                </c:pt>
                <c:pt idx="49">
                  <c:v>3.1471195144704291E-2</c:v>
                </c:pt>
                <c:pt idx="50">
                  <c:v>3.2476414666961419E-2</c:v>
                </c:pt>
                <c:pt idx="51">
                  <c:v>3.3552426992190999E-2</c:v>
                </c:pt>
                <c:pt idx="52">
                  <c:v>3.4692645707321022E-2</c:v>
                </c:pt>
                <c:pt idx="53">
                  <c:v>3.5890952020566469E-2</c:v>
                </c:pt>
                <c:pt idx="54">
                  <c:v>3.7141724103399158E-2</c:v>
                </c:pt>
                <c:pt idx="55">
                  <c:v>3.8439840835582974E-2</c:v>
                </c:pt>
                <c:pt idx="56">
                  <c:v>3.9780667656770095E-2</c:v>
                </c:pt>
                <c:pt idx="57">
                  <c:v>4.1160030814290566E-2</c:v>
                </c:pt>
                <c:pt idx="58">
                  <c:v>4.2574184850796802E-2</c:v>
                </c:pt>
                <c:pt idx="59">
                  <c:v>4.4019776878668933E-2</c:v>
                </c:pt>
                <c:pt idx="60">
                  <c:v>4.5493810115743084E-2</c:v>
                </c:pt>
                <c:pt idx="61">
                  <c:v>4.6993608319731005E-2</c:v>
                </c:pt>
                <c:pt idx="62">
                  <c:v>4.8516782133925664E-2</c:v>
                </c:pt>
                <c:pt idx="63">
                  <c:v>5.0061197908308569E-2</c:v>
                </c:pt>
                <c:pt idx="64">
                  <c:v>5.1624949249954526E-2</c:v>
                </c:pt>
                <c:pt idx="65">
                  <c:v>5.3206331350389442E-2</c:v>
                </c:pt>
                <c:pt idx="66">
                  <c:v>5.4803818006923577E-2</c:v>
                </c:pt>
                <c:pt idx="67">
                  <c:v>5.6416041177718937E-2</c:v>
                </c:pt>
                <c:pt idx="68">
                  <c:v>5.8041772869698499E-2</c:v>
                </c:pt>
                <c:pt idx="69">
                  <c:v>5.9679909142112256E-2</c:v>
                </c:pt>
                <c:pt idx="70">
                  <c:v>6.1329456007903647E-2</c:v>
                </c:pt>
                <c:pt idx="71">
                  <c:v>6.2989517023878797E-2</c:v>
                </c:pt>
                <c:pt idx="72">
                  <c:v>6.4659282374916277E-2</c:v>
                </c:pt>
                <c:pt idx="73">
                  <c:v>6.6338019274306909E-2</c:v>
                </c:pt>
                <c:pt idx="74">
                  <c:v>6.8025063519992254E-2</c:v>
                </c:pt>
                <c:pt idx="75">
                  <c:v>6.9719812063868611E-2</c:v>
                </c:pt>
                <c:pt idx="76">
                  <c:v>7.1421716467786223E-2</c:v>
                </c:pt>
                <c:pt idx="77">
                  <c:v>7.313027713505571E-2</c:v>
                </c:pt>
                <c:pt idx="78">
                  <c:v>7.4845038220023447E-2</c:v>
                </c:pt>
                <c:pt idx="79">
                  <c:v>7.6565583130575002E-2</c:v>
                </c:pt>
                <c:pt idx="80">
                  <c:v>7.8291530549317617E-2</c:v>
                </c:pt>
              </c:numCache>
            </c:numRef>
          </c:xVal>
          <c:yVal>
            <c:numRef>
              <c:f>projekt!$C$75:$C$155</c:f>
              <c:numCache>
                <c:formatCode>_-* #,##0.00000\ _k_r_._-;\-* #,##0.00000\ _k_r_._-;_-* "-"?????\ _k_r_._-;_-@_-</c:formatCode>
                <c:ptCount val="81"/>
                <c:pt idx="0">
                  <c:v>-2.4839242661577332E-3</c:v>
                </c:pt>
                <c:pt idx="1">
                  <c:v>-2.3506490606253899E-3</c:v>
                </c:pt>
                <c:pt idx="2">
                  <c:v>-2.2173738550930484E-3</c:v>
                </c:pt>
                <c:pt idx="3">
                  <c:v>-2.0840986495607068E-3</c:v>
                </c:pt>
                <c:pt idx="4">
                  <c:v>-1.9508234440283653E-3</c:v>
                </c:pt>
                <c:pt idx="5">
                  <c:v>-1.817548238496022E-3</c:v>
                </c:pt>
                <c:pt idx="6">
                  <c:v>-1.6842730329636804E-3</c:v>
                </c:pt>
                <c:pt idx="7">
                  <c:v>-1.5509978274313389E-3</c:v>
                </c:pt>
                <c:pt idx="8">
                  <c:v>-1.4177226218989973E-3</c:v>
                </c:pt>
                <c:pt idx="9">
                  <c:v>-1.2844474163666558E-3</c:v>
                </c:pt>
                <c:pt idx="10">
                  <c:v>-1.1511722108343125E-3</c:v>
                </c:pt>
                <c:pt idx="11">
                  <c:v>-1.0178970053019709E-3</c:v>
                </c:pt>
                <c:pt idx="12">
                  <c:v>-8.8462179976962763E-4</c:v>
                </c:pt>
                <c:pt idx="13">
                  <c:v>-7.5134659423728607E-4</c:v>
                </c:pt>
                <c:pt idx="14">
                  <c:v>-6.1807138870494278E-4</c:v>
                </c:pt>
                <c:pt idx="15">
                  <c:v>-4.8479618317260123E-4</c:v>
                </c:pt>
                <c:pt idx="16">
                  <c:v>-3.5152097764026141E-4</c:v>
                </c:pt>
                <c:pt idx="17">
                  <c:v>-2.1824577210791812E-4</c:v>
                </c:pt>
                <c:pt idx="18">
                  <c:v>-8.497056657557657E-5</c:v>
                </c:pt>
                <c:pt idx="19">
                  <c:v>4.8304638956766718E-5</c:v>
                </c:pt>
                <c:pt idx="20">
                  <c:v>1.8157984448910827E-4</c:v>
                </c:pt>
                <c:pt idx="21">
                  <c:v>3.1485505002144983E-4</c:v>
                </c:pt>
                <c:pt idx="22">
                  <c:v>4.4813025555379311E-4</c:v>
                </c:pt>
                <c:pt idx="23">
                  <c:v>5.8140546108613553E-4</c:v>
                </c:pt>
                <c:pt idx="24">
                  <c:v>7.1468066661847709E-4</c:v>
                </c:pt>
                <c:pt idx="25">
                  <c:v>8.4795587215081864E-4</c:v>
                </c:pt>
                <c:pt idx="26">
                  <c:v>9.8123107768316106E-4</c:v>
                </c:pt>
                <c:pt idx="27">
                  <c:v>1.1145062832155035E-3</c:v>
                </c:pt>
                <c:pt idx="28">
                  <c:v>1.2477814887478459E-3</c:v>
                </c:pt>
                <c:pt idx="29">
                  <c:v>1.3810566942801875E-3</c:v>
                </c:pt>
                <c:pt idx="30">
                  <c:v>1.514331899812529E-3</c:v>
                </c:pt>
                <c:pt idx="31">
                  <c:v>1.6476071053448719E-3</c:v>
                </c:pt>
                <c:pt idx="32">
                  <c:v>1.7808823108772134E-3</c:v>
                </c:pt>
                <c:pt idx="33">
                  <c:v>1.9141575164095554E-3</c:v>
                </c:pt>
                <c:pt idx="34">
                  <c:v>2.047432721941897E-3</c:v>
                </c:pt>
                <c:pt idx="35">
                  <c:v>2.1807079274742389E-3</c:v>
                </c:pt>
                <c:pt idx="36">
                  <c:v>2.3139831330065818E-3</c:v>
                </c:pt>
                <c:pt idx="37">
                  <c:v>2.4472583385389229E-3</c:v>
                </c:pt>
                <c:pt idx="38">
                  <c:v>2.5805335440712649E-3</c:v>
                </c:pt>
                <c:pt idx="39">
                  <c:v>2.7138087496036073E-3</c:v>
                </c:pt>
                <c:pt idx="40">
                  <c:v>2.8470839551359471E-3</c:v>
                </c:pt>
                <c:pt idx="41">
                  <c:v>2.9803591606682891E-3</c:v>
                </c:pt>
                <c:pt idx="42">
                  <c:v>3.1136343662006316E-3</c:v>
                </c:pt>
                <c:pt idx="43">
                  <c:v>3.2469095717329731E-3</c:v>
                </c:pt>
                <c:pt idx="44">
                  <c:v>3.3801847772653151E-3</c:v>
                </c:pt>
                <c:pt idx="45">
                  <c:v>3.5134599827976571E-3</c:v>
                </c:pt>
                <c:pt idx="46">
                  <c:v>3.6467351883299991E-3</c:v>
                </c:pt>
                <c:pt idx="47">
                  <c:v>3.7800103938623411E-3</c:v>
                </c:pt>
                <c:pt idx="48">
                  <c:v>3.913285599394683E-3</c:v>
                </c:pt>
                <c:pt idx="49">
                  <c:v>4.0465608049270246E-3</c:v>
                </c:pt>
                <c:pt idx="50">
                  <c:v>4.1798360104593662E-3</c:v>
                </c:pt>
                <c:pt idx="51">
                  <c:v>4.3131112159917094E-3</c:v>
                </c:pt>
                <c:pt idx="52">
                  <c:v>4.446386421524051E-3</c:v>
                </c:pt>
                <c:pt idx="53">
                  <c:v>4.5796616270563925E-3</c:v>
                </c:pt>
                <c:pt idx="54">
                  <c:v>4.712936832588735E-3</c:v>
                </c:pt>
                <c:pt idx="55">
                  <c:v>4.8462120381210774E-3</c:v>
                </c:pt>
                <c:pt idx="56">
                  <c:v>4.9794872436534198E-3</c:v>
                </c:pt>
                <c:pt idx="57">
                  <c:v>5.1127624491857614E-3</c:v>
                </c:pt>
                <c:pt idx="58">
                  <c:v>5.2460376547181038E-3</c:v>
                </c:pt>
                <c:pt idx="59">
                  <c:v>5.3793128602504462E-3</c:v>
                </c:pt>
                <c:pt idx="60">
                  <c:v>5.5125880657827878E-3</c:v>
                </c:pt>
                <c:pt idx="61">
                  <c:v>5.6458632713151293E-3</c:v>
                </c:pt>
                <c:pt idx="62">
                  <c:v>5.7791384768474717E-3</c:v>
                </c:pt>
                <c:pt idx="63">
                  <c:v>5.9124136823798142E-3</c:v>
                </c:pt>
                <c:pt idx="64">
                  <c:v>6.0456888879121566E-3</c:v>
                </c:pt>
                <c:pt idx="65">
                  <c:v>6.178964093444499E-3</c:v>
                </c:pt>
                <c:pt idx="66">
                  <c:v>6.3122392989768406E-3</c:v>
                </c:pt>
                <c:pt idx="67">
                  <c:v>6.4455145045091812E-3</c:v>
                </c:pt>
                <c:pt idx="68">
                  <c:v>6.5787897100415237E-3</c:v>
                </c:pt>
                <c:pt idx="69">
                  <c:v>6.7120649155738661E-3</c:v>
                </c:pt>
                <c:pt idx="70">
                  <c:v>6.8453401211062085E-3</c:v>
                </c:pt>
                <c:pt idx="71">
                  <c:v>6.9786153266385501E-3</c:v>
                </c:pt>
                <c:pt idx="72">
                  <c:v>7.1118905321708925E-3</c:v>
                </c:pt>
                <c:pt idx="73">
                  <c:v>7.2451657377032349E-3</c:v>
                </c:pt>
                <c:pt idx="74">
                  <c:v>7.3784409432355773E-3</c:v>
                </c:pt>
                <c:pt idx="75">
                  <c:v>7.5117161487679197E-3</c:v>
                </c:pt>
                <c:pt idx="76">
                  <c:v>7.6449913543002613E-3</c:v>
                </c:pt>
                <c:pt idx="77">
                  <c:v>7.7782665598326037E-3</c:v>
                </c:pt>
                <c:pt idx="78">
                  <c:v>7.9115417653649461E-3</c:v>
                </c:pt>
                <c:pt idx="79">
                  <c:v>8.044816970897286E-3</c:v>
                </c:pt>
                <c:pt idx="80">
                  <c:v>8.1780921764296292E-3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ED2-4100-8DD9-BA403DE22051}"/>
            </c:ext>
          </c:extLst>
        </c:ser>
        <c:ser>
          <c:idx val="1"/>
          <c:order val="1"/>
          <c:tx>
            <c:v>min + tan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6"/>
            <c:spPr>
              <a:solidFill>
                <a:schemeClr val="lt1"/>
              </a:solidFill>
              <a:ln w="15875">
                <a:solidFill>
                  <a:schemeClr val="accent2"/>
                </a:solidFill>
                <a:round/>
              </a:ln>
              <a:effectLst/>
            </c:spPr>
          </c:marker>
          <c:dLbls>
            <c:dLbl>
              <c:idx val="0"/>
              <c:layout>
                <c:manualLayout>
                  <c:x val="-0.23006355315522903"/>
                  <c:y val="6.9328920041536859E-2"/>
                </c:manualLayout>
              </c:layout>
              <c:tx>
                <c:rich>
                  <a:bodyPr/>
                  <a:lstStyle/>
                  <a:p>
                    <a:fld id="{8920062A-1BBB-4AF8-99AA-AB1D71663D1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1ED2-4100-8DD9-BA403DE22051}"/>
                </c:ext>
              </c:extLst>
            </c:dLbl>
            <c:dLbl>
              <c:idx val="1"/>
              <c:layout>
                <c:manualLayout>
                  <c:x val="-0.2055450965479764"/>
                  <c:y val="-9.4338932275874698E-2"/>
                </c:manualLayout>
              </c:layout>
              <c:tx>
                <c:rich>
                  <a:bodyPr/>
                  <a:lstStyle/>
                  <a:p>
                    <a:fld id="{9FBA0916-F4B2-4126-86F4-160DA272BB2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1ED2-4100-8DD9-BA403DE2205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projekt!$K$24:$K$25</c:f>
              <c:numCache>
                <c:formatCode>General</c:formatCode>
                <c:ptCount val="2"/>
                <c:pt idx="0">
                  <c:v>2.6765545511810644E-2</c:v>
                </c:pt>
                <c:pt idx="1">
                  <c:v>3.2476414666961419E-2</c:v>
                </c:pt>
              </c:numCache>
            </c:numRef>
          </c:xVal>
          <c:yVal>
            <c:numRef>
              <c:f>projekt!$L$24:$L$25</c:f>
              <c:numCache>
                <c:formatCode>General</c:formatCode>
                <c:ptCount val="2"/>
                <c:pt idx="0" formatCode="_-* #,##0.00000\ _k_r_._-;\-* #,##0.00000\ _k_r_._-;_-* &quot;-&quot;??\ _k_r_._-;_-@_-">
                  <c:v>2.8470839551359471E-3</c:v>
                </c:pt>
                <c:pt idx="1">
                  <c:v>4.179836010459367E-3</c:v>
                </c:pt>
              </c:numCache>
            </c:numRef>
          </c:yVal>
          <c:smooth val="1"/>
          <c:extLst>
            <c:ext xmlns:c15="http://schemas.microsoft.com/office/drawing/2012/chart" uri="{02D57815-91ED-43cb-92C2-25804820EDAC}">
              <c15:datalabelsRange>
                <c15:f>projekt!$J$24:$J$25</c15:f>
                <c15:dlblRangeCache>
                  <c:ptCount val="2"/>
                  <c:pt idx="0">
                    <c:v>Minimum variance portfolio</c:v>
                  </c:pt>
                  <c:pt idx="1">
                    <c:v>Tangency portfolio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3-1ED2-4100-8DD9-BA403DE22051}"/>
            </c:ext>
          </c:extLst>
        </c:ser>
        <c:ser>
          <c:idx val="2"/>
          <c:order val="2"/>
          <c:tx>
            <c:v>Title</c:v>
          </c:tx>
          <c:spPr>
            <a:ln w="25400" cap="rnd">
              <a:noFill/>
              <a:round/>
            </a:ln>
            <a:effectLst/>
          </c:spPr>
          <c:marker>
            <c:symbol val="x"/>
            <c:size val="6"/>
            <c:spPr>
              <a:noFill/>
              <a:ln w="15875">
                <a:solidFill>
                  <a:schemeClr val="accent3"/>
                </a:solidFill>
                <a:round/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592881B6-9888-4D21-AD23-A2DB8420043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1ED2-4100-8DD9-BA403DE22051}"/>
                </c:ext>
              </c:extLst>
            </c:dLbl>
            <c:dLbl>
              <c:idx val="1"/>
              <c:layout>
                <c:manualLayout>
                  <c:x val="-9.3935279071315547E-2"/>
                  <c:y val="1.6247731074719603E-2"/>
                </c:manualLayout>
              </c:layout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1"/>
                </c:ext>
                <c:ext xmlns:c16="http://schemas.microsoft.com/office/drawing/2014/chart" uri="{C3380CC4-5D6E-409C-BE32-E72D297353CC}">
                  <c16:uniqueId val="{00000005-1ED2-4100-8DD9-BA403DE2205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strRef>
              <c:f>projekt!$A$1</c:f>
              <c:strCache>
                <c:ptCount val="1"/>
                <c:pt idx="0">
                  <c:v>Mean variance - Kapitel 5</c:v>
                </c:pt>
              </c:strCache>
            </c:strRef>
          </c:xVal>
          <c:yVal>
            <c:numLit>
              <c:formatCode>General</c:formatCode>
              <c:ptCount val="1"/>
              <c:pt idx="0">
                <c:v>1</c:v>
              </c:pt>
            </c:numLit>
          </c:yVal>
          <c:smooth val="1"/>
          <c:extLst>
            <c:ext xmlns:c15="http://schemas.microsoft.com/office/drawing/2012/chart" uri="{02D57815-91ED-43cb-92C2-25804820EDAC}">
              <c15:datalabelsRange>
                <c15:f>projekt!$D$49:$D$53</c15:f>
                <c15:dlblRangeCache>
                  <c:ptCount val="5"/>
                  <c:pt idx="0">
                    <c:v>Vest </c:v>
                  </c:pt>
                  <c:pt idx="1">
                    <c:v>Novo</c:v>
                  </c:pt>
                  <c:pt idx="2">
                    <c:v>Carl</c:v>
                  </c:pt>
                  <c:pt idx="3">
                    <c:v>FLS</c:v>
                  </c:pt>
                  <c:pt idx="4">
                    <c:v>Maer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6-1ED2-4100-8DD9-BA403DE22051}"/>
            </c:ext>
          </c:extLst>
        </c:ser>
        <c:ser>
          <c:idx val="4"/>
          <c:order val="3"/>
          <c:tx>
            <c:v>riskfree</c:v>
          </c:tx>
          <c:spPr>
            <a:ln w="9525" cap="rnd">
              <a:solidFill>
                <a:schemeClr val="accent5">
                  <a:alpha val="50000"/>
                </a:schemeClr>
              </a:solidFill>
              <a:round/>
            </a:ln>
            <a:effectLst/>
          </c:spPr>
          <c:marker>
            <c:symbol val="none"/>
          </c:marker>
          <c:dPt>
            <c:idx val="0"/>
            <c:marker>
              <c:symbol val="none"/>
            </c:marker>
            <c:bubble3D val="0"/>
            <c:spPr>
              <a:ln w="9525" cap="rnd">
                <a:solidFill>
                  <a:schemeClr val="accent5">
                    <a:alpha val="50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8-1ED2-4100-8DD9-BA403DE22051}"/>
              </c:ext>
            </c:extLst>
          </c:dPt>
          <c:xVal>
            <c:numRef>
              <c:f>projekt!#REF!</c:f>
            </c:numRef>
          </c:xVal>
          <c:yVal>
            <c:numRef>
              <c:f>projekt!$L$4</c:f>
              <c:numCache>
                <c:formatCode>General</c:formatCode>
                <c:ptCount val="1"/>
                <c:pt idx="0">
                  <c:v>2.4999999999999998E-5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1ED2-4100-8DD9-BA403DE22051}"/>
            </c:ext>
          </c:extLst>
        </c:ser>
        <c:ser>
          <c:idx val="5"/>
          <c:order val="4"/>
          <c:tx>
            <c:v>CML</c:v>
          </c:tx>
          <c:spPr>
            <a:ln w="9525" cap="rnd">
              <a:noFill/>
              <a:round/>
            </a:ln>
            <a:effectLst/>
          </c:spPr>
          <c:marker>
            <c:symbol val="none"/>
          </c:marker>
          <c:xVal>
            <c:numRef>
              <c:f>projekt!$D$115:$D$135</c:f>
              <c:numCache>
                <c:formatCode>0%</c:formatCode>
                <c:ptCount val="21"/>
                <c:pt idx="0">
                  <c:v>0</c:v>
                </c:pt>
                <c:pt idx="1">
                  <c:v>3.2476414666961421E-3</c:v>
                </c:pt>
                <c:pt idx="2">
                  <c:v>6.4952829333922843E-3</c:v>
                </c:pt>
                <c:pt idx="3">
                  <c:v>9.742924400088426E-3</c:v>
                </c:pt>
                <c:pt idx="4">
                  <c:v>1.2990565866784569E-2</c:v>
                </c:pt>
                <c:pt idx="5">
                  <c:v>1.6238207333480709E-2</c:v>
                </c:pt>
                <c:pt idx="6">
                  <c:v>1.9485848800176852E-2</c:v>
                </c:pt>
                <c:pt idx="7">
                  <c:v>2.2733490266872991E-2</c:v>
                </c:pt>
                <c:pt idx="8">
                  <c:v>2.5981131733569134E-2</c:v>
                </c:pt>
                <c:pt idx="9">
                  <c:v>2.9228773200265273E-2</c:v>
                </c:pt>
                <c:pt idx="10">
                  <c:v>3.2476414666961412E-2</c:v>
                </c:pt>
                <c:pt idx="11">
                  <c:v>3.5724056133657554E-2</c:v>
                </c:pt>
                <c:pt idx="12">
                  <c:v>3.8971697600353704E-2</c:v>
                </c:pt>
                <c:pt idx="13">
                  <c:v>4.2219339067049846E-2</c:v>
                </c:pt>
                <c:pt idx="14">
                  <c:v>4.5466980533745989E-2</c:v>
                </c:pt>
                <c:pt idx="15">
                  <c:v>4.8714622000442138E-2</c:v>
                </c:pt>
                <c:pt idx="16">
                  <c:v>5.1962263467138281E-2</c:v>
                </c:pt>
                <c:pt idx="17">
                  <c:v>5.5209904933834424E-2</c:v>
                </c:pt>
                <c:pt idx="18">
                  <c:v>5.8457546400530566E-2</c:v>
                </c:pt>
                <c:pt idx="19">
                  <c:v>6.1705187867226709E-2</c:v>
                </c:pt>
                <c:pt idx="20">
                  <c:v>6.4952829333922851E-2</c:v>
                </c:pt>
              </c:numCache>
            </c:numRef>
          </c:xVal>
          <c:yVal>
            <c:numRef>
              <c:f>projekt!$E$115:$E$135</c:f>
              <c:numCache>
                <c:formatCode>0.0000000</c:formatCode>
                <c:ptCount val="21"/>
                <c:pt idx="0">
                  <c:v>2.4999999999999998E-5</c:v>
                </c:pt>
                <c:pt idx="1">
                  <c:v>4.1798360104593673E-4</c:v>
                </c:pt>
                <c:pt idx="2">
                  <c:v>8.3596720209187347E-4</c:v>
                </c:pt>
                <c:pt idx="3">
                  <c:v>1.2539508031378104E-3</c:v>
                </c:pt>
                <c:pt idx="4">
                  <c:v>1.6719344041837469E-3</c:v>
                </c:pt>
                <c:pt idx="5">
                  <c:v>2.0899180052296835E-3</c:v>
                </c:pt>
                <c:pt idx="6">
                  <c:v>2.5079016062756203E-3</c:v>
                </c:pt>
                <c:pt idx="7">
                  <c:v>2.9258852073215567E-3</c:v>
                </c:pt>
                <c:pt idx="8">
                  <c:v>3.3438688083674934E-3</c:v>
                </c:pt>
                <c:pt idx="9">
                  <c:v>3.7618524094134298E-3</c:v>
                </c:pt>
                <c:pt idx="10">
                  <c:v>4.1798360104593662E-3</c:v>
                </c:pt>
                <c:pt idx="11">
                  <c:v>4.5978196115053034E-3</c:v>
                </c:pt>
                <c:pt idx="12">
                  <c:v>5.0158032125512406E-3</c:v>
                </c:pt>
                <c:pt idx="13">
                  <c:v>5.433786813597177E-3</c:v>
                </c:pt>
                <c:pt idx="14">
                  <c:v>5.8517704146431142E-3</c:v>
                </c:pt>
                <c:pt idx="15">
                  <c:v>6.2697540156890514E-3</c:v>
                </c:pt>
                <c:pt idx="16">
                  <c:v>6.6877376167349886E-3</c:v>
                </c:pt>
                <c:pt idx="17">
                  <c:v>7.1057212177809258E-3</c:v>
                </c:pt>
                <c:pt idx="18">
                  <c:v>7.5237048188268631E-3</c:v>
                </c:pt>
                <c:pt idx="19">
                  <c:v>7.9416884198728003E-3</c:v>
                </c:pt>
                <c:pt idx="20">
                  <c:v>8.3596720209187358E-3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1ED2-4100-8DD9-BA403DE22051}"/>
            </c:ext>
          </c:extLst>
        </c:ser>
        <c:ser>
          <c:idx val="3"/>
          <c:order val="5"/>
          <c:tx>
            <c:strRef>
              <c:f>projekt!$C$3</c:f>
              <c:strCache>
                <c:ptCount val="1"/>
                <c:pt idx="0">
                  <c:v>Stock</c:v>
                </c:pt>
              </c:strCache>
            </c:strRef>
          </c:tx>
          <c:spPr>
            <a:ln w="9525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lt1"/>
              </a:solidFill>
              <a:ln w="15875">
                <a:solidFill>
                  <a:schemeClr val="accent4"/>
                </a:solidFill>
                <a:round/>
              </a:ln>
              <a:effectLst/>
            </c:spPr>
          </c:marker>
          <c:dLbls>
            <c:dLbl>
              <c:idx val="0"/>
              <c:layout>
                <c:manualLayout>
                  <c:x val="-9.1172476745688721E-2"/>
                  <c:y val="-6.0444092329665017E-17"/>
                </c:manualLayout>
              </c:layout>
              <c:tx>
                <c:rich>
                  <a:bodyPr/>
                  <a:lstStyle/>
                  <a:p>
                    <a:fld id="{7539CD9E-7C09-4241-BF7F-3E350391238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B-1ED2-4100-8DD9-BA403DE22051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D3A01B74-267A-4E36-B71C-79678488440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1ED2-4100-8DD9-BA403DE22051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83022EAA-715F-4425-9B5B-648C7E50C03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1ED2-4100-8DD9-BA403DE22051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4D42AD18-DA9E-4177-A3B1-39221B3E628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E-1ED2-4100-8DD9-BA403DE22051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A7AAEE11-0DF2-4215-AF85-5AFD783F06A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F-1ED2-4100-8DD9-BA403DE2205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xVal>
            <c:numRef>
              <c:f>projekt!$E$49:$E$53</c:f>
              <c:numCache>
                <c:formatCode>General</c:formatCode>
                <c:ptCount val="5"/>
                <c:pt idx="0">
                  <c:v>6.5076877614095779E-2</c:v>
                </c:pt>
                <c:pt idx="1">
                  <c:v>4.7838269199459965E-2</c:v>
                </c:pt>
                <c:pt idx="2">
                  <c:v>3.1990154735480725E-2</c:v>
                </c:pt>
                <c:pt idx="3">
                  <c:v>4.500777710574029E-2</c:v>
                </c:pt>
                <c:pt idx="4">
                  <c:v>4.231193685001905E-2</c:v>
                </c:pt>
              </c:numCache>
            </c:numRef>
          </c:xVal>
          <c:yVal>
            <c:numRef>
              <c:f>projekt!$F$49:$F$53</c:f>
              <c:numCache>
                <c:formatCode>General</c:formatCode>
                <c:ptCount val="5"/>
                <c:pt idx="0">
                  <c:v>3.6633400000000002E-3</c:v>
                </c:pt>
                <c:pt idx="1">
                  <c:v>4.8842490000000002E-3</c:v>
                </c:pt>
                <c:pt idx="2">
                  <c:v>2.6143429999999999E-3</c:v>
                </c:pt>
                <c:pt idx="3">
                  <c:v>7.9518079999999999E-4</c:v>
                </c:pt>
                <c:pt idx="4">
                  <c:v>2.337872E-3</c:v>
                </c:pt>
              </c:numCache>
            </c:numRef>
          </c:yVal>
          <c:smooth val="1"/>
          <c:extLst>
            <c:ext xmlns:c15="http://schemas.microsoft.com/office/drawing/2012/chart" uri="{02D57815-91ED-43cb-92C2-25804820EDAC}">
              <c15:datalabelsRange>
                <c15:f>projekt!$D$49:$D$53</c15:f>
                <c15:dlblRangeCache>
                  <c:ptCount val="5"/>
                  <c:pt idx="0">
                    <c:v>Vest </c:v>
                  </c:pt>
                  <c:pt idx="1">
                    <c:v>Novo</c:v>
                  </c:pt>
                  <c:pt idx="2">
                    <c:v>Carl</c:v>
                  </c:pt>
                  <c:pt idx="3">
                    <c:v>FLS</c:v>
                  </c:pt>
                  <c:pt idx="4">
                    <c:v>Maer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10-1ED2-4100-8DD9-BA403DE220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47581375"/>
        <c:axId val="847572223"/>
      </c:scatterChart>
      <c:valAx>
        <c:axId val="847581375"/>
        <c:scaling>
          <c:orientation val="minMax"/>
          <c:max val="7.0000000000000007E-2"/>
          <c:min val="1.0000000000000002E-2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0" sourceLinked="0"/>
        <c:majorTickMark val="out"/>
        <c:minorTickMark val="none"/>
        <c:tickLblPos val="low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wrap="square" anchor="t" anchorCtr="0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7572223"/>
        <c:crossesAt val="0"/>
        <c:crossBetween val="midCat"/>
      </c:valAx>
      <c:valAx>
        <c:axId val="847572223"/>
        <c:scaling>
          <c:orientation val="minMax"/>
          <c:max val="8.0000000000000019E-3"/>
          <c:min val="-1.0000000000000002E-3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0"/>
        <c:majorTickMark val="in"/>
        <c:minorTickMark val="in"/>
        <c:tickLblPos val="low"/>
        <c:spPr>
          <a:noFill/>
          <a:ln w="9525" cap="flat" cmpd="sng" algn="ctr">
            <a:solidFill>
              <a:schemeClr val="dk1">
                <a:lumMod val="15000"/>
                <a:lumOff val="8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7581375"/>
        <c:crossesAt val="0"/>
        <c:crossBetween val="midCat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709706</xdr:colOff>
      <xdr:row>28</xdr:row>
      <xdr:rowOff>6303</xdr:rowOff>
    </xdr:from>
    <xdr:to>
      <xdr:col>13</xdr:col>
      <xdr:colOff>364617</xdr:colOff>
      <xdr:row>51</xdr:row>
      <xdr:rowOff>52293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E7C5CFE-7612-460E-87D0-439E68FD655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16063</xdr:colOff>
      <xdr:row>18</xdr:row>
      <xdr:rowOff>151653</xdr:rowOff>
    </xdr:from>
    <xdr:to>
      <xdr:col>2</xdr:col>
      <xdr:colOff>369048</xdr:colOff>
      <xdr:row>22</xdr:row>
      <xdr:rowOff>189754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Tekstfelt 2">
              <a:extLst>
                <a:ext uri="{FF2B5EF4-FFF2-40B4-BE49-F238E27FC236}">
                  <a16:creationId xmlns:a16="http://schemas.microsoft.com/office/drawing/2014/main" id="{7F8AE2D6-D80F-4F9C-A51C-7F2073334AD4}"/>
                </a:ext>
              </a:extLst>
            </xdr:cNvPr>
            <xdr:cNvSpPr txBox="1"/>
          </xdr:nvSpPr>
          <xdr:spPr>
            <a:xfrm>
              <a:off x="16063" y="3466353"/>
              <a:ext cx="1572185" cy="768351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a-DK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For</a:t>
              </a:r>
              <a:r>
                <a:rPr lang="da-DK" sz="11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at finde vægtene for en tangent portefølje</a:t>
              </a:r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a-DK" sz="110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a-DK" sz="1100" i="1">
                            <a:solidFill>
                              <a:schemeClr val="dk1"/>
                            </a:solidFill>
                            <a:effectLst/>
                            <a:latin typeface="Cambria Math" charset="0"/>
                            <a:ea typeface="+mn-ea"/>
                            <a:cs typeface="+mn-cs"/>
                          </a:rPr>
                          <m:t>𝑤</m:t>
                        </m:r>
                      </m:e>
                      <m:sub>
                        <m:r>
                          <m:rPr>
                            <m:sty m:val="p"/>
                          </m:rPr>
                          <a:rPr lang="da-DK" sz="1100" b="0" i="0">
                            <a:solidFill>
                              <a:schemeClr val="dk1"/>
                            </a:solidFill>
                            <a:effectLst/>
                            <a:latin typeface="Cambria Math" charset="0"/>
                            <a:ea typeface="+mn-ea"/>
                            <a:cs typeface="+mn-cs"/>
                          </a:rPr>
                          <m:t>tan</m:t>
                        </m:r>
                      </m:sub>
                    </m:sSub>
                    <m:r>
                      <a:rPr lang="da-DK" sz="1100" i="1">
                        <a:solidFill>
                          <a:schemeClr val="dk1"/>
                        </a:solidFill>
                        <a:effectLst/>
                        <a:latin typeface="Cambria Math" charset="0"/>
                        <a:ea typeface="+mn-ea"/>
                        <a:cs typeface="+mn-cs"/>
                      </a:rPr>
                      <m:t>=</m:t>
                    </m:r>
                    <m:f>
                      <m:fPr>
                        <m:ctrlPr>
                          <a:rPr lang="mr-IN" sz="110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sSup>
                          <m:sSupPr>
                            <m:ctrlPr>
                              <a:rPr lang="da-DK" sz="110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m:rPr>
                                <m:sty m:val="p"/>
                              </m:rPr>
                              <a:rPr lang="da-DK" sz="1100">
                                <a:solidFill>
                                  <a:schemeClr val="dk1"/>
                                </a:solidFill>
                                <a:effectLst/>
                                <a:latin typeface="Cambria Math" charset="0"/>
                                <a:ea typeface="+mn-ea"/>
                                <a:cs typeface="+mn-cs"/>
                              </a:rPr>
                              <m:t>Σ</m:t>
                            </m:r>
                          </m:e>
                          <m:sup>
                            <m:r>
                              <a:rPr lang="da-DK" sz="1100" i="1">
                                <a:solidFill>
                                  <a:schemeClr val="dk1"/>
                                </a:solidFill>
                                <a:effectLst/>
                                <a:latin typeface="Cambria Math" charset="0"/>
                                <a:ea typeface="+mn-ea"/>
                                <a:cs typeface="+mn-cs"/>
                              </a:rPr>
                              <m:t>−1</m:t>
                            </m:r>
                          </m:sup>
                        </m:sSup>
                        <m:r>
                          <a:rPr lang="da-DK" sz="1100" b="0" i="1">
                            <a:solidFill>
                              <a:schemeClr val="dk1"/>
                            </a:solidFill>
                            <a:effectLst/>
                            <a:latin typeface="Cambria Math" charset="0"/>
                            <a:ea typeface="+mn-ea"/>
                            <a:cs typeface="+mn-cs"/>
                          </a:rPr>
                          <m:t>(</m:t>
                        </m:r>
                        <m:r>
                          <a:rPr lang="da-DK" sz="1100" b="0" i="1">
                            <a:solidFill>
                              <a:schemeClr val="dk1"/>
                            </a:solidFill>
                            <a:effectLst/>
                            <a:latin typeface="Cambria Math" charset="0"/>
                            <a:ea typeface="+mn-ea"/>
                            <a:cs typeface="+mn-cs"/>
                          </a:rPr>
                          <m:t>𝜇</m:t>
                        </m:r>
                        <m:r>
                          <a:rPr lang="da-DK" sz="1100" b="0" i="1">
                            <a:solidFill>
                              <a:schemeClr val="dk1"/>
                            </a:solidFill>
                            <a:effectLst/>
                            <a:latin typeface="Cambria Math" charset="0"/>
                            <a:ea typeface="+mn-ea"/>
                            <a:cs typeface="+mn-cs"/>
                          </a:rPr>
                          <m:t>−</m:t>
                        </m:r>
                        <m:sSup>
                          <m:sSupPr>
                            <m:ctrlPr>
                              <a:rPr lang="da-DK" sz="11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lang="da-DK" sz="11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charset="0"/>
                                <a:ea typeface="+mn-ea"/>
                                <a:cs typeface="+mn-cs"/>
                              </a:rPr>
                              <m:t>𝑟</m:t>
                            </m:r>
                          </m:e>
                          <m:sup>
                            <m:r>
                              <a:rPr lang="da-DK" sz="11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charset="0"/>
                                <a:ea typeface="+mn-ea"/>
                                <a:cs typeface="+mn-cs"/>
                              </a:rPr>
                              <m:t>𝑓</m:t>
                            </m:r>
                          </m:sup>
                        </m:sSup>
                        <m:r>
                          <a:rPr lang="da-DK" sz="1100" b="0" i="1">
                            <a:solidFill>
                              <a:schemeClr val="dk1"/>
                            </a:solidFill>
                            <a:effectLst/>
                            <a:latin typeface="Cambria Math" charset="0"/>
                            <a:ea typeface="+mn-ea"/>
                            <a:cs typeface="+mn-cs"/>
                          </a:rPr>
                          <m:t>1)</m:t>
                        </m:r>
                      </m:num>
                      <m:den>
                        <m:sSup>
                          <m:sSupPr>
                            <m:ctrlPr>
                              <a:rPr lang="da-DK" sz="110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sSup>
                              <m:sSupPr>
                                <m:ctrlPr>
                                  <a:rPr lang="da-DK" sz="1100" b="0" i="1">
                                    <a:solidFill>
                                      <a:schemeClr val="dk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pPr>
                              <m:e>
                                <m:r>
                                  <a:rPr lang="da-DK" sz="1100" b="0" i="0">
                                    <a:solidFill>
                                      <a:schemeClr val="dk1"/>
                                    </a:solidFill>
                                    <a:effectLst/>
                                    <a:latin typeface="Cambria Math" charset="0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e>
                              <m:sup>
                                <m:r>
                                  <m:rPr>
                                    <m:sty m:val="p"/>
                                  </m:rPr>
                                  <a:rPr lang="da-DK" sz="1100" b="0" i="0">
                                    <a:solidFill>
                                      <a:schemeClr val="dk1"/>
                                    </a:solidFill>
                                    <a:effectLst/>
                                    <a:latin typeface="Cambria Math" charset="0"/>
                                    <a:ea typeface="+mn-ea"/>
                                    <a:cs typeface="+mn-cs"/>
                                  </a:rPr>
                                  <m:t>Τ</m:t>
                                </m:r>
                              </m:sup>
                            </m:sSup>
                            <m:r>
                              <m:rPr>
                                <m:sty m:val="p"/>
                              </m:rPr>
                              <a:rPr lang="da-DK" sz="1100">
                                <a:solidFill>
                                  <a:schemeClr val="dk1"/>
                                </a:solidFill>
                                <a:effectLst/>
                                <a:latin typeface="Cambria Math" charset="0"/>
                                <a:ea typeface="+mn-ea"/>
                                <a:cs typeface="+mn-cs"/>
                              </a:rPr>
                              <m:t>Σ</m:t>
                            </m:r>
                          </m:e>
                          <m:sup>
                            <m:r>
                              <a:rPr lang="da-DK" sz="1100" i="1">
                                <a:solidFill>
                                  <a:schemeClr val="dk1"/>
                                </a:solidFill>
                                <a:effectLst/>
                                <a:latin typeface="Cambria Math" charset="0"/>
                                <a:ea typeface="+mn-ea"/>
                                <a:cs typeface="+mn-cs"/>
                              </a:rPr>
                              <m:t>−1</m:t>
                            </m:r>
                          </m:sup>
                        </m:sSup>
                        <m:r>
                          <a:rPr lang="da-DK" sz="1100" b="0" i="1">
                            <a:solidFill>
                              <a:schemeClr val="dk1"/>
                            </a:solidFill>
                            <a:effectLst/>
                            <a:latin typeface="Cambria Math" charset="0"/>
                            <a:ea typeface="+mn-ea"/>
                            <a:cs typeface="+mn-cs"/>
                          </a:rPr>
                          <m:t>(</m:t>
                        </m:r>
                        <m:r>
                          <a:rPr lang="da-DK" sz="1100" b="0" i="1">
                            <a:solidFill>
                              <a:schemeClr val="dk1"/>
                            </a:solidFill>
                            <a:effectLst/>
                            <a:latin typeface="Cambria Math" charset="0"/>
                            <a:ea typeface="+mn-ea"/>
                            <a:cs typeface="+mn-cs"/>
                          </a:rPr>
                          <m:t>𝜇</m:t>
                        </m:r>
                        <m:r>
                          <a:rPr lang="da-DK" sz="1100" b="0" i="1">
                            <a:solidFill>
                              <a:schemeClr val="dk1"/>
                            </a:solidFill>
                            <a:effectLst/>
                            <a:latin typeface="Cambria Math" charset="0"/>
                            <a:ea typeface="+mn-ea"/>
                            <a:cs typeface="+mn-cs"/>
                          </a:rPr>
                          <m:t>−</m:t>
                        </m:r>
                        <m:sSup>
                          <m:sSupPr>
                            <m:ctrlPr>
                              <a:rPr lang="da-DK" sz="11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lang="da-DK" sz="11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charset="0"/>
                                <a:ea typeface="+mn-ea"/>
                                <a:cs typeface="+mn-cs"/>
                              </a:rPr>
                              <m:t>𝑟</m:t>
                            </m:r>
                          </m:e>
                          <m:sup>
                            <m:r>
                              <a:rPr lang="da-DK" sz="11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charset="0"/>
                                <a:ea typeface="+mn-ea"/>
                                <a:cs typeface="+mn-cs"/>
                              </a:rPr>
                              <m:t>𝑓</m:t>
                            </m:r>
                          </m:sup>
                        </m:sSup>
                        <m:r>
                          <a:rPr lang="da-DK" sz="1100" b="0" i="1">
                            <a:solidFill>
                              <a:schemeClr val="dk1"/>
                            </a:solidFill>
                            <a:effectLst/>
                            <a:latin typeface="Cambria Math" charset="0"/>
                            <a:ea typeface="+mn-ea"/>
                            <a:cs typeface="+mn-cs"/>
                          </a:rPr>
                          <m:t>1)</m:t>
                        </m:r>
                      </m:den>
                    </m:f>
                  </m:oMath>
                </m:oMathPara>
              </a14:m>
              <a:endParaRPr lang="da-DK" sz="1100" i="1">
                <a:solidFill>
                  <a:schemeClr val="dk1"/>
                </a:solidFill>
                <a:effectLst/>
                <a:latin typeface="Cambria Math" charset="0"/>
                <a:ea typeface="+mn-ea"/>
                <a:cs typeface="+mn-cs"/>
              </a:endParaRPr>
            </a:p>
            <a:p>
              <a:endParaRPr lang="da-DK" sz="1100"/>
            </a:p>
          </xdr:txBody>
        </xdr:sp>
      </mc:Choice>
      <mc:Fallback>
        <xdr:sp macro="" textlink="">
          <xdr:nvSpPr>
            <xdr:cNvPr id="3" name="Tekstfelt 2">
              <a:extLst>
                <a:ext uri="{FF2B5EF4-FFF2-40B4-BE49-F238E27FC236}">
                  <a16:creationId xmlns:a16="http://schemas.microsoft.com/office/drawing/2014/main" id="{7F8AE2D6-D80F-4F9C-A51C-7F2073334AD4}"/>
                </a:ext>
              </a:extLst>
            </xdr:cNvPr>
            <xdr:cNvSpPr txBox="1"/>
          </xdr:nvSpPr>
          <xdr:spPr>
            <a:xfrm>
              <a:off x="16063" y="3466353"/>
              <a:ext cx="1572185" cy="768351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a-DK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For</a:t>
              </a:r>
              <a:r>
                <a:rPr lang="da-DK" sz="11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at finde vægtene for en tangent portefølje</a:t>
              </a:r>
            </a:p>
            <a:p>
              <a:pPr/>
              <a:r>
                <a:rPr lang="da-DK" sz="1100" i="0">
                  <a:solidFill>
                    <a:schemeClr val="dk1"/>
                  </a:solidFill>
                  <a:effectLst/>
                  <a:latin typeface="Cambria Math" charset="0"/>
                  <a:ea typeface="+mn-ea"/>
                  <a:cs typeface="+mn-cs"/>
                </a:rPr>
                <a:t>𝑤</a:t>
              </a:r>
              <a:r>
                <a:rPr lang="da-DK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da-DK" sz="1100" b="0" i="0">
                  <a:solidFill>
                    <a:schemeClr val="dk1"/>
                  </a:solidFill>
                  <a:effectLst/>
                  <a:latin typeface="Cambria Math" charset="0"/>
                  <a:ea typeface="+mn-ea"/>
                  <a:cs typeface="+mn-cs"/>
                </a:rPr>
                <a:t>tan</a:t>
              </a:r>
              <a:r>
                <a:rPr lang="da-DK" sz="1100" i="0">
                  <a:solidFill>
                    <a:schemeClr val="dk1"/>
                  </a:solidFill>
                  <a:effectLst/>
                  <a:latin typeface="Cambria Math" charset="0"/>
                  <a:ea typeface="+mn-ea"/>
                  <a:cs typeface="+mn-cs"/>
                </a:rPr>
                <a:t>=</a:t>
              </a:r>
              <a:r>
                <a:rPr lang="mr-IN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da-DK" sz="1100" i="0">
                  <a:solidFill>
                    <a:schemeClr val="dk1"/>
                  </a:solidFill>
                  <a:effectLst/>
                  <a:latin typeface="Cambria Math" charset="0"/>
                  <a:ea typeface="+mn-ea"/>
                  <a:cs typeface="+mn-cs"/>
                </a:rPr>
                <a:t>Σ</a:t>
              </a:r>
              <a:r>
                <a:rPr lang="da-DK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^(</a:t>
              </a:r>
              <a:r>
                <a:rPr lang="da-DK" sz="1100" i="0">
                  <a:solidFill>
                    <a:schemeClr val="dk1"/>
                  </a:solidFill>
                  <a:effectLst/>
                  <a:latin typeface="Cambria Math" charset="0"/>
                  <a:ea typeface="+mn-ea"/>
                  <a:cs typeface="+mn-cs"/>
                </a:rPr>
                <a:t>−1</a:t>
              </a:r>
              <a:r>
                <a:rPr lang="da-DK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a-DK" sz="1100" b="0" i="0">
                  <a:solidFill>
                    <a:schemeClr val="dk1"/>
                  </a:solidFill>
                  <a:effectLst/>
                  <a:latin typeface="Cambria Math" charset="0"/>
                  <a:ea typeface="+mn-ea"/>
                  <a:cs typeface="+mn-cs"/>
                </a:rPr>
                <a:t> (𝜇−𝑟</a:t>
              </a:r>
              <a:r>
                <a:rPr lang="da-DK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^</a:t>
              </a:r>
              <a:r>
                <a:rPr lang="da-DK" sz="1100" b="0" i="0">
                  <a:solidFill>
                    <a:schemeClr val="dk1"/>
                  </a:solidFill>
                  <a:effectLst/>
                  <a:latin typeface="Cambria Math" charset="0"/>
                  <a:ea typeface="+mn-ea"/>
                  <a:cs typeface="+mn-cs"/>
                </a:rPr>
                <a:t>𝑓 1)</a:t>
              </a:r>
              <a:r>
                <a:rPr lang="mr-IN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)/(</a:t>
              </a:r>
              <a:r>
                <a:rPr lang="da-DK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a-DK" sz="1100" b="0" i="0">
                  <a:solidFill>
                    <a:schemeClr val="dk1"/>
                  </a:solidFill>
                  <a:effectLst/>
                  <a:latin typeface="Cambria Math" charset="0"/>
                  <a:ea typeface="+mn-ea"/>
                  <a:cs typeface="+mn-cs"/>
                </a:rPr>
                <a:t>1</a:t>
              </a:r>
              <a:r>
                <a:rPr lang="da-DK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^</a:t>
              </a:r>
              <a:r>
                <a:rPr lang="da-DK" sz="1100" b="0" i="0">
                  <a:solidFill>
                    <a:schemeClr val="dk1"/>
                  </a:solidFill>
                  <a:effectLst/>
                  <a:latin typeface="Cambria Math" charset="0"/>
                  <a:ea typeface="+mn-ea"/>
                  <a:cs typeface="+mn-cs"/>
                </a:rPr>
                <a:t>Τ </a:t>
              </a:r>
              <a:r>
                <a:rPr lang="da-DK" sz="1100" i="0">
                  <a:solidFill>
                    <a:schemeClr val="dk1"/>
                  </a:solidFill>
                  <a:effectLst/>
                  <a:latin typeface="Cambria Math" charset="0"/>
                  <a:ea typeface="+mn-ea"/>
                  <a:cs typeface="+mn-cs"/>
                </a:rPr>
                <a:t>Σ</a:t>
              </a:r>
              <a:r>
                <a:rPr lang="da-DK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〗^(</a:t>
              </a:r>
              <a:r>
                <a:rPr lang="da-DK" sz="1100" i="0">
                  <a:solidFill>
                    <a:schemeClr val="dk1"/>
                  </a:solidFill>
                  <a:effectLst/>
                  <a:latin typeface="Cambria Math" charset="0"/>
                  <a:ea typeface="+mn-ea"/>
                  <a:cs typeface="+mn-cs"/>
                </a:rPr>
                <a:t>−1</a:t>
              </a:r>
              <a:r>
                <a:rPr lang="da-DK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a-DK" sz="1100" b="0" i="0">
                  <a:solidFill>
                    <a:schemeClr val="dk1"/>
                  </a:solidFill>
                  <a:effectLst/>
                  <a:latin typeface="Cambria Math" charset="0"/>
                  <a:ea typeface="+mn-ea"/>
                  <a:cs typeface="+mn-cs"/>
                </a:rPr>
                <a:t> (𝜇−𝑟</a:t>
              </a:r>
              <a:r>
                <a:rPr lang="da-DK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^</a:t>
              </a:r>
              <a:r>
                <a:rPr lang="da-DK" sz="1100" b="0" i="0">
                  <a:solidFill>
                    <a:schemeClr val="dk1"/>
                  </a:solidFill>
                  <a:effectLst/>
                  <a:latin typeface="Cambria Math" charset="0"/>
                  <a:ea typeface="+mn-ea"/>
                  <a:cs typeface="+mn-cs"/>
                </a:rPr>
                <a:t>𝑓 1)</a:t>
              </a:r>
              <a:r>
                <a:rPr lang="mr-IN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endParaRPr lang="da-DK" sz="1100" i="1">
                <a:solidFill>
                  <a:schemeClr val="dk1"/>
                </a:solidFill>
                <a:effectLst/>
                <a:latin typeface="Cambria Math" charset="0"/>
                <a:ea typeface="+mn-ea"/>
                <a:cs typeface="+mn-cs"/>
              </a:endParaRPr>
            </a:p>
            <a:p>
              <a:endParaRPr lang="da-DK" sz="1100"/>
            </a:p>
          </xdr:txBody>
        </xdr:sp>
      </mc:Fallback>
    </mc:AlternateContent>
    <xdr:clientData/>
  </xdr:twoCellAnchor>
  <xdr:oneCellAnchor>
    <xdr:from>
      <xdr:col>3</xdr:col>
      <xdr:colOff>413870</xdr:colOff>
      <xdr:row>73</xdr:row>
      <xdr:rowOff>122143</xdr:rowOff>
    </xdr:from>
    <xdr:ext cx="4629681" cy="620746"/>
    <xdr:pic>
      <xdr:nvPicPr>
        <xdr:cNvPr id="4" name="Picture 1">
          <a:extLst>
            <a:ext uri="{FF2B5EF4-FFF2-40B4-BE49-F238E27FC236}">
              <a16:creationId xmlns:a16="http://schemas.microsoft.com/office/drawing/2014/main" id="{4DCF3285-B9EA-4F2E-BCDD-7334B34FA8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242670" y="13565093"/>
          <a:ext cx="4629681" cy="620746"/>
        </a:xfrm>
        <a:prstGeom prst="rect">
          <a:avLst/>
        </a:prstGeom>
      </xdr:spPr>
    </xdr:pic>
    <xdr:clientData/>
  </xdr:oneCellAnchor>
  <xdr:twoCellAnchor>
    <xdr:from>
      <xdr:col>0</xdr:col>
      <xdr:colOff>261471</xdr:colOff>
      <xdr:row>43</xdr:row>
      <xdr:rowOff>22412</xdr:rowOff>
    </xdr:from>
    <xdr:to>
      <xdr:col>0</xdr:col>
      <xdr:colOff>2383118</xdr:colOff>
      <xdr:row>45</xdr:row>
      <xdr:rowOff>153804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" name="Tekstfelt 11">
              <a:extLst>
                <a:ext uri="{FF2B5EF4-FFF2-40B4-BE49-F238E27FC236}">
                  <a16:creationId xmlns:a16="http://schemas.microsoft.com/office/drawing/2014/main" id="{D86C77AB-9C29-4B11-A36E-AB9F6674C73A}"/>
                </a:ext>
              </a:extLst>
            </xdr:cNvPr>
            <xdr:cNvSpPr txBox="1"/>
          </xdr:nvSpPr>
          <xdr:spPr>
            <a:xfrm>
              <a:off x="261471" y="7940862"/>
              <a:ext cx="349997" cy="499692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a-DK" sz="110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100" i="1">
                            <a:solidFill>
                              <a:schemeClr val="dk1"/>
                            </a:solidFill>
                            <a:effectLst/>
                            <a:latin typeface="Cambria Math" charset="0"/>
                            <a:ea typeface="+mn-ea"/>
                            <a:cs typeface="+mn-cs"/>
                          </a:rPr>
                          <m:t>𝛽</m:t>
                        </m:r>
                      </m:e>
                      <m:sub>
                        <m:r>
                          <a:rPr lang="en-US" sz="1100" i="1">
                            <a:solidFill>
                              <a:schemeClr val="dk1"/>
                            </a:solidFill>
                            <a:effectLst/>
                            <a:latin typeface="Cambria Math" charset="0"/>
                            <a:ea typeface="+mn-ea"/>
                            <a:cs typeface="+mn-cs"/>
                          </a:rPr>
                          <m:t>𝑖</m:t>
                        </m:r>
                      </m:sub>
                    </m:sSub>
                    <m:r>
                      <a:rPr lang="en-US" sz="1100" i="1">
                        <a:solidFill>
                          <a:schemeClr val="dk1"/>
                        </a:solidFill>
                        <a:effectLst/>
                        <a:latin typeface="Cambria Math" charset="0"/>
                        <a:ea typeface="+mn-ea"/>
                        <a:cs typeface="+mn-cs"/>
                      </a:rPr>
                      <m:t>=</m:t>
                    </m:r>
                    <m:f>
                      <m:fPr>
                        <m:ctrlPr>
                          <a:rPr lang="da-DK" sz="110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m:rPr>
                            <m:sty m:val="p"/>
                          </m:rPr>
                          <a:rPr lang="en-US" sz="1100">
                            <a:solidFill>
                              <a:schemeClr val="dk1"/>
                            </a:solidFill>
                            <a:effectLst/>
                            <a:latin typeface="Cambria Math" charset="0"/>
                            <a:ea typeface="+mn-ea"/>
                            <a:cs typeface="+mn-cs"/>
                          </a:rPr>
                          <m:t>Σ</m:t>
                        </m:r>
                        <m:r>
                          <a:rPr lang="en-US" sz="1100" i="1">
                            <a:solidFill>
                              <a:schemeClr val="dk1"/>
                            </a:solidFill>
                            <a:effectLst/>
                            <a:latin typeface="Cambria Math" charset="0"/>
                            <a:ea typeface="+mn-ea"/>
                            <a:cs typeface="+mn-cs"/>
                          </a:rPr>
                          <m:t>𝜔</m:t>
                        </m:r>
                      </m:num>
                      <m:den>
                        <m:sSup>
                          <m:sSupPr>
                            <m:ctrlPr>
                              <a:rPr lang="da-DK" sz="11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lang="en-US" sz="1100" i="1">
                                <a:solidFill>
                                  <a:schemeClr val="dk1"/>
                                </a:solidFill>
                                <a:effectLst/>
                                <a:latin typeface="Cambria Math" charset="0"/>
                                <a:ea typeface="+mn-ea"/>
                                <a:cs typeface="+mn-cs"/>
                              </a:rPr>
                              <m:t>𝜔</m:t>
                            </m:r>
                          </m:e>
                          <m:sup>
                            <m:r>
                              <m:rPr>
                                <m:sty m:val="p"/>
                              </m:rPr>
                              <a:rPr lang="da-DK" sz="1100" b="0" i="0">
                                <a:solidFill>
                                  <a:schemeClr val="dk1"/>
                                </a:solidFill>
                                <a:effectLst/>
                                <a:latin typeface="Cambria Math" charset="0"/>
                                <a:ea typeface="+mn-ea"/>
                                <a:cs typeface="+mn-cs"/>
                              </a:rPr>
                              <m:t>Τ</m:t>
                            </m:r>
                          </m:sup>
                        </m:sSup>
                        <m:r>
                          <m:rPr>
                            <m:sty m:val="p"/>
                          </m:rPr>
                          <a:rPr lang="en-US" sz="1100">
                            <a:solidFill>
                              <a:schemeClr val="dk1"/>
                            </a:solidFill>
                            <a:effectLst/>
                            <a:latin typeface="Cambria Math" charset="0"/>
                            <a:ea typeface="+mn-ea"/>
                            <a:cs typeface="+mn-cs"/>
                          </a:rPr>
                          <m:t>Σω</m:t>
                        </m:r>
                      </m:den>
                    </m:f>
                  </m:oMath>
                </m:oMathPara>
              </a14:m>
              <a:endParaRPr lang="da-DK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da-DK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Choice>
      <mc:Fallback>
        <xdr:sp macro="" textlink="">
          <xdr:nvSpPr>
            <xdr:cNvPr id="5" name="Tekstfelt 11">
              <a:extLst>
                <a:ext uri="{FF2B5EF4-FFF2-40B4-BE49-F238E27FC236}">
                  <a16:creationId xmlns:a16="http://schemas.microsoft.com/office/drawing/2014/main" id="{D86C77AB-9C29-4B11-A36E-AB9F6674C73A}"/>
                </a:ext>
              </a:extLst>
            </xdr:cNvPr>
            <xdr:cNvSpPr txBox="1"/>
          </xdr:nvSpPr>
          <xdr:spPr>
            <a:xfrm>
              <a:off x="261471" y="7940862"/>
              <a:ext cx="349997" cy="499692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100" i="0">
                  <a:solidFill>
                    <a:schemeClr val="dk1"/>
                  </a:solidFill>
                  <a:effectLst/>
                  <a:latin typeface="Cambria Math" charset="0"/>
                  <a:ea typeface="+mn-ea"/>
                  <a:cs typeface="+mn-cs"/>
                </a:rPr>
                <a:t>𝛽</a:t>
              </a:r>
              <a:r>
                <a:rPr lang="da-DK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 i="0">
                  <a:solidFill>
                    <a:schemeClr val="dk1"/>
                  </a:solidFill>
                  <a:effectLst/>
                  <a:latin typeface="Cambria Math" charset="0"/>
                  <a:ea typeface="+mn-ea"/>
                  <a:cs typeface="+mn-cs"/>
                </a:rPr>
                <a:t>𝑖=Σ𝜔</a:t>
              </a:r>
              <a:r>
                <a:rPr lang="da-DK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/(</a:t>
              </a:r>
              <a:r>
                <a:rPr lang="en-US" sz="1100" i="0">
                  <a:solidFill>
                    <a:schemeClr val="dk1"/>
                  </a:solidFill>
                  <a:effectLst/>
                  <a:latin typeface="Cambria Math" charset="0"/>
                  <a:ea typeface="+mn-ea"/>
                  <a:cs typeface="+mn-cs"/>
                </a:rPr>
                <a:t>𝜔</a:t>
              </a:r>
              <a:r>
                <a:rPr lang="da-DK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^</a:t>
              </a:r>
              <a:r>
                <a:rPr lang="da-DK" sz="1100" b="0" i="0">
                  <a:solidFill>
                    <a:schemeClr val="dk1"/>
                  </a:solidFill>
                  <a:effectLst/>
                  <a:latin typeface="Cambria Math" charset="0"/>
                  <a:ea typeface="+mn-ea"/>
                  <a:cs typeface="+mn-cs"/>
                </a:rPr>
                <a:t>Τ</a:t>
              </a:r>
              <a:r>
                <a:rPr lang="en-US" sz="1100" b="0" i="0">
                  <a:solidFill>
                    <a:schemeClr val="dk1"/>
                  </a:solidFill>
                  <a:effectLst/>
                  <a:latin typeface="Cambria Math" charset="0"/>
                  <a:ea typeface="+mn-ea"/>
                  <a:cs typeface="+mn-cs"/>
                </a:rPr>
                <a:t> </a:t>
              </a:r>
              <a:r>
                <a:rPr lang="en-US" sz="1100" i="0">
                  <a:solidFill>
                    <a:schemeClr val="dk1"/>
                  </a:solidFill>
                  <a:effectLst/>
                  <a:latin typeface="Cambria Math" charset="0"/>
                  <a:ea typeface="+mn-ea"/>
                  <a:cs typeface="+mn-cs"/>
                </a:rPr>
                <a:t>Σω</a:t>
              </a:r>
              <a:r>
                <a:rPr lang="da-DK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endParaRPr lang="da-DK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da-DK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Fallback>
    </mc:AlternateContent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sielle%20markede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ariance-covariance + correlati"/>
      <sheetName val="Lektion 2"/>
      <sheetName val="Minimum Varians"/>
      <sheetName val="Mean-Variance"/>
      <sheetName val="Mary Example"/>
      <sheetName val="Factor Models"/>
      <sheetName val="Options"/>
      <sheetName val="Black Scholes"/>
      <sheetName val="Bonds"/>
    </sheetNames>
    <sheetDataSet>
      <sheetData sheetId="0">
        <row r="2">
          <cell r="L2">
            <v>-0.13324569238446285</v>
          </cell>
          <cell r="M2">
            <v>-0.18868479742287206</v>
          </cell>
          <cell r="N2">
            <v>-0.17476442609710124</v>
          </cell>
          <cell r="Q2">
            <v>1</v>
          </cell>
          <cell r="R2">
            <v>1</v>
          </cell>
          <cell r="S2">
            <v>1</v>
          </cell>
          <cell r="T2">
            <v>1</v>
          </cell>
          <cell r="U2">
            <v>1</v>
          </cell>
          <cell r="V2">
            <v>1</v>
          </cell>
          <cell r="W2">
            <v>1</v>
          </cell>
          <cell r="X2">
            <v>1</v>
          </cell>
          <cell r="Y2">
            <v>1</v>
          </cell>
          <cell r="Z2">
            <v>1</v>
          </cell>
        </row>
        <row r="3">
          <cell r="L3">
            <v>6.2071384511181446E-3</v>
          </cell>
          <cell r="M3">
            <v>-0.33953421781044191</v>
          </cell>
          <cell r="N3">
            <v>-0.81413937100352352</v>
          </cell>
          <cell r="P3">
            <v>1</v>
          </cell>
        </row>
        <row r="4">
          <cell r="L4">
            <v>0.69998629679224744</v>
          </cell>
          <cell r="M4">
            <v>0.54577510585719047</v>
          </cell>
          <cell r="N4">
            <v>1.0022233924287636</v>
          </cell>
          <cell r="P4">
            <v>1</v>
          </cell>
        </row>
        <row r="5">
          <cell r="L5">
            <v>0.26571002703895202</v>
          </cell>
          <cell r="M5">
            <v>0.31663285435150457</v>
          </cell>
          <cell r="N5">
            <v>-2.7615429573348886E-2</v>
          </cell>
          <cell r="P5">
            <v>1</v>
          </cell>
        </row>
        <row r="6">
          <cell r="L6">
            <v>7.5158180999509536E-2</v>
          </cell>
          <cell r="M6">
            <v>0.29757652789513683</v>
          </cell>
          <cell r="N6">
            <v>0.55975957926371145</v>
          </cell>
          <cell r="P6">
            <v>1</v>
          </cell>
        </row>
        <row r="7">
          <cell r="L7">
            <v>9.5250184250934719E-2</v>
          </cell>
          <cell r="M7">
            <v>0.20943867790933979</v>
          </cell>
          <cell r="N7">
            <v>0.99998345411826994</v>
          </cell>
          <cell r="P7">
            <v>1</v>
          </cell>
        </row>
        <row r="8">
          <cell r="L8">
            <v>-0.12037107001725686</v>
          </cell>
          <cell r="M8">
            <v>-0.290290376651548</v>
          </cell>
          <cell r="N8">
            <v>0.65650465356773524</v>
          </cell>
          <cell r="P8">
            <v>1</v>
          </cell>
        </row>
        <row r="9">
          <cell r="L9">
            <v>-0.51627643687765845</v>
          </cell>
          <cell r="M9">
            <v>-0.44338154665552715</v>
          </cell>
          <cell r="N9">
            <v>-0.48352894171702537</v>
          </cell>
          <cell r="P9">
            <v>1</v>
          </cell>
        </row>
        <row r="10">
          <cell r="L10">
            <v>0.2465839702251284</v>
          </cell>
          <cell r="M10">
            <v>0.48854896063411501</v>
          </cell>
          <cell r="N10">
            <v>-0.2210627203388694</v>
          </cell>
          <cell r="P10">
            <v>1</v>
          </cell>
        </row>
        <row r="11">
          <cell r="L11">
            <v>0.20941582101112233</v>
          </cell>
          <cell r="M11">
            <v>0.19127698646138638</v>
          </cell>
          <cell r="N11">
            <v>-0.25442483587021059</v>
          </cell>
          <cell r="P11">
            <v>1</v>
          </cell>
        </row>
        <row r="12">
          <cell r="P12">
            <v>1</v>
          </cell>
        </row>
      </sheetData>
      <sheetData sheetId="1" refreshError="1"/>
      <sheetData sheetId="2" refreshError="1"/>
      <sheetData sheetId="3">
        <row r="4">
          <cell r="D4">
            <v>2E-3</v>
          </cell>
          <cell r="E4">
            <v>1E-3</v>
          </cell>
          <cell r="F4">
            <v>0</v>
          </cell>
        </row>
        <row r="5">
          <cell r="D5">
            <v>1E-3</v>
          </cell>
          <cell r="E5">
            <v>2E-3</v>
          </cell>
          <cell r="F5">
            <v>1E-3</v>
          </cell>
        </row>
        <row r="6">
          <cell r="D6">
            <v>0</v>
          </cell>
          <cell r="E6">
            <v>1E-3</v>
          </cell>
          <cell r="F6">
            <v>2E-3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69940-1CD5-478C-932C-344496919EAF}">
  <dimension ref="A1:Q186"/>
  <sheetViews>
    <sheetView tabSelected="1" topLeftCell="A12" zoomScale="85" zoomScaleNormal="85" workbookViewId="0">
      <selection activeCell="F113" sqref="F113"/>
    </sheetView>
  </sheetViews>
  <sheetFormatPr defaultRowHeight="14.5" x14ac:dyDescent="0.35"/>
  <cols>
    <col min="1" max="1" width="35.36328125" bestFit="1" customWidth="1"/>
    <col min="2" max="2" width="12.7265625" bestFit="1" customWidth="1"/>
    <col min="3" max="3" width="14.08984375" bestFit="1" customWidth="1"/>
    <col min="5" max="5" width="16.08984375" bestFit="1" customWidth="1"/>
    <col min="6" max="6" width="11.453125" bestFit="1" customWidth="1"/>
    <col min="7" max="9" width="11.453125" customWidth="1"/>
    <col min="10" max="10" width="11.81640625" bestFit="1" customWidth="1"/>
    <col min="11" max="11" width="9.90625" customWidth="1"/>
    <col min="12" max="12" width="12.7265625" bestFit="1" customWidth="1"/>
    <col min="15" max="15" width="12.453125" bestFit="1" customWidth="1"/>
    <col min="17" max="17" width="12.453125" bestFit="1" customWidth="1"/>
  </cols>
  <sheetData>
    <row r="1" spans="1:17" ht="23.5" x14ac:dyDescent="0.55000000000000004">
      <c r="A1" s="60" t="s">
        <v>67</v>
      </c>
    </row>
    <row r="3" spans="1:17" x14ac:dyDescent="0.35">
      <c r="A3" s="19" t="s">
        <v>66</v>
      </c>
      <c r="C3" s="19" t="s">
        <v>35</v>
      </c>
      <c r="D3" s="19" t="s">
        <v>65</v>
      </c>
      <c r="E3" s="19" t="s">
        <v>31</v>
      </c>
      <c r="F3" s="19" t="s">
        <v>30</v>
      </c>
      <c r="G3" s="59" t="s">
        <v>29</v>
      </c>
      <c r="H3" s="59" t="s">
        <v>28</v>
      </c>
      <c r="J3" s="56" t="s">
        <v>64</v>
      </c>
      <c r="K3" s="58" t="s">
        <v>63</v>
      </c>
      <c r="L3" s="57" t="s">
        <v>62</v>
      </c>
      <c r="M3" s="56" t="s">
        <v>48</v>
      </c>
      <c r="N3" s="55" t="s">
        <v>47</v>
      </c>
      <c r="O3" s="51" cm="1">
        <f t="array" ref="O3:O7">MMULT(D4:H8,J4:J8)</f>
        <v>2.0797216985159998E-5</v>
      </c>
      <c r="Q3" s="50" cm="1">
        <f t="array" ref="Q3:Q7">MMULT(D4:D8,J4)</f>
        <v>1.5514244899999999E-5</v>
      </c>
    </row>
    <row r="4" spans="1:17" x14ac:dyDescent="0.35">
      <c r="A4" s="54">
        <v>1</v>
      </c>
      <c r="C4" s="21" t="s">
        <v>32</v>
      </c>
      <c r="D4" s="48">
        <v>4.235E-3</v>
      </c>
      <c r="E4">
        <v>3.4000000000000002E-4</v>
      </c>
      <c r="F4" s="28">
        <v>3.2299999999999999E-4</v>
      </c>
      <c r="G4">
        <v>7.7610000000000005E-4</v>
      </c>
      <c r="H4">
        <v>9.2424E-4</v>
      </c>
      <c r="J4" s="20">
        <v>3.6633400000000002E-3</v>
      </c>
      <c r="K4" s="17">
        <f>J4-L4</f>
        <v>3.6383400000000003E-3</v>
      </c>
      <c r="L4" s="47">
        <f>0.0013/52</f>
        <v>2.4999999999999998E-5</v>
      </c>
      <c r="M4">
        <v>4.2399999999999998E-3</v>
      </c>
      <c r="N4">
        <f>SQRT(M4)</f>
        <v>6.5115282384398829E-2</v>
      </c>
      <c r="O4" s="51">
        <v>1.4840930655516161E-5</v>
      </c>
      <c r="Q4" s="50">
        <v>1.2455356000000002E-6</v>
      </c>
    </row>
    <row r="5" spans="1:17" x14ac:dyDescent="0.35">
      <c r="A5" s="54">
        <v>1</v>
      </c>
      <c r="C5" s="19" t="s">
        <v>31</v>
      </c>
      <c r="D5">
        <v>3.4000000000000002E-4</v>
      </c>
      <c r="E5" s="48">
        <v>2.2885000000000002E-3</v>
      </c>
      <c r="F5" s="28">
        <v>3.6682000000000001E-4</v>
      </c>
      <c r="G5">
        <v>3.8833770000000001E-4</v>
      </c>
      <c r="H5">
        <v>4.9189999999999998E-4</v>
      </c>
      <c r="J5" s="20">
        <v>4.8842490000000002E-3</v>
      </c>
      <c r="K5" s="17">
        <f>J5-L5</f>
        <v>4.8592490000000004E-3</v>
      </c>
      <c r="L5" s="47">
        <f>0.0013/52</f>
        <v>2.4999999999999998E-5</v>
      </c>
      <c r="M5">
        <v>2.2889999999999998E-3</v>
      </c>
      <c r="N5">
        <f>SQRT(M5)</f>
        <v>4.784349485562274E-2</v>
      </c>
      <c r="O5" s="51">
        <v>6.9647285977220006E-6</v>
      </c>
      <c r="Q5" s="50">
        <v>1.1832588200000001E-6</v>
      </c>
    </row>
    <row r="6" spans="1:17" x14ac:dyDescent="0.35">
      <c r="A6" s="53">
        <v>1</v>
      </c>
      <c r="C6" s="19" t="s">
        <v>30</v>
      </c>
      <c r="D6" s="28">
        <v>3.2299999999999999E-4</v>
      </c>
      <c r="E6" s="28">
        <v>3.6682000000000001E-4</v>
      </c>
      <c r="F6" s="52">
        <v>1.02337E-3</v>
      </c>
      <c r="G6" s="49">
        <v>4.8195999999999997E-4</v>
      </c>
      <c r="H6" s="49">
        <v>3.9828699999999999E-4</v>
      </c>
      <c r="J6" s="18">
        <v>2.6143429999999999E-3</v>
      </c>
      <c r="K6" s="17">
        <f>J6-L6</f>
        <v>2.589343E-3</v>
      </c>
      <c r="L6" s="47">
        <f>0.0013/52</f>
        <v>2.4999999999999998E-5</v>
      </c>
      <c r="M6" s="49">
        <v>1.02337E-3</v>
      </c>
      <c r="N6">
        <f>SQRT(M6)</f>
        <v>3.1990154735480725E-2</v>
      </c>
      <c r="O6" s="51">
        <v>9.9071424381800999E-6</v>
      </c>
      <c r="Q6" s="50">
        <v>2.8431181740000004E-6</v>
      </c>
    </row>
    <row r="7" spans="1:17" x14ac:dyDescent="0.35">
      <c r="A7">
        <v>1</v>
      </c>
      <c r="C7" s="1" t="s">
        <v>29</v>
      </c>
      <c r="D7">
        <v>7.7610000000000005E-4</v>
      </c>
      <c r="E7">
        <v>3.8833770000000001E-4</v>
      </c>
      <c r="F7" s="49">
        <v>4.8195999999999997E-4</v>
      </c>
      <c r="G7" s="48">
        <v>2.0257000000000001E-3</v>
      </c>
      <c r="H7">
        <v>9.8229489999999997E-4</v>
      </c>
      <c r="J7" s="17">
        <v>7.9518079999999999E-4</v>
      </c>
      <c r="K7" s="17">
        <f>J7-L7</f>
        <v>7.7018080000000003E-4</v>
      </c>
      <c r="L7" s="47">
        <f>0.0013/52</f>
        <v>2.4999999999999998E-5</v>
      </c>
      <c r="M7">
        <v>2.0257000000000001E-3</v>
      </c>
      <c r="N7">
        <f>SQRT(M7)</f>
        <v>4.500777710574029E-2</v>
      </c>
      <c r="O7" s="51">
        <v>1.179622056115892E-5</v>
      </c>
      <c r="Q7" s="50">
        <v>3.3858053616000001E-6</v>
      </c>
    </row>
    <row r="8" spans="1:17" x14ac:dyDescent="0.35">
      <c r="A8">
        <v>1</v>
      </c>
      <c r="C8" s="1" t="s">
        <v>28</v>
      </c>
      <c r="D8">
        <v>9.2424E-4</v>
      </c>
      <c r="E8">
        <v>4.9189999999999998E-4</v>
      </c>
      <c r="F8" s="49">
        <v>3.9828699999999999E-4</v>
      </c>
      <c r="G8">
        <v>9.8229489999999997E-4</v>
      </c>
      <c r="H8" s="48">
        <v>1.7903000000000001E-3</v>
      </c>
      <c r="J8" s="17">
        <v>2.337872E-3</v>
      </c>
      <c r="K8" s="17">
        <f>J8-L8</f>
        <v>2.3128720000000001E-3</v>
      </c>
      <c r="L8" s="47">
        <f>0.0013/52</f>
        <v>2.4999999999999998E-5</v>
      </c>
      <c r="M8">
        <v>1.7903000000000001E-3</v>
      </c>
      <c r="N8">
        <f>SQRT(M8)</f>
        <v>4.231193685001905E-2</v>
      </c>
    </row>
    <row r="9" spans="1:17" x14ac:dyDescent="0.35">
      <c r="C9" s="1"/>
      <c r="J9" s="17"/>
      <c r="K9" s="17"/>
      <c r="L9" s="17"/>
    </row>
    <row r="11" spans="1:17" ht="28" customHeight="1" x14ac:dyDescent="0.35">
      <c r="A11" s="35" t="s">
        <v>46</v>
      </c>
      <c r="B11" s="34" t="s">
        <v>50</v>
      </c>
      <c r="C11" s="34" t="s">
        <v>49</v>
      </c>
      <c r="D11" s="34" t="s">
        <v>48</v>
      </c>
      <c r="E11" s="33" t="s">
        <v>47</v>
      </c>
      <c r="J11" s="1"/>
      <c r="L11" s="46">
        <v>1.2999999999999999E-3</v>
      </c>
    </row>
    <row r="12" spans="1:17" x14ac:dyDescent="0.35">
      <c r="A12" s="5" t="s">
        <v>61</v>
      </c>
      <c r="B12" s="42" cm="1">
        <f t="array" ref="B12:B16">(1/MMULT(MMULT(TRANSPOSE(A4:A8),MINVERSE(D4:H8)),A4:A8))*MMULT(MINVERSE(D4:H8),A4:A8)</f>
        <v>6.5043880838698692E-2</v>
      </c>
      <c r="C12" s="45">
        <f>B12*J4</f>
        <v>2.3827785043163848E-4</v>
      </c>
      <c r="D12" s="44" cm="1">
        <f t="array" ref="D12">MMULT(TRANSPOSE(_xlfn.ANCHORARRAY(B12)),MMULT(D4:H8,_xlfn.ANCHORARRAY(B12)))</f>
        <v>7.1639442654480683E-4</v>
      </c>
      <c r="E12" s="30">
        <f>SQRT(D12)</f>
        <v>2.6765545511810644E-2</v>
      </c>
    </row>
    <row r="13" spans="1:17" x14ac:dyDescent="0.35">
      <c r="A13" s="5" t="s">
        <v>60</v>
      </c>
      <c r="B13" s="42">
        <v>0.17192875757003051</v>
      </c>
      <c r="C13">
        <f>B13*J5</f>
        <v>8.3974286223266394E-4</v>
      </c>
      <c r="E13" s="30"/>
    </row>
    <row r="14" spans="1:17" x14ac:dyDescent="0.35">
      <c r="A14" s="5" t="s">
        <v>59</v>
      </c>
      <c r="B14" s="42">
        <v>0.51183095252694855</v>
      </c>
      <c r="C14">
        <f>B14*J6</f>
        <v>1.3381016679221602E-3</v>
      </c>
      <c r="E14" s="30"/>
      <c r="I14" s="19" t="s">
        <v>35</v>
      </c>
      <c r="J14" t="s">
        <v>58</v>
      </c>
    </row>
    <row r="15" spans="1:17" x14ac:dyDescent="0.35">
      <c r="A15" s="5"/>
      <c r="B15" s="42">
        <v>0.10131870636362006</v>
      </c>
      <c r="C15" s="43">
        <f>B15*J7</f>
        <v>8.0566689981188491E-5</v>
      </c>
      <c r="E15" s="30"/>
      <c r="I15" s="21" t="s">
        <v>32</v>
      </c>
      <c r="J15" s="40">
        <v>0.13546465411521258</v>
      </c>
      <c r="K15" s="39">
        <f>J15*J4</f>
        <v>4.962530860064229E-4</v>
      </c>
    </row>
    <row r="16" spans="1:17" x14ac:dyDescent="0.35">
      <c r="A16" s="5"/>
      <c r="B16" s="42">
        <v>0.14987770270070236</v>
      </c>
      <c r="C16">
        <f>B16*J8</f>
        <v>3.503948845682964E-4</v>
      </c>
      <c r="E16" s="30"/>
      <c r="I16" s="19" t="s">
        <v>31</v>
      </c>
      <c r="J16" s="40">
        <v>0.42194248633601666</v>
      </c>
      <c r="K16" s="39">
        <f>J16*J5</f>
        <v>2.0608721669442033E-3</v>
      </c>
    </row>
    <row r="17" spans="1:15" x14ac:dyDescent="0.35">
      <c r="A17" s="6" t="s">
        <v>57</v>
      </c>
      <c r="B17" s="41"/>
      <c r="C17" s="32" cm="1">
        <f t="array" ref="C17">MMULT(TRANSPOSE(_xlfn.ANCHORARRAY(B12)),J4:J8)</f>
        <v>2.8470839551359471E-3</v>
      </c>
      <c r="D17" s="9" cm="1">
        <f t="array" ref="D17">MMULT(TRANSPOSE(_xlfn.ANCHORARRAY(B12)),MMULT(D4:H8,_xlfn.ANCHORARRAY(B12)))</f>
        <v>7.1639442654480683E-4</v>
      </c>
      <c r="E17" s="9">
        <f>SQRT(D17)</f>
        <v>2.6765545511810644E-2</v>
      </c>
      <c r="I17" s="19" t="s">
        <v>30</v>
      </c>
      <c r="J17" s="40">
        <v>0.40522393969643644</v>
      </c>
      <c r="K17" s="39">
        <f>J17*J6</f>
        <v>1.0593943701778007E-3</v>
      </c>
    </row>
    <row r="18" spans="1:15" x14ac:dyDescent="0.35">
      <c r="I18" s="1" t="s">
        <v>29</v>
      </c>
      <c r="J18" s="40">
        <v>0</v>
      </c>
      <c r="K18" s="39">
        <f>J18*J7</f>
        <v>0</v>
      </c>
    </row>
    <row r="19" spans="1:15" x14ac:dyDescent="0.35">
      <c r="I19" s="1" t="s">
        <v>28</v>
      </c>
      <c r="J19" s="40">
        <v>3.7368919852334211E-2</v>
      </c>
      <c r="K19" s="39">
        <f>J19*J8</f>
        <v>8.7363751393016286E-5</v>
      </c>
      <c r="L19" s="34" t="s">
        <v>56</v>
      </c>
      <c r="M19" s="33" t="s">
        <v>55</v>
      </c>
    </row>
    <row r="20" spans="1:15" ht="15.5" x14ac:dyDescent="0.35">
      <c r="F20" s="23"/>
      <c r="G20" s="23"/>
      <c r="H20" s="23"/>
      <c r="I20" s="23"/>
      <c r="J20" s="38">
        <f>SUM(J15:J19)</f>
        <v>1</v>
      </c>
      <c r="K20" s="1" cm="1">
        <f t="array" ref="K20">MMULT(TRANSPOSE(J15:J19),J4:J8)</f>
        <v>3.7038833745214432E-3</v>
      </c>
      <c r="L20" s="37" cm="1">
        <f t="array" ref="L20">MMULT(TRANSPOSE(J15:J19),MMULT(D4:H8,J15:J19))</f>
        <v>8.9239249906146912E-4</v>
      </c>
      <c r="M20" s="9">
        <f>SQRT(L20)</f>
        <v>2.9872939243761554E-2</v>
      </c>
    </row>
    <row r="21" spans="1:15" x14ac:dyDescent="0.35">
      <c r="G21" t="s">
        <v>20</v>
      </c>
      <c r="H21" cm="1">
        <f t="array" ref="H21">MMULT(TRANSPOSE(J15:J19),J4:J8)</f>
        <v>3.7038833745214432E-3</v>
      </c>
    </row>
    <row r="22" spans="1:15" x14ac:dyDescent="0.35">
      <c r="G22" t="s">
        <v>54</v>
      </c>
      <c r="H22" cm="1">
        <f t="array" ref="H22">SQRT(MMULT(TRANSPOSE(J15:J19),MMULT(D4:H8,J15:J19)))</f>
        <v>2.9872939243761554E-2</v>
      </c>
    </row>
    <row r="23" spans="1:15" ht="15.5" x14ac:dyDescent="0.35">
      <c r="G23" t="s">
        <v>53</v>
      </c>
      <c r="H23">
        <f>(H21-L4)/H22</f>
        <v>0.1231510346036577</v>
      </c>
      <c r="K23" s="36" t="s">
        <v>52</v>
      </c>
      <c r="L23" s="36" t="s">
        <v>20</v>
      </c>
    </row>
    <row r="24" spans="1:15" x14ac:dyDescent="0.35">
      <c r="A24" s="35" t="s">
        <v>51</v>
      </c>
      <c r="B24" s="34" t="s">
        <v>50</v>
      </c>
      <c r="C24" s="34" t="s">
        <v>49</v>
      </c>
      <c r="D24" s="34" t="s">
        <v>48</v>
      </c>
      <c r="E24" s="33" t="s">
        <v>47</v>
      </c>
      <c r="J24" s="19" t="s">
        <v>46</v>
      </c>
      <c r="K24" s="9">
        <f>E17</f>
        <v>2.6765545511810644E-2</v>
      </c>
      <c r="L24" s="32">
        <f>C17</f>
        <v>2.8470839551359471E-3</v>
      </c>
    </row>
    <row r="25" spans="1:15" x14ac:dyDescent="0.35">
      <c r="A25" s="21" t="s">
        <v>32</v>
      </c>
      <c r="B25" s="24" cm="1">
        <f t="array" ref="B25:B29">(1/MMULT(MMULT(TRANSPOSE(A4:A8),MINVERSE(D4:H8)),K4:K8))*MMULT(MINVERSE(D4:H8),K4:K8)</f>
        <v>0.15652738360601676</v>
      </c>
      <c r="C25">
        <f>B25*$J4</f>
        <v>5.7341302545926549E-4</v>
      </c>
      <c r="D25" s="31" cm="1">
        <f t="array" ref="D25">MMULT(TRANSPOSE(_xlfn.ANCHORARRAY(B25)),MMULT(D4:H8,_xlfn.ANCHORARRAY(B25)))</f>
        <v>1.0547175096204267E-3</v>
      </c>
      <c r="E25" s="30">
        <f>SQRT(D25)</f>
        <v>3.2476414666961419E-2</v>
      </c>
      <c r="J25" s="19" t="s">
        <v>45</v>
      </c>
      <c r="K25" s="9">
        <f>E30</f>
        <v>3.2476414666961419E-2</v>
      </c>
      <c r="L25" s="9">
        <f>C30</f>
        <v>4.179836010459367E-3</v>
      </c>
    </row>
    <row r="26" spans="1:15" x14ac:dyDescent="0.35">
      <c r="A26" s="19" t="s">
        <v>31</v>
      </c>
      <c r="B26" s="24">
        <v>0.4463851879073491</v>
      </c>
      <c r="C26">
        <f>B26*$J5</f>
        <v>2.1802564076512819E-3</v>
      </c>
      <c r="E26" s="28"/>
      <c r="J26" s="19" t="s">
        <v>44</v>
      </c>
      <c r="K26">
        <v>0</v>
      </c>
      <c r="L26" s="29">
        <f>0.0013/52</f>
        <v>2.4999999999999998E-5</v>
      </c>
    </row>
    <row r="27" spans="1:15" x14ac:dyDescent="0.35">
      <c r="A27" s="19" t="s">
        <v>30</v>
      </c>
      <c r="B27" s="24">
        <v>0.48721791517084762</v>
      </c>
      <c r="C27">
        <f>B27*$J6</f>
        <v>1.2737547460014993E-3</v>
      </c>
      <c r="E27" s="28"/>
    </row>
    <row r="28" spans="1:15" x14ac:dyDescent="0.35">
      <c r="A28" s="1" t="s">
        <v>29</v>
      </c>
      <c r="B28" s="27">
        <v>-0.23538435463475532</v>
      </c>
      <c r="C28">
        <f>B28*$J7</f>
        <v>-1.8717311942594844E-4</v>
      </c>
    </row>
    <row r="29" spans="1:15" x14ac:dyDescent="0.35">
      <c r="A29" s="1" t="s">
        <v>28</v>
      </c>
      <c r="B29" s="26">
        <v>0.14525386795054188</v>
      </c>
      <c r="C29">
        <f>B29*$J8</f>
        <v>3.3958495077326923E-4</v>
      </c>
      <c r="O29" t="s">
        <v>43</v>
      </c>
    </row>
    <row r="30" spans="1:15" x14ac:dyDescent="0.35">
      <c r="A30" s="25" t="s">
        <v>42</v>
      </c>
      <c r="B30" s="24">
        <f>SUM(_xlfn.ANCHORARRAY(B25))</f>
        <v>0.99999999999999989</v>
      </c>
      <c r="C30" cm="1">
        <f t="array" ref="C30">MMULT(TRANSPOSE(_xlfn.ANCHORARRAY(B25)),J4:J8)</f>
        <v>4.179836010459367E-3</v>
      </c>
      <c r="D30" s="9" cm="1">
        <f t="array" ref="D30">MMULT(TRANSPOSE(_xlfn.ANCHORARRAY(B25)),MMULT(D4:H8,_xlfn.ANCHORARRAY(B25)))</f>
        <v>1.0547175096204267E-3</v>
      </c>
      <c r="E30" s="9">
        <f>SQRT(D30)</f>
        <v>3.2476414666961419E-2</v>
      </c>
      <c r="O30" t="s">
        <v>41</v>
      </c>
    </row>
    <row r="31" spans="1:15" x14ac:dyDescent="0.35">
      <c r="O31" t="s">
        <v>40</v>
      </c>
    </row>
    <row r="32" spans="1:15" ht="15.5" x14ac:dyDescent="0.35">
      <c r="B32" s="14"/>
      <c r="C32" s="14"/>
      <c r="D32" s="14"/>
      <c r="F32" s="14"/>
      <c r="G32" s="14"/>
      <c r="H32" s="14"/>
      <c r="I32" s="14"/>
      <c r="J32" s="14"/>
      <c r="K32" s="14"/>
      <c r="O32" t="s">
        <v>39</v>
      </c>
    </row>
    <row r="33" spans="1:15" ht="15.5" x14ac:dyDescent="0.35">
      <c r="C33" s="23"/>
      <c r="D33" s="23"/>
      <c r="F33" s="23"/>
      <c r="G33" s="23"/>
      <c r="H33" s="23"/>
      <c r="I33" s="23"/>
      <c r="J33" s="23"/>
      <c r="K33" s="23"/>
      <c r="O33" t="s">
        <v>38</v>
      </c>
    </row>
    <row r="34" spans="1:15" x14ac:dyDescent="0.35">
      <c r="O34" t="s">
        <v>37</v>
      </c>
    </row>
    <row r="43" spans="1:15" ht="15.5" x14ac:dyDescent="0.35">
      <c r="B43" s="23"/>
    </row>
    <row r="47" spans="1:15" ht="19.5" x14ac:dyDescent="0.45">
      <c r="A47" s="22" t="s">
        <v>36</v>
      </c>
    </row>
    <row r="48" spans="1:15" x14ac:dyDescent="0.35">
      <c r="A48" s="21" t="s">
        <v>32</v>
      </c>
      <c r="B48" cm="1">
        <f t="array" ref="B48:B52">MMULT(D4:H8,_xlfn.ANCHORARRAY(B25))/MMULT(TRANSPOSE(_xlfn.ANCHORARRAY(B25)),MMULT(D4:H8,_xlfn.ANCHORARRAY(B25)))</f>
        <v>0.87568799125666008</v>
      </c>
      <c r="D48" t="s">
        <v>35</v>
      </c>
      <c r="E48" s="1" t="s">
        <v>34</v>
      </c>
      <c r="F48" s="1" t="s">
        <v>33</v>
      </c>
      <c r="G48" s="1"/>
      <c r="H48" s="1"/>
      <c r="I48" s="1"/>
    </row>
    <row r="49" spans="1:9" x14ac:dyDescent="0.35">
      <c r="A49" s="19" t="s">
        <v>31</v>
      </c>
      <c r="B49">
        <v>1.1695405035884323</v>
      </c>
      <c r="D49" s="21" t="s">
        <v>32</v>
      </c>
      <c r="E49">
        <f>SQRT(D4)</f>
        <v>6.5076877614095779E-2</v>
      </c>
      <c r="F49" s="20">
        <v>3.6633400000000002E-3</v>
      </c>
    </row>
    <row r="50" spans="1:9" x14ac:dyDescent="0.35">
      <c r="A50" s="19" t="s">
        <v>30</v>
      </c>
      <c r="B50">
        <v>0.62321184120903894</v>
      </c>
      <c r="D50" s="19" t="s">
        <v>31</v>
      </c>
      <c r="E50">
        <f>SQRT(E5)</f>
        <v>4.7838269199459965E-2</v>
      </c>
      <c r="F50" s="20">
        <v>4.8842490000000002E-3</v>
      </c>
    </row>
    <row r="51" spans="1:9" x14ac:dyDescent="0.35">
      <c r="A51" s="1" t="s">
        <v>29</v>
      </c>
      <c r="B51">
        <v>0.18536972291112089</v>
      </c>
      <c r="D51" s="19" t="s">
        <v>30</v>
      </c>
      <c r="E51">
        <f>SQRT(F6)</f>
        <v>3.1990154735480725E-2</v>
      </c>
      <c r="F51" s="18">
        <v>2.6143429999999999E-3</v>
      </c>
    </row>
    <row r="52" spans="1:9" x14ac:dyDescent="0.35">
      <c r="A52" s="1" t="s">
        <v>28</v>
      </c>
      <c r="B52">
        <v>0.55666986474979629</v>
      </c>
      <c r="D52" s="1" t="s">
        <v>29</v>
      </c>
      <c r="E52">
        <f>SQRT(G7)</f>
        <v>4.500777710574029E-2</v>
      </c>
      <c r="F52" s="17">
        <v>7.9518079999999999E-4</v>
      </c>
    </row>
    <row r="53" spans="1:9" x14ac:dyDescent="0.35">
      <c r="D53" s="1" t="s">
        <v>28</v>
      </c>
      <c r="E53">
        <f>SQRT(H8)</f>
        <v>4.231193685001905E-2</v>
      </c>
      <c r="F53" s="17">
        <v>2.337872E-3</v>
      </c>
    </row>
    <row r="54" spans="1:9" x14ac:dyDescent="0.35">
      <c r="D54" t="s">
        <v>27</v>
      </c>
      <c r="E54">
        <v>0</v>
      </c>
      <c r="F54">
        <v>0.05</v>
      </c>
    </row>
    <row r="56" spans="1:9" ht="18.5" x14ac:dyDescent="0.45">
      <c r="A56" s="16" t="s">
        <v>26</v>
      </c>
      <c r="B56" s="15" t="s">
        <v>25</v>
      </c>
      <c r="C56" s="15"/>
      <c r="E56" s="15" t="s">
        <v>24</v>
      </c>
      <c r="F56" s="15"/>
      <c r="G56" s="14"/>
      <c r="H56" s="14"/>
      <c r="I56" s="14"/>
    </row>
    <row r="57" spans="1:9" x14ac:dyDescent="0.35">
      <c r="B57" s="9" cm="1">
        <f t="array" ref="B57">MMULT(MMULT(TRANSPOSE(_xlfn.ANCHORARRAY(B25)),D4:H8),_xlfn.ANCHORARRAY(B12))</f>
        <v>7.1639442654480672E-4</v>
      </c>
      <c r="C57" s="9"/>
      <c r="E57" s="13">
        <v>0</v>
      </c>
      <c r="F57" s="13"/>
      <c r="G57" s="11"/>
      <c r="H57" s="11"/>
      <c r="I57" s="11"/>
    </row>
    <row r="58" spans="1:9" x14ac:dyDescent="0.35">
      <c r="E58" s="11"/>
      <c r="F58" s="11"/>
      <c r="G58" s="11"/>
      <c r="H58" s="11"/>
      <c r="I58" s="11"/>
    </row>
    <row r="59" spans="1:9" x14ac:dyDescent="0.35">
      <c r="E59" s="11"/>
      <c r="F59" s="11"/>
      <c r="G59" s="11"/>
      <c r="H59" s="11"/>
      <c r="I59" s="11"/>
    </row>
    <row r="60" spans="1:9" x14ac:dyDescent="0.35">
      <c r="E60" s="11"/>
      <c r="F60" s="11"/>
      <c r="G60" s="11"/>
      <c r="H60" s="11"/>
      <c r="I60" s="11"/>
    </row>
    <row r="61" spans="1:9" x14ac:dyDescent="0.35">
      <c r="E61" s="11"/>
      <c r="F61" s="11"/>
      <c r="G61" s="11"/>
      <c r="H61" s="11"/>
      <c r="I61" s="11"/>
    </row>
    <row r="62" spans="1:9" x14ac:dyDescent="0.35">
      <c r="E62" s="11"/>
      <c r="F62" s="11"/>
      <c r="G62" s="11"/>
      <c r="H62" s="11"/>
      <c r="I62" s="11"/>
    </row>
    <row r="63" spans="1:9" x14ac:dyDescent="0.35">
      <c r="E63" s="11"/>
      <c r="F63" s="11"/>
      <c r="G63" s="11"/>
      <c r="H63" s="11"/>
      <c r="I63" s="11"/>
    </row>
    <row r="64" spans="1:9" x14ac:dyDescent="0.35">
      <c r="A64" s="12" t="s">
        <v>23</v>
      </c>
      <c r="B64" s="9" t="s">
        <v>21</v>
      </c>
      <c r="C64" s="9" t="s">
        <v>20</v>
      </c>
      <c r="E64" s="11"/>
      <c r="F64" s="11"/>
      <c r="G64" s="11"/>
      <c r="H64" s="11"/>
      <c r="I64" s="11"/>
    </row>
    <row r="65" spans="1:9" x14ac:dyDescent="0.35">
      <c r="A65" s="5">
        <v>-5</v>
      </c>
      <c r="B65" s="4">
        <f>SQRT(A65^2*$D$30+(1-A65)^2*$D$17+2*A65*(1-A65)*$B$57)</f>
        <v>9.5783461534000275E-2</v>
      </c>
      <c r="C65" s="3">
        <f>A65*$C$30+(1-A65)*$C$17</f>
        <v>-3.8166763214811522E-3</v>
      </c>
      <c r="E65" s="11"/>
      <c r="F65" s="11"/>
      <c r="G65" s="11"/>
      <c r="H65" s="11"/>
      <c r="I65" s="11"/>
    </row>
    <row r="66" spans="1:9" x14ac:dyDescent="0.35">
      <c r="A66" s="5">
        <v>-4.9000000000000004</v>
      </c>
      <c r="B66" s="4">
        <f>SQRT(A66^2*$D$30+(1-A66)^2*$D$17+2*A66*(1-A66)*$B$57)</f>
        <v>9.4018783501970779E-2</v>
      </c>
      <c r="C66" s="3">
        <f>A66*$C$30+(1-A66)*$C$17</f>
        <v>-3.6834011159488124E-3</v>
      </c>
      <c r="E66" s="11"/>
      <c r="F66" s="11"/>
      <c r="G66" s="11"/>
      <c r="H66" s="11"/>
      <c r="I66" s="11"/>
    </row>
    <row r="67" spans="1:9" x14ac:dyDescent="0.35">
      <c r="A67" s="5">
        <v>-4.8</v>
      </c>
      <c r="B67" s="4">
        <f>SQRT(A67^2*$D$30+(1-A67)^2*$D$17+2*A67*(1-A67)*$B$57)</f>
        <v>9.2257022825403892E-2</v>
      </c>
      <c r="C67" s="3">
        <f>A67*$C$30+(1-A67)*$C$17</f>
        <v>-3.5501259104164691E-3</v>
      </c>
      <c r="E67" s="11"/>
      <c r="F67" s="11"/>
      <c r="G67" s="11"/>
      <c r="H67" s="11"/>
      <c r="I67" s="11"/>
    </row>
    <row r="68" spans="1:9" x14ac:dyDescent="0.35">
      <c r="A68" s="5">
        <v>-4.7</v>
      </c>
      <c r="B68" s="4">
        <f>SQRT(A68^2*$D$30+(1-A68)^2*$D$17+2*A68*(1-A68)*$B$57)</f>
        <v>9.0498349883770049E-2</v>
      </c>
      <c r="C68" s="3">
        <f>A68*$C$30+(1-A68)*$C$17</f>
        <v>-3.4168507048841293E-3</v>
      </c>
      <c r="E68" s="11"/>
      <c r="F68" s="11"/>
      <c r="G68" s="11"/>
      <c r="H68" s="11"/>
      <c r="I68" s="11"/>
    </row>
    <row r="69" spans="1:9" x14ac:dyDescent="0.35">
      <c r="A69" s="5">
        <v>-4.5999999999999996</v>
      </c>
      <c r="B69" s="4">
        <f>SQRT(A69^2*$D$30+(1-A69)^2*$D$17+2*A69*(1-A69)*$B$57)</f>
        <v>8.8742948251818429E-2</v>
      </c>
      <c r="C69" s="3">
        <f>A69*$C$30+(1-A69)*$C$17</f>
        <v>-3.283575499351786E-3</v>
      </c>
      <c r="E69" s="11"/>
      <c r="F69" s="11"/>
      <c r="G69" s="11"/>
      <c r="H69" s="11"/>
      <c r="I69" s="11"/>
    </row>
    <row r="70" spans="1:9" x14ac:dyDescent="0.35">
      <c r="A70" s="5">
        <v>-4.5</v>
      </c>
      <c r="B70" s="4">
        <f>SQRT(A70^2*$D$30+(1-A70)^2*$D$17+2*A70*(1-A70)*$B$57)</f>
        <v>8.6991015966168095E-2</v>
      </c>
      <c r="C70" s="3">
        <f>A70*$C$30+(1-A70)*$C$17</f>
        <v>-3.1503002938194427E-3</v>
      </c>
      <c r="E70" s="11"/>
      <c r="F70" s="11"/>
      <c r="G70" s="11"/>
      <c r="H70" s="11"/>
      <c r="I70" s="11"/>
    </row>
    <row r="71" spans="1:9" x14ac:dyDescent="0.35">
      <c r="A71" s="5">
        <v>-4.4000000000000004</v>
      </c>
      <c r="B71" s="4">
        <f>SQRT(A71^2*$D$30+(1-A71)^2*$D$17+2*A71*(1-A71)*$B$57)</f>
        <v>8.5242766935903783E-2</v>
      </c>
      <c r="C71" s="3">
        <f>A71*$C$30+(1-A71)*$C$17</f>
        <v>-3.0170250882871012E-3</v>
      </c>
      <c r="E71" s="11"/>
      <c r="F71" s="11"/>
      <c r="G71" s="11"/>
      <c r="H71" s="11"/>
      <c r="I71" s="11"/>
    </row>
    <row r="72" spans="1:9" x14ac:dyDescent="0.35">
      <c r="A72" s="5">
        <v>-4.3</v>
      </c>
      <c r="B72" s="4">
        <f>SQRT(A72^2*$D$30+(1-A72)^2*$D$17+2*A72*(1-A72)*$B$57)</f>
        <v>8.3498432515904303E-2</v>
      </c>
      <c r="C72" s="3">
        <f>A72*$C$30+(1-A72)*$C$17</f>
        <v>-2.8837498827547579E-3</v>
      </c>
      <c r="E72" s="11"/>
      <c r="F72" s="11"/>
      <c r="G72" s="11"/>
      <c r="H72" s="11"/>
      <c r="I72" s="11"/>
    </row>
    <row r="73" spans="1:9" x14ac:dyDescent="0.35">
      <c r="A73" s="5">
        <v>-4.2</v>
      </c>
      <c r="B73" s="4">
        <f>SQRT(A73^2*$D$30+(1-A73)^2*$D$17+2*A73*(1-A73)*$B$57)</f>
        <v>8.175826326432542E-2</v>
      </c>
      <c r="C73" s="3">
        <f>A73*$C$30+(1-A73)*$C$17</f>
        <v>-2.7504746772224163E-3</v>
      </c>
    </row>
    <row r="74" spans="1:9" x14ac:dyDescent="0.35">
      <c r="A74" s="5">
        <v>-4.0999999999999996</v>
      </c>
      <c r="B74" s="4">
        <f>SQRT(A74^2*$D$30+(1-A74)^2*$D$17+2*A74*(1-A74)*$B$57)</f>
        <v>8.0022530908775827E-2</v>
      </c>
      <c r="C74" s="3">
        <f>A74*$C$30+(1-A74)*$C$17</f>
        <v>-2.6171994716900748E-3</v>
      </c>
    </row>
    <row r="75" spans="1:9" x14ac:dyDescent="0.35">
      <c r="A75" s="5">
        <v>-4</v>
      </c>
      <c r="B75" s="4">
        <f>SQRT(A75^2*$D$30+(1-A75)^2*$D$17+2*A75*(1-A75)*$B$57)</f>
        <v>7.8291530549317603E-2</v>
      </c>
      <c r="C75" s="3">
        <f>A75*$C$30+(1-A75)*$C$17</f>
        <v>-2.4839242661577332E-3</v>
      </c>
    </row>
    <row r="76" spans="1:9" x14ac:dyDescent="0.35">
      <c r="A76" s="5">
        <v>-3.9</v>
      </c>
      <c r="B76" s="4">
        <f>SQRT(A76^2*$D$30+(1-A76)^2*$D$17+2*A76*(1-A76)*$B$57)</f>
        <v>7.656558313057503E-2</v>
      </c>
      <c r="C76" s="3">
        <f>A76*$C$30+(1-A76)*$C$17</f>
        <v>-2.3506490606253899E-3</v>
      </c>
    </row>
    <row r="77" spans="1:9" x14ac:dyDescent="0.35">
      <c r="A77" s="5">
        <v>-3.8</v>
      </c>
      <c r="B77" s="4">
        <f>SQRT(A77^2*$D$30+(1-A77)^2*$D$17+2*A77*(1-A77)*$B$57)</f>
        <v>7.4845038220023391E-2</v>
      </c>
      <c r="C77" s="3">
        <f>A77*$C$30+(1-A77)*$C$17</f>
        <v>-2.2173738550930484E-3</v>
      </c>
    </row>
    <row r="78" spans="1:9" x14ac:dyDescent="0.35">
      <c r="A78" s="5">
        <v>-3.7</v>
      </c>
      <c r="B78" s="4">
        <f>SQRT(A78^2*$D$30+(1-A78)^2*$D$17+2*A78*(1-A78)*$B$57)</f>
        <v>7.3130277135055724E-2</v>
      </c>
      <c r="C78" s="3">
        <f>A78*$C$30+(1-A78)*$C$17</f>
        <v>-2.0840986495607068E-3</v>
      </c>
    </row>
    <row r="79" spans="1:9" x14ac:dyDescent="0.35">
      <c r="A79" s="5">
        <v>-3.6</v>
      </c>
      <c r="B79" s="4">
        <f>SQRT(A79^2*$D$30+(1-A79)^2*$D$17+2*A79*(1-A79)*$B$57)</f>
        <v>7.1421716467786195E-2</v>
      </c>
      <c r="C79" s="3">
        <f>A79*$C$30+(1-A79)*$C$17</f>
        <v>-1.9508234440283653E-3</v>
      </c>
    </row>
    <row r="80" spans="1:9" x14ac:dyDescent="0.35">
      <c r="A80" s="5">
        <v>-3.5</v>
      </c>
      <c r="B80" s="4">
        <f>SQRT(A80^2*$D$30+(1-A80)^2*$D$17+2*A80*(1-A80)*$B$57)</f>
        <v>6.9719812063868583E-2</v>
      </c>
      <c r="C80" s="3">
        <f>A80*$C$30+(1-A80)*$C$17</f>
        <v>-1.817548238496022E-3</v>
      </c>
    </row>
    <row r="81" spans="1:5" x14ac:dyDescent="0.35">
      <c r="A81" s="5">
        <v>-3.4</v>
      </c>
      <c r="B81" s="4">
        <f>SQRT(A81^2*$D$30+(1-A81)^2*$D$17+2*A81*(1-A81)*$B$57)</f>
        <v>6.8025063519992227E-2</v>
      </c>
      <c r="C81" s="3">
        <f>A81*$C$30+(1-A81)*$C$17</f>
        <v>-1.6842730329636804E-3</v>
      </c>
    </row>
    <row r="82" spans="1:5" x14ac:dyDescent="0.35">
      <c r="A82" s="5">
        <v>-3.3</v>
      </c>
      <c r="B82" s="4">
        <f>SQRT(A82^2*$D$30+(1-A82)^2*$D$17+2*A82*(1-A82)*$B$57)</f>
        <v>6.6338019274306839E-2</v>
      </c>
      <c r="C82" s="3">
        <f>A82*$C$30+(1-A82)*$C$17</f>
        <v>-1.5509978274313389E-3</v>
      </c>
    </row>
    <row r="83" spans="1:5" x14ac:dyDescent="0.35">
      <c r="A83" s="5">
        <v>-3.2</v>
      </c>
      <c r="B83" s="4">
        <f>SQRT(A83^2*$D$30+(1-A83)^2*$D$17+2*A83*(1-A83)*$B$57)</f>
        <v>6.4659282374916263E-2</v>
      </c>
      <c r="C83" s="3">
        <f>A83*$C$30+(1-A83)*$C$17</f>
        <v>-1.4177226218989973E-3</v>
      </c>
    </row>
    <row r="84" spans="1:5" x14ac:dyDescent="0.35">
      <c r="A84" s="5">
        <v>-3.1</v>
      </c>
      <c r="B84" s="4">
        <f>SQRT(A84^2*$D$30+(1-A84)^2*$D$17+2*A84*(1-A84)*$B$57)</f>
        <v>6.298951702387881E-2</v>
      </c>
      <c r="C84" s="3">
        <f>A84*$C$30+(1-A84)*$C$17</f>
        <v>-1.2844474163666558E-3</v>
      </c>
    </row>
    <row r="85" spans="1:5" x14ac:dyDescent="0.35">
      <c r="A85" s="5">
        <v>-3</v>
      </c>
      <c r="B85" s="4">
        <f>SQRT(A85^2*$D$30+(1-A85)^2*$D$17+2*A85*(1-A85)*$B$57)</f>
        <v>6.1329456007903647E-2</v>
      </c>
      <c r="C85" s="3">
        <f>A85*$C$30+(1-A85)*$C$17</f>
        <v>-1.1511722108343125E-3</v>
      </c>
      <c r="D85" s="10"/>
    </row>
    <row r="86" spans="1:5" x14ac:dyDescent="0.35">
      <c r="A86" s="5">
        <f>A85+0.1</f>
        <v>-2.9</v>
      </c>
      <c r="B86" s="4">
        <f>SQRT(A86^2*$D$30+(1-A86)^2*$D$17+2*A86*(1-A86)*$B$57)</f>
        <v>5.967990914211227E-2</v>
      </c>
      <c r="C86" s="3">
        <f>A86*$C$30+(1-A86)*$C$17</f>
        <v>-1.0178970053019709E-3</v>
      </c>
      <c r="D86" s="10"/>
    </row>
    <row r="87" spans="1:5" x14ac:dyDescent="0.35">
      <c r="A87" s="5">
        <f>A86+0.1</f>
        <v>-2.8</v>
      </c>
      <c r="B87" s="4">
        <f>SQRT(A87^2*$D$30+(1-A87)^2*$D$17+2*A87*(1-A87)*$B$57)</f>
        <v>5.8041772869698527E-2</v>
      </c>
      <c r="C87" s="3">
        <f>A87*$C$30+(1-A87)*$C$17</f>
        <v>-8.8462179976962763E-4</v>
      </c>
    </row>
    <row r="88" spans="1:5" x14ac:dyDescent="0.35">
      <c r="A88" s="5">
        <f>A87+0.1</f>
        <v>-2.6999999999999997</v>
      </c>
      <c r="B88" s="4">
        <f>SQRT(A88^2*$D$30+(1-A88)^2*$D$17+2*A88*(1-A88)*$B$57)</f>
        <v>5.6416041177718909E-2</v>
      </c>
      <c r="C88" s="3">
        <f>A88*$C$30+(1-A88)*$C$17</f>
        <v>-7.5134659423728607E-4</v>
      </c>
    </row>
    <row r="89" spans="1:5" x14ac:dyDescent="0.35">
      <c r="A89" s="5">
        <f>A88+0.1</f>
        <v>-2.5999999999999996</v>
      </c>
      <c r="B89" s="4">
        <f>SQRT(A89^2*$D$30+(1-A89)^2*$D$17+2*A89*(1-A89)*$B$57)</f>
        <v>5.4803818006923563E-2</v>
      </c>
      <c r="C89" s="3">
        <f>A89*$C$30+(1-A89)*$C$17</f>
        <v>-6.1807138870494278E-4</v>
      </c>
    </row>
    <row r="90" spans="1:5" x14ac:dyDescent="0.35">
      <c r="A90" s="5">
        <f>A89+0.1</f>
        <v>-2.4999999999999996</v>
      </c>
      <c r="B90" s="4">
        <f>SQRT(A90^2*$D$30+(1-A90)^2*$D$17+2*A90*(1-A90)*$B$57)</f>
        <v>5.3206331350389442E-2</v>
      </c>
      <c r="C90" s="3">
        <f>A90*$C$30+(1-A90)*$C$17</f>
        <v>-4.8479618317260123E-4</v>
      </c>
    </row>
    <row r="91" spans="1:5" x14ac:dyDescent="0.35">
      <c r="A91" s="5">
        <f>A90+0.1</f>
        <v>-2.3999999999999995</v>
      </c>
      <c r="B91" s="4">
        <f>SQRT(A91^2*$D$30+(1-A91)^2*$D$17+2*A91*(1-A91)*$B$57)</f>
        <v>5.1624949249954505E-2</v>
      </c>
      <c r="C91" s="3">
        <f>A91*$C$30+(1-A91)*$C$17</f>
        <v>-3.5152097764026141E-4</v>
      </c>
      <c r="E91" s="1"/>
    </row>
    <row r="92" spans="1:5" x14ac:dyDescent="0.35">
      <c r="A92" s="5">
        <f>A91+0.1</f>
        <v>-2.2999999999999994</v>
      </c>
      <c r="B92" s="4">
        <f>SQRT(A92^2*$D$30+(1-A92)^2*$D$17+2*A92*(1-A92)*$B$57)</f>
        <v>5.0061197908308562E-2</v>
      </c>
      <c r="C92" s="3">
        <f>A92*$C$30+(1-A92)*$C$17</f>
        <v>-2.1824577210791812E-4</v>
      </c>
    </row>
    <row r="93" spans="1:5" x14ac:dyDescent="0.35">
      <c r="A93" s="5">
        <f>A92+0.1</f>
        <v>-2.1999999999999993</v>
      </c>
      <c r="B93" s="4">
        <f>SQRT(A93^2*$D$30+(1-A93)^2*$D$17+2*A93*(1-A93)*$B$57)</f>
        <v>4.8516782133925657E-2</v>
      </c>
      <c r="C93" s="3">
        <f>A93*$C$30+(1-A93)*$C$17</f>
        <v>-8.497056657557657E-5</v>
      </c>
    </row>
    <row r="94" spans="1:5" x14ac:dyDescent="0.35">
      <c r="A94" s="5">
        <f>A93+0.1</f>
        <v>-2.0999999999999992</v>
      </c>
      <c r="B94" s="4">
        <f>SQRT(A94^2*$D$30+(1-A94)^2*$D$17+2*A94*(1-A94)*$B$57)</f>
        <v>4.6993608319730998E-2</v>
      </c>
      <c r="C94" s="3">
        <f>A94*$C$30+(1-A94)*$C$17</f>
        <v>4.8304638956766718E-5</v>
      </c>
    </row>
    <row r="95" spans="1:5" x14ac:dyDescent="0.35">
      <c r="A95" s="5">
        <f>A94+0.1</f>
        <v>-1.9999999999999991</v>
      </c>
      <c r="B95" s="4">
        <f>SQRT(A95^2*$D$30+(1-A95)^2*$D$17+2*A95*(1-A95)*$B$57)</f>
        <v>4.549381011574307E-2</v>
      </c>
      <c r="C95" s="3">
        <f>A95*$C$30+(1-A95)*$C$17</f>
        <v>1.8157984448910827E-4</v>
      </c>
    </row>
    <row r="96" spans="1:5" x14ac:dyDescent="0.35">
      <c r="A96" s="5">
        <f>A95+0.1</f>
        <v>-1.899999999999999</v>
      </c>
      <c r="B96" s="4">
        <f>SQRT(A96^2*$D$30+(1-A96)^2*$D$17+2*A96*(1-A96)*$B$57)</f>
        <v>4.4019776878668926E-2</v>
      </c>
      <c r="C96" s="3">
        <f>A96*$C$30+(1-A96)*$C$17</f>
        <v>3.1485505002144983E-4</v>
      </c>
    </row>
    <row r="97" spans="1:3" x14ac:dyDescent="0.35">
      <c r="A97" s="5">
        <f>A96+0.1</f>
        <v>-1.7999999999999989</v>
      </c>
      <c r="B97" s="4">
        <f>SQRT(A97^2*$D$30+(1-A97)^2*$D$17+2*A97*(1-A97)*$B$57)</f>
        <v>4.2574184850796795E-2</v>
      </c>
      <c r="C97" s="3">
        <f>A97*$C$30+(1-A97)*$C$17</f>
        <v>4.4813025555379311E-4</v>
      </c>
    </row>
    <row r="98" spans="1:3" x14ac:dyDescent="0.35">
      <c r="A98" s="5">
        <f>A97+0.1</f>
        <v>-1.6999999999999988</v>
      </c>
      <c r="B98" s="4">
        <f>SQRT(A98^2*$D$30+(1-A98)^2*$D$17+2*A98*(1-A98)*$B$57)</f>
        <v>4.1160030814290566E-2</v>
      </c>
      <c r="C98" s="3">
        <f>A98*$C$30+(1-A98)*$C$17</f>
        <v>5.8140546108613553E-4</v>
      </c>
    </row>
    <row r="99" spans="1:3" x14ac:dyDescent="0.35">
      <c r="A99" s="5">
        <f>A98+0.1</f>
        <v>-1.5999999999999988</v>
      </c>
      <c r="B99" s="4">
        <f>SQRT(A99^2*$D$30+(1-A99)^2*$D$17+2*A99*(1-A99)*$B$57)</f>
        <v>3.9780667656770081E-2</v>
      </c>
      <c r="C99" s="3">
        <f>A99*$C$30+(1-A99)*$C$17</f>
        <v>7.1468066661847709E-4</v>
      </c>
    </row>
    <row r="100" spans="1:3" x14ac:dyDescent="0.35">
      <c r="A100" s="5">
        <f>A99+0.1</f>
        <v>-1.4999999999999987</v>
      </c>
      <c r="B100" s="4">
        <f>SQRT(A100^2*$D$30+(1-A100)^2*$D$17+2*A100*(1-A100)*$B$57)</f>
        <v>3.8439840835582967E-2</v>
      </c>
      <c r="C100" s="3">
        <f>A100*$C$30+(1-A100)*$C$17</f>
        <v>8.4795587215081864E-4</v>
      </c>
    </row>
    <row r="101" spans="1:3" x14ac:dyDescent="0.35">
      <c r="A101" s="5">
        <f>A100+0.1</f>
        <v>-1.3999999999999986</v>
      </c>
      <c r="B101" s="4">
        <f>SQRT(A101^2*$D$30+(1-A101)^2*$D$17+2*A101*(1-A101)*$B$57)</f>
        <v>3.7141724103399151E-2</v>
      </c>
      <c r="C101" s="3">
        <f>A101*$C$30+(1-A101)*$C$17</f>
        <v>9.8123107768316106E-4</v>
      </c>
    </row>
    <row r="102" spans="1:3" x14ac:dyDescent="0.35">
      <c r="A102" s="5">
        <f>A101+0.1</f>
        <v>-1.2999999999999985</v>
      </c>
      <c r="B102" s="4">
        <f>SQRT(A102^2*$D$30+(1-A102)^2*$D$17+2*A102*(1-A102)*$B$57)</f>
        <v>3.5890952020566462E-2</v>
      </c>
      <c r="C102" s="3">
        <f>A102*$C$30+(1-A102)*$C$17</f>
        <v>1.1145062832155035E-3</v>
      </c>
    </row>
    <row r="103" spans="1:3" x14ac:dyDescent="0.35">
      <c r="A103" s="5">
        <f>A102+0.1</f>
        <v>-1.1999999999999984</v>
      </c>
      <c r="B103" s="4">
        <f>SQRT(A103^2*$D$30+(1-A103)^2*$D$17+2*A103*(1-A103)*$B$57)</f>
        <v>3.4692645707321008E-2</v>
      </c>
      <c r="C103" s="3">
        <f>A103*$C$30+(1-A103)*$C$17</f>
        <v>1.2477814887478459E-3</v>
      </c>
    </row>
    <row r="104" spans="1:3" x14ac:dyDescent="0.35">
      <c r="A104" s="5">
        <f>A103+0.1</f>
        <v>-1.0999999999999983</v>
      </c>
      <c r="B104" s="4">
        <f>SQRT(A104^2*$D$30+(1-A104)^2*$D$17+2*A104*(1-A104)*$B$57)</f>
        <v>3.3552426992190978E-2</v>
      </c>
      <c r="C104" s="3">
        <f>A104*$C$30+(1-A104)*$C$17</f>
        <v>1.3810566942801875E-3</v>
      </c>
    </row>
    <row r="105" spans="1:3" x14ac:dyDescent="0.35">
      <c r="A105" s="5">
        <f>A104+0.1</f>
        <v>-0.99999999999999833</v>
      </c>
      <c r="B105" s="4">
        <f>SQRT(A105^2*$D$30+(1-A105)^2*$D$17+2*A105*(1-A105)*$B$57)</f>
        <v>3.2476414666961405E-2</v>
      </c>
      <c r="C105" s="3">
        <f>A105*$C$30+(1-A105)*$C$17</f>
        <v>1.514331899812529E-3</v>
      </c>
    </row>
    <row r="106" spans="1:3" x14ac:dyDescent="0.35">
      <c r="A106" s="5">
        <f>A105+0.1</f>
        <v>-0.89999999999999836</v>
      </c>
      <c r="B106" s="4">
        <f>SQRT(A106^2*$D$30+(1-A106)^2*$D$17+2*A106*(1-A106)*$B$57)</f>
        <v>3.1471195144704284E-2</v>
      </c>
      <c r="C106" s="3">
        <f>A106*$C$30+(1-A106)*$C$17</f>
        <v>1.6476071053448719E-3</v>
      </c>
    </row>
    <row r="107" spans="1:3" x14ac:dyDescent="0.35">
      <c r="A107" s="5">
        <f>A106+0.1</f>
        <v>-0.79999999999999838</v>
      </c>
      <c r="B107" s="4">
        <f>SQRT(A107^2*$D$30+(1-A107)^2*$D$17+2*A107*(1-A107)*$B$57)</f>
        <v>3.0543758768579926E-2</v>
      </c>
      <c r="C107" s="3">
        <f>A107*$C$30+(1-A107)*$C$17</f>
        <v>1.7808823108772134E-3</v>
      </c>
    </row>
    <row r="108" spans="1:3" x14ac:dyDescent="0.35">
      <c r="A108" s="5">
        <f>A107+0.1</f>
        <v>-0.6999999999999984</v>
      </c>
      <c r="B108" s="4">
        <f>SQRT(A108^2*$D$30+(1-A108)^2*$D$17+2*A108*(1-A108)*$B$57)</f>
        <v>2.9701392850367471E-2</v>
      </c>
      <c r="C108" s="3">
        <f>A108*$C$30+(1-A108)*$C$17</f>
        <v>1.9141575164095554E-3</v>
      </c>
    </row>
    <row r="109" spans="1:3" x14ac:dyDescent="0.35">
      <c r="A109" s="5">
        <f>A108+0.1</f>
        <v>-0.59999999999999842</v>
      </c>
      <c r="B109" s="4">
        <f>SQRT(A109^2*$D$30+(1-A109)^2*$D$17+2*A109*(1-A109)*$B$57)</f>
        <v>2.8951523905522306E-2</v>
      </c>
      <c r="C109" s="3">
        <f>A109*$C$30+(1-A109)*$C$17</f>
        <v>2.047432721941897E-3</v>
      </c>
    </row>
    <row r="110" spans="1:3" x14ac:dyDescent="0.35">
      <c r="A110" s="5">
        <f>A109+0.1</f>
        <v>-0.49999999999999845</v>
      </c>
      <c r="B110" s="4">
        <f>SQRT(A110^2*$D$30+(1-A110)^2*$D$17+2*A110*(1-A110)*$B$57)</f>
        <v>2.8301505212862996E-2</v>
      </c>
      <c r="C110" s="3">
        <f>A110*$C$30+(1-A110)*$C$17</f>
        <v>2.1807079274742389E-3</v>
      </c>
    </row>
    <row r="111" spans="1:3" x14ac:dyDescent="0.35">
      <c r="A111" s="5">
        <f>A110+0.1</f>
        <v>-0.39999999999999847</v>
      </c>
      <c r="B111" s="4">
        <f>SQRT(A111^2*$D$30+(1-A111)^2*$D$17+2*A111*(1-A111)*$B$57)</f>
        <v>2.7758352253635404E-2</v>
      </c>
      <c r="C111" s="3">
        <f>A111*$C$30+(1-A111)*$C$17</f>
        <v>2.3139831330065818E-3</v>
      </c>
    </row>
    <row r="112" spans="1:3" x14ac:dyDescent="0.35">
      <c r="A112" s="5">
        <f>A111+0.1</f>
        <v>-0.29999999999999849</v>
      </c>
      <c r="B112" s="4">
        <f>SQRT(A112^2*$D$30+(1-A112)^2*$D$17+2*A112*(1-A112)*$B$57)</f>
        <v>2.7328437643261139E-2</v>
      </c>
      <c r="C112" s="3">
        <f>A112*$C$30+(1-A112)*$C$17</f>
        <v>2.4472583385389229E-3</v>
      </c>
    </row>
    <row r="113" spans="1:5" x14ac:dyDescent="0.35">
      <c r="A113" s="5">
        <f>A112+0.1</f>
        <v>-0.19999999999999848</v>
      </c>
      <c r="B113" s="4">
        <f>SQRT(A113^2*$D$30+(1-A113)^2*$D$17+2*A113*(1-A113)*$B$57)</f>
        <v>2.701716768774683E-2</v>
      </c>
      <c r="C113" s="3">
        <f>A113*$C$30+(1-A113)*$C$17</f>
        <v>2.5805335440712649E-3</v>
      </c>
      <c r="D113" t="s">
        <v>22</v>
      </c>
    </row>
    <row r="114" spans="1:5" x14ac:dyDescent="0.35">
      <c r="A114" s="5">
        <f>A113+0.1</f>
        <v>-9.9999999999998479E-2</v>
      </c>
      <c r="B114" s="4">
        <f>SQRT(A114^2*$D$30+(1-A114)^2*$D$17+2*A114*(1-A114)*$B$57)</f>
        <v>2.6828672299902639E-2</v>
      </c>
      <c r="C114" s="3">
        <f>A114*$C$30+(1-A114)*$C$17</f>
        <v>2.7138087496036073E-3</v>
      </c>
      <c r="D114" s="9" t="s">
        <v>21</v>
      </c>
      <c r="E114" s="9" t="s">
        <v>20</v>
      </c>
    </row>
    <row r="115" spans="1:5" x14ac:dyDescent="0.35">
      <c r="A115" s="5">
        <f>0</f>
        <v>0</v>
      </c>
      <c r="B115" s="4">
        <f>SQRT(A115^2*$D$30+(1-A115)^2*$D$17+2*A115*(1-A115)*$B$57)</f>
        <v>2.6765545511810644E-2</v>
      </c>
      <c r="C115" s="3">
        <f>A115*$C$30+(1-A115)*$C$17</f>
        <v>2.8470839551359471E-3</v>
      </c>
      <c r="D115" s="8">
        <f>SQRT(A115^2*$D$30+(1-A115)^2*$K$26+2*A115*(1-A115)*$E$57)</f>
        <v>0</v>
      </c>
      <c r="E115" s="7">
        <f>A115*$C$30+(1-A115)*L26</f>
        <v>2.4999999999999998E-5</v>
      </c>
    </row>
    <row r="116" spans="1:5" x14ac:dyDescent="0.35">
      <c r="A116" s="5">
        <f>A115+0.1</f>
        <v>0.1</v>
      </c>
      <c r="B116" s="4">
        <f>SQRT(A116^2*$D$30+(1-A116)^2*$D$17+2*A116*(1-A116)*$B$57)</f>
        <v>2.6828672299902639E-2</v>
      </c>
      <c r="C116" s="3">
        <f>A116*$C$30+(1-A116)*$C$17</f>
        <v>2.9803591606682891E-3</v>
      </c>
      <c r="D116" s="8">
        <f>SQRT(A116^2*$D$30+(1-A116)^2*$K$26+2*A116*(1-A116)*$E$57)</f>
        <v>3.2476414666961421E-3</v>
      </c>
      <c r="E116" s="7">
        <f>A116*$C$30+(1-A116)*$L427</f>
        <v>4.1798360104593673E-4</v>
      </c>
    </row>
    <row r="117" spans="1:5" x14ac:dyDescent="0.35">
      <c r="A117" s="5">
        <f>A116+0.1</f>
        <v>0.2</v>
      </c>
      <c r="B117" s="4">
        <f>SQRT(A117^2*$D$30+(1-A117)^2*$D$17+2*A117*(1-A117)*$B$57)</f>
        <v>2.7017167687746837E-2</v>
      </c>
      <c r="C117" s="3">
        <f>A117*$C$30+(1-A117)*$C$17</f>
        <v>3.1136343662006316E-3</v>
      </c>
      <c r="D117" s="8">
        <f>SQRT(A117^2*$D$30+(1-A117)^2*$K$26+2*A117*(1-A117)*$E$57)</f>
        <v>6.4952829333922843E-3</v>
      </c>
      <c r="E117" s="7">
        <f>A117*$C$30+(1-A117)*$L428</f>
        <v>8.3596720209187347E-4</v>
      </c>
    </row>
    <row r="118" spans="1:5" x14ac:dyDescent="0.35">
      <c r="A118" s="5">
        <f>A117+0.1</f>
        <v>0.30000000000000004</v>
      </c>
      <c r="B118" s="4">
        <f>SQRT(A118^2*$D$30+(1-A118)^2*$D$17+2*A118*(1-A118)*$B$57)</f>
        <v>2.7328437643261139E-2</v>
      </c>
      <c r="C118" s="3">
        <f>A118*$C$30+(1-A118)*$C$17</f>
        <v>3.2469095717329731E-3</v>
      </c>
      <c r="D118" s="8">
        <f>SQRT(A118^2*$D$30+(1-A118)^2*$K$26+2*A118*(1-A118)*$E$57)</f>
        <v>9.742924400088426E-3</v>
      </c>
      <c r="E118" s="7">
        <f>A118*$C$30+(1-A118)*$L429</f>
        <v>1.2539508031378104E-3</v>
      </c>
    </row>
    <row r="119" spans="1:5" x14ac:dyDescent="0.35">
      <c r="A119" s="5">
        <f>A118+0.1</f>
        <v>0.4</v>
      </c>
      <c r="B119" s="4">
        <f>SQRT(A119^2*$D$30+(1-A119)^2*$D$17+2*A119*(1-A119)*$B$57)</f>
        <v>2.7758352253635408E-2</v>
      </c>
      <c r="C119" s="3">
        <f>A119*$C$30+(1-A119)*$C$17</f>
        <v>3.3801847772653151E-3</v>
      </c>
      <c r="D119" s="8">
        <f>SQRT(A119^2*$D$30+(1-A119)^2*$K$26+2*A119*(1-A119)*$E$57)</f>
        <v>1.2990565866784569E-2</v>
      </c>
      <c r="E119" s="7">
        <f>A119*$C$30+(1-A119)*$L430</f>
        <v>1.6719344041837469E-3</v>
      </c>
    </row>
    <row r="120" spans="1:5" x14ac:dyDescent="0.35">
      <c r="A120" s="5">
        <f>A119+0.1</f>
        <v>0.5</v>
      </c>
      <c r="B120" s="4">
        <f>SQRT(A120^2*$D$30+(1-A120)^2*$D$17+2*A120*(1-A120)*$B$57)</f>
        <v>2.8301505212863003E-2</v>
      </c>
      <c r="C120" s="3">
        <f>A120*$C$30+(1-A120)*$C$17</f>
        <v>3.5134599827976571E-3</v>
      </c>
      <c r="D120" s="8">
        <f>SQRT(A120^2*$D$30+(1-A120)^2*$K$26+2*A120*(1-A120)*$E$57)</f>
        <v>1.6238207333480709E-2</v>
      </c>
      <c r="E120" s="7">
        <f>A120*$C$30+(1-A120)*$L431</f>
        <v>2.0899180052296835E-3</v>
      </c>
    </row>
    <row r="121" spans="1:5" x14ac:dyDescent="0.35">
      <c r="A121" s="5">
        <f>A120+0.1</f>
        <v>0.6</v>
      </c>
      <c r="B121" s="4">
        <f>SQRT(A121^2*$D$30+(1-A121)^2*$D$17+2*A121*(1-A121)*$B$57)</f>
        <v>2.8951523905522313E-2</v>
      </c>
      <c r="C121" s="3">
        <f>A121*$C$30+(1-A121)*$C$17</f>
        <v>3.6467351883299991E-3</v>
      </c>
      <c r="D121" s="8">
        <f>SQRT(A121^2*$D$30+(1-A121)^2*$K$26+2*A121*(1-A121)*$E$57)</f>
        <v>1.9485848800176852E-2</v>
      </c>
      <c r="E121" s="7">
        <f>A121*$C$30+(1-A121)*$L432</f>
        <v>2.5079016062756203E-3</v>
      </c>
    </row>
    <row r="122" spans="1:5" x14ac:dyDescent="0.35">
      <c r="A122" s="5">
        <f>A121+0.1</f>
        <v>0.7</v>
      </c>
      <c r="B122" s="4">
        <f>SQRT(A122^2*$D$30+(1-A122)^2*$D$17+2*A122*(1-A122)*$B$57)</f>
        <v>2.9701392850367481E-2</v>
      </c>
      <c r="C122" s="3">
        <f>A122*$C$30+(1-A122)*$C$17</f>
        <v>3.7800103938623411E-3</v>
      </c>
      <c r="D122" s="8">
        <f>SQRT(A122^2*$D$30+(1-A122)^2*$K$26+2*A122*(1-A122)*$E$57)</f>
        <v>2.2733490266872991E-2</v>
      </c>
      <c r="E122" s="7">
        <f>A122*$C$30+(1-A122)*$L433</f>
        <v>2.9258852073215567E-3</v>
      </c>
    </row>
    <row r="123" spans="1:5" x14ac:dyDescent="0.35">
      <c r="A123" s="5">
        <f>A122+0.1</f>
        <v>0.79999999999999993</v>
      </c>
      <c r="B123" s="4">
        <f>SQRT(A123^2*$D$30+(1-A123)^2*$D$17+2*A123*(1-A123)*$B$57)</f>
        <v>3.0543758768579933E-2</v>
      </c>
      <c r="C123" s="3">
        <f>A123*$C$30+(1-A123)*$C$17</f>
        <v>3.913285599394683E-3</v>
      </c>
      <c r="D123" s="8">
        <f>SQRT(A123^2*$D$30+(1-A123)^2*$K$26+2*A123*(1-A123)*$E$57)</f>
        <v>2.5981131733569134E-2</v>
      </c>
      <c r="E123" s="7">
        <f>A123*$C$30+(1-A123)*$L434</f>
        <v>3.3438688083674934E-3</v>
      </c>
    </row>
    <row r="124" spans="1:5" x14ac:dyDescent="0.35">
      <c r="A124" s="5">
        <f>A123+0.1</f>
        <v>0.89999999999999991</v>
      </c>
      <c r="B124" s="4">
        <f>SQRT(A124^2*$D$30+(1-A124)^2*$D$17+2*A124*(1-A124)*$B$57)</f>
        <v>3.1471195144704291E-2</v>
      </c>
      <c r="C124" s="3">
        <f>A124*$C$30+(1-A124)*$C$17</f>
        <v>4.0465608049270246E-3</v>
      </c>
      <c r="D124" s="8">
        <f>SQRT(A124^2*$D$30+(1-A124)^2*$K$26+2*A124*(1-A124)*$E$57)</f>
        <v>2.9228773200265273E-2</v>
      </c>
      <c r="E124" s="7">
        <f>A124*$C$30+(1-A124)*$L435</f>
        <v>3.7618524094134298E-3</v>
      </c>
    </row>
    <row r="125" spans="1:5" x14ac:dyDescent="0.35">
      <c r="A125" s="5">
        <f>A124+0.1</f>
        <v>0.99999999999999989</v>
      </c>
      <c r="B125" s="4">
        <f>SQRT(A125^2*$D$30+(1-A125)^2*$D$17+2*A125*(1-A125)*$B$57)</f>
        <v>3.2476414666961419E-2</v>
      </c>
      <c r="C125" s="3">
        <f>A125*$C$30+(1-A125)*$C$17</f>
        <v>4.1798360104593662E-3</v>
      </c>
      <c r="D125" s="8">
        <f>SQRT(A125^2*$D$30+(1-A125)^2*$K$26+2*A125*(1-A125)*$E$57)</f>
        <v>3.2476414666961412E-2</v>
      </c>
      <c r="E125" s="7">
        <f>A125*$C$30+(1-A125)*$L436</f>
        <v>4.1798360104593662E-3</v>
      </c>
    </row>
    <row r="126" spans="1:5" x14ac:dyDescent="0.35">
      <c r="A126" s="5">
        <f>A125+0.1</f>
        <v>1.0999999999999999</v>
      </c>
      <c r="B126" s="4">
        <f>SQRT(A126^2*$D$30+(1-A126)^2*$D$17+2*A126*(1-A126)*$B$57)</f>
        <v>3.3552426992190999E-2</v>
      </c>
      <c r="C126" s="3">
        <f>A126*$C$30+(1-A126)*$C$17</f>
        <v>4.3131112159917094E-3</v>
      </c>
      <c r="D126" s="8">
        <f>SQRT(A126^2*$D$30+(1-A126)^2*$K$26+2*A126*(1-A126)*$E$57)</f>
        <v>3.5724056133657554E-2</v>
      </c>
      <c r="E126" s="7">
        <f>A126*$C$30+(1-A126)*$L437</f>
        <v>4.5978196115053034E-3</v>
      </c>
    </row>
    <row r="127" spans="1:5" x14ac:dyDescent="0.35">
      <c r="A127" s="5">
        <f>A126+0.1</f>
        <v>1.2</v>
      </c>
      <c r="B127" s="4">
        <f>SQRT(A127^2*$D$30+(1-A127)^2*$D$17+2*A127*(1-A127)*$B$57)</f>
        <v>3.4692645707321022E-2</v>
      </c>
      <c r="C127" s="3">
        <f>A127*$C$30+(1-A127)*$C$17</f>
        <v>4.446386421524051E-3</v>
      </c>
      <c r="D127" s="8">
        <f>SQRT(A127^2*$D$30+(1-A127)^2*$K$26+2*A127*(1-A127)*$E$57)</f>
        <v>3.8971697600353704E-2</v>
      </c>
      <c r="E127" s="7">
        <f>A127*$C$30+(1-A127)*$L438</f>
        <v>5.0158032125512406E-3</v>
      </c>
    </row>
    <row r="128" spans="1:5" x14ac:dyDescent="0.35">
      <c r="A128" s="5">
        <f>A127+0.1</f>
        <v>1.3</v>
      </c>
      <c r="B128" s="4">
        <f>SQRT(A128^2*$D$30+(1-A128)^2*$D$17+2*A128*(1-A128)*$B$57)</f>
        <v>3.5890952020566469E-2</v>
      </c>
      <c r="C128" s="3">
        <f>A128*$C$30+(1-A128)*$C$17</f>
        <v>4.5796616270563925E-3</v>
      </c>
      <c r="D128" s="8">
        <f>SQRT(A128^2*$D$30+(1-A128)^2*$K$26+2*A128*(1-A128)*$E$57)</f>
        <v>4.2219339067049846E-2</v>
      </c>
      <c r="E128" s="7">
        <f>A128*$C$30+(1-A128)*$L439</f>
        <v>5.433786813597177E-3</v>
      </c>
    </row>
    <row r="129" spans="1:5" x14ac:dyDescent="0.35">
      <c r="A129" s="5">
        <f>A128+0.1</f>
        <v>1.4000000000000001</v>
      </c>
      <c r="B129" s="4">
        <f>SQRT(A129^2*$D$30+(1-A129)^2*$D$17+2*A129*(1-A129)*$B$57)</f>
        <v>3.7141724103399158E-2</v>
      </c>
      <c r="C129" s="3">
        <f>A129*$C$30+(1-A129)*$C$17</f>
        <v>4.712936832588735E-3</v>
      </c>
      <c r="D129" s="8">
        <f>SQRT(A129^2*$D$30+(1-A129)^2*$K$26+2*A129*(1-A129)*$E$57)</f>
        <v>4.5466980533745989E-2</v>
      </c>
      <c r="E129" s="7">
        <f>A129*$C$30+(1-A129)*$L440</f>
        <v>5.8517704146431142E-3</v>
      </c>
    </row>
    <row r="130" spans="1:5" x14ac:dyDescent="0.35">
      <c r="A130" s="5">
        <f>A129+0.1</f>
        <v>1.5000000000000002</v>
      </c>
      <c r="B130" s="4">
        <f>SQRT(A130^2*$D$30+(1-A130)^2*$D$17+2*A130*(1-A130)*$B$57)</f>
        <v>3.8439840835582974E-2</v>
      </c>
      <c r="C130" s="3">
        <f>A130*$C$30+(1-A130)*$C$17</f>
        <v>4.8462120381210774E-3</v>
      </c>
      <c r="D130" s="8">
        <f>SQRT(A130^2*$D$30+(1-A130)^2*$K$26+2*A130*(1-A130)*$E$57)</f>
        <v>4.8714622000442138E-2</v>
      </c>
      <c r="E130" s="7">
        <f>A130*$C$30+(1-A130)*$L441</f>
        <v>6.2697540156890514E-3</v>
      </c>
    </row>
    <row r="131" spans="1:5" x14ac:dyDescent="0.35">
      <c r="A131" s="5">
        <f>A130+0.1</f>
        <v>1.6000000000000003</v>
      </c>
      <c r="B131" s="4">
        <f>SQRT(A131^2*$D$30+(1-A131)^2*$D$17+2*A131*(1-A131)*$B$57)</f>
        <v>3.9780667656770095E-2</v>
      </c>
      <c r="C131" s="3">
        <f>A131*$C$30+(1-A131)*$C$17</f>
        <v>4.9794872436534198E-3</v>
      </c>
      <c r="D131" s="8">
        <f>SQRT(A131^2*$D$30+(1-A131)^2*$K$26+2*A131*(1-A131)*$E$57)</f>
        <v>5.1962263467138281E-2</v>
      </c>
      <c r="E131" s="7">
        <f>A131*$C$30+(1-A131)*$L442</f>
        <v>6.6877376167349886E-3</v>
      </c>
    </row>
    <row r="132" spans="1:5" x14ac:dyDescent="0.35">
      <c r="A132" s="5">
        <f>A131+0.1</f>
        <v>1.7000000000000004</v>
      </c>
      <c r="B132" s="4">
        <f>SQRT(A132^2*$D$30+(1-A132)^2*$D$17+2*A132*(1-A132)*$B$57)</f>
        <v>4.1160030814290566E-2</v>
      </c>
      <c r="C132" s="3">
        <f>A132*$C$30+(1-A132)*$C$17</f>
        <v>5.1127624491857614E-3</v>
      </c>
      <c r="D132" s="8">
        <f>SQRT(A132^2*$D$30+(1-A132)^2*$K$26+2*A132*(1-A132)*$E$57)</f>
        <v>5.5209904933834424E-2</v>
      </c>
      <c r="E132" s="7">
        <f>A132*$C$30+(1-A132)*$L443</f>
        <v>7.1057212177809258E-3</v>
      </c>
    </row>
    <row r="133" spans="1:5" x14ac:dyDescent="0.35">
      <c r="A133" s="5">
        <f>A132+0.1</f>
        <v>1.8000000000000005</v>
      </c>
      <c r="B133" s="4">
        <f>SQRT(A133^2*$D$30+(1-A133)^2*$D$17+2*A133*(1-A133)*$B$57)</f>
        <v>4.2574184850796802E-2</v>
      </c>
      <c r="C133" s="3">
        <f>A133*$C$30+(1-A133)*$C$17</f>
        <v>5.2460376547181038E-3</v>
      </c>
      <c r="D133" s="8">
        <f>SQRT(A133^2*$D$30+(1-A133)^2*$K$26+2*A133*(1-A133)*$E$57)</f>
        <v>5.8457546400530566E-2</v>
      </c>
      <c r="E133" s="7">
        <f>A133*$C$30+(1-A133)*$L444</f>
        <v>7.5237048188268631E-3</v>
      </c>
    </row>
    <row r="134" spans="1:5" x14ac:dyDescent="0.35">
      <c r="A134" s="5">
        <f>A133+0.1</f>
        <v>1.9000000000000006</v>
      </c>
      <c r="B134" s="4">
        <f>SQRT(A134^2*$D$30+(1-A134)^2*$D$17+2*A134*(1-A134)*$B$57)</f>
        <v>4.4019776878668933E-2</v>
      </c>
      <c r="C134" s="3">
        <f>A134*$C$30+(1-A134)*$C$17</f>
        <v>5.3793128602504462E-3</v>
      </c>
      <c r="D134" s="8">
        <f>SQRT(A134^2*$D$30+(1-A134)^2*$K$26+2*A134*(1-A134)*$E$57)</f>
        <v>6.1705187867226709E-2</v>
      </c>
      <c r="E134" s="7">
        <f>A134*$C$30+(1-A134)*$L445</f>
        <v>7.9416884198728003E-3</v>
      </c>
    </row>
    <row r="135" spans="1:5" x14ac:dyDescent="0.35">
      <c r="A135" s="5">
        <f>A134+0.1</f>
        <v>2.0000000000000004</v>
      </c>
      <c r="B135" s="4">
        <f>SQRT(A135^2*$D$30+(1-A135)^2*$D$17+2*A135*(1-A135)*$B$57)</f>
        <v>4.5493810115743084E-2</v>
      </c>
      <c r="C135" s="3">
        <f>A135*$C$30+(1-A135)*$C$17</f>
        <v>5.5125880657827878E-3</v>
      </c>
      <c r="D135" s="8">
        <f>SQRT(A135^2*$D$30+(1-A135)^2*$K$26+2*A135*(1-A135)*$E$57)</f>
        <v>6.4952829333922851E-2</v>
      </c>
      <c r="E135" s="7">
        <f>A135*$C$30+(1-A135)*$L446</f>
        <v>8.3596720209187358E-3</v>
      </c>
    </row>
    <row r="136" spans="1:5" x14ac:dyDescent="0.35">
      <c r="A136" s="5">
        <f>A135+0.1</f>
        <v>2.1000000000000005</v>
      </c>
      <c r="B136" s="4">
        <f>SQRT(A136^2*$D$30+(1-A136)^2*$D$17+2*A136*(1-A136)*$B$57)</f>
        <v>4.6993608319731005E-2</v>
      </c>
      <c r="C136" s="3">
        <f>A136*$C$30+(1-A136)*$C$17</f>
        <v>5.6458632713151293E-3</v>
      </c>
    </row>
    <row r="137" spans="1:5" x14ac:dyDescent="0.35">
      <c r="A137" s="5">
        <f>A136+0.1</f>
        <v>2.2000000000000006</v>
      </c>
      <c r="B137" s="4">
        <f>SQRT(A137^2*$D$30+(1-A137)^2*$D$17+2*A137*(1-A137)*$B$57)</f>
        <v>4.8516782133925664E-2</v>
      </c>
      <c r="C137" s="3">
        <f>A137*$C$30+(1-A137)*$C$17</f>
        <v>5.7791384768474717E-3</v>
      </c>
    </row>
    <row r="138" spans="1:5" x14ac:dyDescent="0.35">
      <c r="A138" s="5">
        <f>A137+0.1</f>
        <v>2.3000000000000007</v>
      </c>
      <c r="B138" s="4">
        <f>SQRT(A138^2*$D$30+(1-A138)^2*$D$17+2*A138*(1-A138)*$B$57)</f>
        <v>5.0061197908308569E-2</v>
      </c>
      <c r="C138" s="3">
        <f>A138*$C$30+(1-A138)*$C$17</f>
        <v>5.9124136823798142E-3</v>
      </c>
    </row>
    <row r="139" spans="1:5" x14ac:dyDescent="0.35">
      <c r="A139" s="5">
        <f>A138+0.1</f>
        <v>2.4000000000000008</v>
      </c>
      <c r="B139" s="4">
        <f>SQRT(A139^2*$D$30+(1-A139)^2*$D$17+2*A139*(1-A139)*$B$57)</f>
        <v>5.1624949249954526E-2</v>
      </c>
      <c r="C139" s="3">
        <f>A139*$C$30+(1-A139)*$C$17</f>
        <v>6.0456888879121566E-3</v>
      </c>
    </row>
    <row r="140" spans="1:5" x14ac:dyDescent="0.35">
      <c r="A140" s="5">
        <f>A139+0.1</f>
        <v>2.5000000000000009</v>
      </c>
      <c r="B140" s="4">
        <f>SQRT(A140^2*$D$30+(1-A140)^2*$D$17+2*A140*(1-A140)*$B$57)</f>
        <v>5.3206331350389442E-2</v>
      </c>
      <c r="C140" s="3">
        <f>A140*$C$30+(1-A140)*$C$17</f>
        <v>6.178964093444499E-3</v>
      </c>
    </row>
    <row r="141" spans="1:5" x14ac:dyDescent="0.35">
      <c r="A141" s="5">
        <f>A140+0.1</f>
        <v>2.600000000000001</v>
      </c>
      <c r="B141" s="4">
        <f>SQRT(A141^2*$D$30+(1-A141)^2*$D$17+2*A141*(1-A141)*$B$57)</f>
        <v>5.4803818006923577E-2</v>
      </c>
      <c r="C141" s="3">
        <f>A141*$C$30+(1-A141)*$C$17</f>
        <v>6.3122392989768406E-3</v>
      </c>
    </row>
    <row r="142" spans="1:5" x14ac:dyDescent="0.35">
      <c r="A142" s="5">
        <f>A141+0.1</f>
        <v>2.7000000000000011</v>
      </c>
      <c r="B142" s="4">
        <f>SQRT(A142^2*$D$30+(1-A142)^2*$D$17+2*A142*(1-A142)*$B$57)</f>
        <v>5.6416041177718937E-2</v>
      </c>
      <c r="C142" s="3">
        <f>A142*$C$30+(1-A142)*$C$17</f>
        <v>6.4455145045091812E-3</v>
      </c>
    </row>
    <row r="143" spans="1:5" x14ac:dyDescent="0.35">
      <c r="A143" s="5">
        <f>A142+0.1</f>
        <v>2.8000000000000012</v>
      </c>
      <c r="B143" s="4">
        <f>SQRT(A143^2*$D$30+(1-A143)^2*$D$17+2*A143*(1-A143)*$B$57)</f>
        <v>5.8041772869698499E-2</v>
      </c>
      <c r="C143" s="3">
        <f>A143*$C$30+(1-A143)*$C$17</f>
        <v>6.5787897100415237E-3</v>
      </c>
    </row>
    <row r="144" spans="1:5" x14ac:dyDescent="0.35">
      <c r="A144" s="5">
        <f>A143+0.1</f>
        <v>2.9000000000000012</v>
      </c>
      <c r="B144" s="4">
        <f>SQRT(A144^2*$D$30+(1-A144)^2*$D$17+2*A144*(1-A144)*$B$57)</f>
        <v>5.9679909142112256E-2</v>
      </c>
      <c r="C144" s="3">
        <f>A144*$C$30+(1-A144)*$C$17</f>
        <v>6.7120649155738661E-3</v>
      </c>
    </row>
    <row r="145" spans="1:3" x14ac:dyDescent="0.35">
      <c r="A145" s="6">
        <f>A144+0.1</f>
        <v>3.0000000000000013</v>
      </c>
      <c r="B145" s="4">
        <f>SQRT(A145^2*$D$30+(1-A145)^2*$D$17+2*A145*(1-A145)*$B$57)</f>
        <v>6.1329456007903647E-2</v>
      </c>
      <c r="C145" s="3">
        <f>A145*$C$30+(1-A145)*$C$17</f>
        <v>6.8453401211062085E-3</v>
      </c>
    </row>
    <row r="146" spans="1:3" x14ac:dyDescent="0.35">
      <c r="A146" s="5">
        <f>A145+0.1</f>
        <v>3.1000000000000014</v>
      </c>
      <c r="B146" s="4">
        <f>SQRT(A146^2*$D$30+(1-A146)^2*$D$17+2*A146*(1-A146)*$B$57)</f>
        <v>6.2989517023878797E-2</v>
      </c>
      <c r="C146" s="3">
        <f>A146*$C$30+(1-A146)*$C$17</f>
        <v>6.9786153266385501E-3</v>
      </c>
    </row>
    <row r="147" spans="1:3" x14ac:dyDescent="0.35">
      <c r="A147" s="5">
        <f>A146+0.1</f>
        <v>3.2000000000000015</v>
      </c>
      <c r="B147" s="4">
        <f>SQRT(A147^2*$D$30+(1-A147)^2*$D$17+2*A147*(1-A147)*$B$57)</f>
        <v>6.4659282374916277E-2</v>
      </c>
      <c r="C147" s="3">
        <f>A147*$C$30+(1-A147)*$C$17</f>
        <v>7.1118905321708925E-3</v>
      </c>
    </row>
    <row r="148" spans="1:3" x14ac:dyDescent="0.35">
      <c r="A148" s="6">
        <f>A147+0.1</f>
        <v>3.3000000000000016</v>
      </c>
      <c r="B148" s="4">
        <f>SQRT(A148^2*$D$30+(1-A148)^2*$D$17+2*A148*(1-A148)*$B$57)</f>
        <v>6.6338019274306909E-2</v>
      </c>
      <c r="C148" s="3">
        <f>A148*$C$30+(1-A148)*$C$17</f>
        <v>7.2451657377032349E-3</v>
      </c>
    </row>
    <row r="149" spans="1:3" x14ac:dyDescent="0.35">
      <c r="A149" s="5">
        <f>A148+0.1</f>
        <v>3.4000000000000017</v>
      </c>
      <c r="B149" s="4">
        <f>SQRT(A149^2*$D$30+(1-A149)^2*$D$17+2*A149*(1-A149)*$B$57)</f>
        <v>6.8025063519992254E-2</v>
      </c>
      <c r="C149" s="3">
        <f>A149*$C$30+(1-A149)*$C$17</f>
        <v>7.3784409432355773E-3</v>
      </c>
    </row>
    <row r="150" spans="1:3" x14ac:dyDescent="0.35">
      <c r="A150" s="5">
        <f>A149+0.1</f>
        <v>3.5000000000000018</v>
      </c>
      <c r="B150" s="4">
        <f>SQRT(A150^2*$D$30+(1-A150)^2*$D$17+2*A150*(1-A150)*$B$57)</f>
        <v>6.9719812063868611E-2</v>
      </c>
      <c r="C150" s="3">
        <f>A150*$C$30+(1-A150)*$C$17</f>
        <v>7.5117161487679197E-3</v>
      </c>
    </row>
    <row r="151" spans="1:3" x14ac:dyDescent="0.35">
      <c r="A151" s="6">
        <f>A150+0.1</f>
        <v>3.6000000000000019</v>
      </c>
      <c r="B151" s="4">
        <f>SQRT(A151^2*$D$30+(1-A151)^2*$D$17+2*A151*(1-A151)*$B$57)</f>
        <v>7.1421716467786223E-2</v>
      </c>
      <c r="C151" s="3">
        <f>A151*$C$30+(1-A151)*$C$17</f>
        <v>7.6449913543002613E-3</v>
      </c>
    </row>
    <row r="152" spans="1:3" x14ac:dyDescent="0.35">
      <c r="A152" s="5">
        <f>A151+0.1</f>
        <v>3.700000000000002</v>
      </c>
      <c r="B152" s="4">
        <f>SQRT(A152^2*$D$30+(1-A152)^2*$D$17+2*A152*(1-A152)*$B$57)</f>
        <v>7.313027713505571E-2</v>
      </c>
      <c r="C152" s="3">
        <f>A152*$C$30+(1-A152)*$C$17</f>
        <v>7.7782665598326037E-3</v>
      </c>
    </row>
    <row r="153" spans="1:3" x14ac:dyDescent="0.35">
      <c r="A153" s="6">
        <f>A152+0.1</f>
        <v>3.800000000000002</v>
      </c>
      <c r="B153" s="4">
        <f>SQRT(A153^2*$D$30+(1-A153)^2*$D$17+2*A153*(1-A153)*$B$57)</f>
        <v>7.4845038220023447E-2</v>
      </c>
      <c r="C153" s="3">
        <f>A153*$C$30+(1-A153)*$C$17</f>
        <v>7.9115417653649461E-3</v>
      </c>
    </row>
    <row r="154" spans="1:3" x14ac:dyDescent="0.35">
      <c r="A154" s="5">
        <f>A153+0.1</f>
        <v>3.9000000000000021</v>
      </c>
      <c r="B154" s="4">
        <f>SQRT(A154^2*$D$30+(1-A154)^2*$D$17+2*A154*(1-A154)*$B$57)</f>
        <v>7.6565583130575002E-2</v>
      </c>
      <c r="C154" s="3">
        <f>A154*$C$30+(1-A154)*$C$17</f>
        <v>8.044816970897286E-3</v>
      </c>
    </row>
    <row r="155" spans="1:3" x14ac:dyDescent="0.35">
      <c r="A155" s="6">
        <f>A154+0.1</f>
        <v>4.0000000000000018</v>
      </c>
      <c r="B155" s="4">
        <f>SQRT(A155^2*$D$30+(1-A155)^2*$D$17+2*A155*(1-A155)*$B$57)</f>
        <v>7.8291530549317617E-2</v>
      </c>
      <c r="C155" s="3">
        <f>A155*$C$30+(1-A155)*$C$17</f>
        <v>8.1780921764296292E-3</v>
      </c>
    </row>
    <row r="156" spans="1:3" x14ac:dyDescent="0.35">
      <c r="A156" s="5">
        <f>A155+0.1</f>
        <v>4.1000000000000014</v>
      </c>
      <c r="B156" s="4">
        <f>SQRT(A156^2*$D$30+(1-A156)^2*$D$17+2*A156*(1-A156)*$B$57)</f>
        <v>8.0022530908775841E-2</v>
      </c>
      <c r="C156" s="3">
        <f>A156*$C$30+(1-A156)*$C$17</f>
        <v>8.3113673819619708E-3</v>
      </c>
    </row>
    <row r="157" spans="1:3" x14ac:dyDescent="0.35">
      <c r="A157" s="6">
        <f>A156+0.1</f>
        <v>4.2000000000000011</v>
      </c>
      <c r="B157" s="4">
        <f>SQRT(A157^2*$D$30+(1-A157)^2*$D$17+2*A157*(1-A157)*$B$57)</f>
        <v>8.1758263264325448E-2</v>
      </c>
      <c r="C157" s="3">
        <f>A157*$C$30+(1-A157)*$C$17</f>
        <v>8.4446425874943123E-3</v>
      </c>
    </row>
    <row r="158" spans="1:3" x14ac:dyDescent="0.35">
      <c r="A158" s="5">
        <f>A157+0.1</f>
        <v>4.3000000000000007</v>
      </c>
      <c r="B158" s="4">
        <f>SQRT(A158^2*$D$30+(1-A158)^2*$D$17+2*A158*(1-A158)*$B$57)</f>
        <v>8.3498432515904275E-2</v>
      </c>
      <c r="C158" s="3">
        <f>A158*$C$30+(1-A158)*$C$17</f>
        <v>8.5779177930266539E-3</v>
      </c>
    </row>
    <row r="159" spans="1:3" x14ac:dyDescent="0.35">
      <c r="A159" s="6">
        <f>A158+0.1</f>
        <v>4.4000000000000004</v>
      </c>
      <c r="B159" s="4">
        <f>SQRT(A159^2*$D$30+(1-A159)^2*$D$17+2*A159*(1-A159)*$B$57)</f>
        <v>8.524276693590381E-2</v>
      </c>
      <c r="C159" s="3">
        <f>A159*$C$30+(1-A159)*$C$17</f>
        <v>8.7111929985589955E-3</v>
      </c>
    </row>
    <row r="160" spans="1:3" x14ac:dyDescent="0.35">
      <c r="A160" s="5">
        <f>A159+0.1</f>
        <v>4.5</v>
      </c>
      <c r="B160" s="4">
        <f>SQRT(A160^2*$D$30+(1-A160)^2*$D$17+2*A160*(1-A160)*$B$57)</f>
        <v>8.6991015966168109E-2</v>
      </c>
      <c r="C160" s="3">
        <f>A160*$C$30+(1-A160)*$C$17</f>
        <v>8.844468204091337E-3</v>
      </c>
    </row>
    <row r="161" spans="1:4" x14ac:dyDescent="0.35">
      <c r="A161" s="6">
        <f>A160+0.1</f>
        <v>4.5999999999999996</v>
      </c>
      <c r="B161" s="4">
        <f>SQRT(A161^2*$D$30+(1-A161)^2*$D$17+2*A161*(1-A161)*$B$57)</f>
        <v>8.8742948251818429E-2</v>
      </c>
      <c r="C161" s="3">
        <f>A161*$C$30+(1-A161)*$C$17</f>
        <v>8.9777434096236786E-3</v>
      </c>
    </row>
    <row r="162" spans="1:4" x14ac:dyDescent="0.35">
      <c r="A162" s="5">
        <f>A161+0.1</f>
        <v>4.6999999999999993</v>
      </c>
      <c r="B162" s="4">
        <f>SQRT(A162^2*$D$30+(1-A162)^2*$D$17+2*A162*(1-A162)*$B$57)</f>
        <v>9.0498349883769993E-2</v>
      </c>
      <c r="C162" s="3">
        <f>A162*$C$30+(1-A162)*$C$17</f>
        <v>9.1110186151560218E-3</v>
      </c>
    </row>
    <row r="163" spans="1:4" x14ac:dyDescent="0.35">
      <c r="A163" s="6">
        <f>A162+0.1</f>
        <v>4.7999999999999989</v>
      </c>
      <c r="B163" s="4">
        <f>SQRT(A163^2*$D$30+(1-A163)^2*$D$17+2*A163*(1-A163)*$B$57)</f>
        <v>9.2257022825403837E-2</v>
      </c>
      <c r="C163" s="3">
        <f>A163*$C$30+(1-A163)*$C$17</f>
        <v>9.2442938206883634E-3</v>
      </c>
    </row>
    <row r="164" spans="1:4" x14ac:dyDescent="0.35">
      <c r="A164" s="5">
        <f>A163+0.1</f>
        <v>4.8999999999999986</v>
      </c>
      <c r="B164" s="4">
        <f>SQRT(A164^2*$D$30+(1-A164)^2*$D$17+2*A164*(1-A164)*$B$57)</f>
        <v>9.4018783501970696E-2</v>
      </c>
      <c r="C164" s="3">
        <f>A164*$C$30+(1-A164)*$C$17</f>
        <v>9.3775690262207015E-3</v>
      </c>
    </row>
    <row r="165" spans="1:4" x14ac:dyDescent="0.35">
      <c r="A165" s="5">
        <f>A164+0.1</f>
        <v>4.9999999999999982</v>
      </c>
      <c r="B165" s="4">
        <f>SQRT(A165^2*$D$30+(1-A165)^2*$D$17+2*A165*(1-A165)*$B$57)</f>
        <v>9.5783461534000219E-2</v>
      </c>
      <c r="C165" s="3">
        <f>A165*$C$30+(1-A165)*$C$17</f>
        <v>9.510844231753043E-3</v>
      </c>
    </row>
    <row r="166" spans="1:4" x14ac:dyDescent="0.35">
      <c r="A166" s="1"/>
    </row>
    <row r="168" spans="1:4" x14ac:dyDescent="0.35">
      <c r="A168" s="1" t="s">
        <v>19</v>
      </c>
      <c r="B168" s="1" t="s">
        <v>18</v>
      </c>
      <c r="C168" s="1" t="s">
        <v>17</v>
      </c>
    </row>
    <row r="169" spans="1:4" x14ac:dyDescent="0.35">
      <c r="A169" t="s">
        <v>16</v>
      </c>
      <c r="B169">
        <v>5.35</v>
      </c>
      <c r="C169">
        <v>3.35</v>
      </c>
      <c r="D169">
        <v>1</v>
      </c>
    </row>
    <row r="170" spans="1:4" x14ac:dyDescent="0.35">
      <c r="A170" t="s">
        <v>15</v>
      </c>
      <c r="B170">
        <v>-1.36</v>
      </c>
      <c r="C170">
        <v>-2.7</v>
      </c>
      <c r="D170">
        <v>1</v>
      </c>
    </row>
    <row r="171" spans="1:4" x14ac:dyDescent="0.35">
      <c r="A171" t="s">
        <v>14</v>
      </c>
      <c r="B171">
        <v>-3.08</v>
      </c>
      <c r="C171">
        <v>-4.3499999999999996</v>
      </c>
      <c r="D171">
        <v>1</v>
      </c>
    </row>
    <row r="172" spans="1:4" x14ac:dyDescent="0.35">
      <c r="A172" t="s">
        <v>13</v>
      </c>
      <c r="B172">
        <v>0</v>
      </c>
      <c r="C172">
        <v>1.3</v>
      </c>
      <c r="D172">
        <v>1</v>
      </c>
    </row>
    <row r="173" spans="1:4" x14ac:dyDescent="0.35">
      <c r="A173" t="s">
        <v>12</v>
      </c>
      <c r="B173">
        <v>-1.64</v>
      </c>
      <c r="C173">
        <v>1.63</v>
      </c>
      <c r="D173">
        <v>1</v>
      </c>
    </row>
    <row r="174" spans="1:4" x14ac:dyDescent="0.35">
      <c r="A174" t="s">
        <v>11</v>
      </c>
      <c r="B174">
        <v>-7.16</v>
      </c>
      <c r="C174">
        <v>-2.4700000000000002</v>
      </c>
      <c r="D174">
        <v>1</v>
      </c>
    </row>
    <row r="175" spans="1:4" x14ac:dyDescent="0.35">
      <c r="A175" t="s">
        <v>10</v>
      </c>
      <c r="B175">
        <v>4.8499999999999996</v>
      </c>
      <c r="C175">
        <v>3.31</v>
      </c>
      <c r="D175">
        <v>1</v>
      </c>
    </row>
    <row r="176" spans="1:4" x14ac:dyDescent="0.35">
      <c r="A176" t="s">
        <v>9</v>
      </c>
      <c r="B176">
        <v>1.21</v>
      </c>
      <c r="C176">
        <v>4.07</v>
      </c>
      <c r="D176">
        <v>1</v>
      </c>
    </row>
    <row r="177" spans="1:4" x14ac:dyDescent="0.35">
      <c r="A177" t="s">
        <v>8</v>
      </c>
      <c r="B177">
        <v>-3.36</v>
      </c>
      <c r="C177">
        <v>-2.41</v>
      </c>
      <c r="D177">
        <v>1</v>
      </c>
    </row>
    <row r="178" spans="1:4" x14ac:dyDescent="0.35">
      <c r="A178" t="s">
        <v>7</v>
      </c>
      <c r="B178">
        <v>9.35</v>
      </c>
      <c r="C178">
        <v>2.29</v>
      </c>
      <c r="D178">
        <v>1</v>
      </c>
    </row>
    <row r="179" spans="1:4" x14ac:dyDescent="0.35">
      <c r="A179" t="s">
        <v>6</v>
      </c>
      <c r="B179">
        <v>-2.78</v>
      </c>
      <c r="C179">
        <v>-3.67</v>
      </c>
      <c r="D179">
        <v>1</v>
      </c>
    </row>
    <row r="180" spans="1:4" x14ac:dyDescent="0.35">
      <c r="A180" t="s">
        <v>5</v>
      </c>
      <c r="B180">
        <v>0.62</v>
      </c>
      <c r="C180">
        <v>1.46</v>
      </c>
      <c r="D180">
        <v>1</v>
      </c>
    </row>
    <row r="181" spans="1:4" x14ac:dyDescent="0.35">
      <c r="A181" s="1" t="s">
        <v>4</v>
      </c>
      <c r="B181" s="1">
        <f>AVERAGE(B169:B180)</f>
        <v>0.16666666666666655</v>
      </c>
      <c r="C181" s="1">
        <f>AVERAGE(C169:C180)</f>
        <v>0.15083333333333337</v>
      </c>
    </row>
    <row r="182" spans="1:4" x14ac:dyDescent="0.35">
      <c r="A182" s="1" t="s">
        <v>3</v>
      </c>
      <c r="B182">
        <f>VAR(B169:B180)</f>
        <v>20.490169696969694</v>
      </c>
      <c r="C182">
        <f>VAR(C169:C180)</f>
        <v>9.2530446969696971</v>
      </c>
    </row>
    <row r="184" spans="1:4" x14ac:dyDescent="0.35">
      <c r="A184" s="1" t="s">
        <v>2</v>
      </c>
      <c r="B184" s="2">
        <f>_xlfn.COVARIANCE.S(B169:B180,C169:C180)</f>
        <v>10.117993939393939</v>
      </c>
    </row>
    <row r="185" spans="1:4" x14ac:dyDescent="0.35">
      <c r="A185" s="1" t="s">
        <v>1</v>
      </c>
      <c r="B185">
        <f>B184/C182</f>
        <v>1.0934772575677179</v>
      </c>
    </row>
    <row r="186" spans="1:4" x14ac:dyDescent="0.35">
      <c r="A186" s="1" t="s">
        <v>0</v>
      </c>
      <c r="B186">
        <f>0.67*B185+0.33</f>
        <v>1.0626297625703711</v>
      </c>
    </row>
  </sheetData>
  <mergeCells count="3">
    <mergeCell ref="B56:C56"/>
    <mergeCell ref="E56:F56"/>
    <mergeCell ref="E57:F57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projekt</vt:lpstr>
      <vt:lpstr>projekt!h</vt:lpstr>
      <vt:lpstr>projekt!vcov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Skafte</dc:creator>
  <cp:lastModifiedBy>Martin Skafte</cp:lastModifiedBy>
  <dcterms:created xsi:type="dcterms:W3CDTF">2021-06-08T17:07:33Z</dcterms:created>
  <dcterms:modified xsi:type="dcterms:W3CDTF">2021-06-08T17:08:02Z</dcterms:modified>
</cp:coreProperties>
</file>