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2-08\Desktop\"/>
    </mc:Choice>
  </mc:AlternateContent>
  <bookViews>
    <workbookView xWindow="0" yWindow="0" windowWidth="16380" windowHeight="8190" tabRatio="500"/>
  </bookViews>
  <sheets>
    <sheet name="Лист1" sheetId="1" r:id="rId1"/>
  </sheets>
  <definedNames>
    <definedName name="_Toc518981405" localSheetId="0">Лист1!$A$22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8" i="1" l="1"/>
  <c r="H38" i="1"/>
  <c r="E35" i="1" l="1"/>
  <c r="D35" i="1"/>
  <c r="C35" i="1"/>
  <c r="Q30" i="1"/>
  <c r="I30" i="1"/>
  <c r="S29" i="1"/>
  <c r="I29" i="1"/>
  <c r="S28" i="1"/>
  <c r="Q28" i="1"/>
  <c r="D24" i="1"/>
  <c r="I15" i="1"/>
  <c r="H15" i="1"/>
  <c r="G15" i="1"/>
  <c r="L15" i="1" s="1"/>
  <c r="I13" i="1"/>
  <c r="H13" i="1"/>
  <c r="L13" i="1" s="1"/>
  <c r="O13" i="1" s="1"/>
  <c r="G13" i="1"/>
  <c r="D7" i="1"/>
  <c r="F28" i="1" l="1"/>
  <c r="C28" i="1"/>
  <c r="C22" i="1"/>
  <c r="C24" i="1" s="1"/>
  <c r="G24" i="1"/>
  <c r="C18" i="1"/>
  <c r="O15" i="1"/>
  <c r="C30" i="1"/>
  <c r="F30" i="1" s="1"/>
  <c r="I38" i="1" l="1"/>
  <c r="H35" i="1"/>
  <c r="L28" i="1"/>
  <c r="I31" i="1"/>
  <c r="I28" i="1" s="1"/>
  <c r="C32" i="1" s="1"/>
  <c r="C38" i="1" l="1"/>
  <c r="E38" i="1"/>
  <c r="D38" i="1"/>
  <c r="N38" i="1" l="1"/>
  <c r="P38" i="1" s="1"/>
</calcChain>
</file>

<file path=xl/sharedStrings.xml><?xml version="1.0" encoding="utf-8"?>
<sst xmlns="http://schemas.openxmlformats.org/spreadsheetml/2006/main" count="67" uniqueCount="63">
  <si>
    <t>Вариант 4</t>
  </si>
  <si>
    <t>диаметр сердечника оптоволоконного световода 2a=8,3 мкм;</t>
  </si>
  <si>
    <t>λ, нм</t>
  </si>
  <si>
    <t>Δ λ, нм</t>
  </si>
  <si>
    <r>
      <rPr>
        <sz val="12"/>
        <color rgb="FF000000"/>
        <rFont val="Times New Roman"/>
        <family val="1"/>
        <charset val="1"/>
      </rPr>
      <t>P</t>
    </r>
    <r>
      <rPr>
        <vertAlign val="subscript"/>
        <sz val="12"/>
        <color rgb="FF000000"/>
        <rFont val="Times New Roman"/>
        <family val="1"/>
        <charset val="204"/>
      </rPr>
      <t>пер</t>
    </r>
    <r>
      <rPr>
        <sz val="12"/>
        <color rgb="FF000000"/>
        <rFont val="Times New Roman"/>
        <family val="1"/>
        <charset val="204"/>
      </rPr>
      <t>, мВт</t>
    </r>
  </si>
  <si>
    <r>
      <rPr>
        <sz val="12"/>
        <color rgb="FF000000"/>
        <rFont val="Times New Roman"/>
        <family val="1"/>
        <charset val="1"/>
      </rPr>
      <t>α</t>
    </r>
    <r>
      <rPr>
        <vertAlign val="subscript"/>
        <sz val="12"/>
        <color rgb="FF000000"/>
        <rFont val="Times New Roman"/>
        <family val="1"/>
        <charset val="204"/>
      </rPr>
      <t>вх, дБ</t>
    </r>
  </si>
  <si>
    <r>
      <rPr>
        <sz val="12"/>
        <color rgb="FF000000"/>
        <rFont val="Times New Roman"/>
        <family val="1"/>
        <charset val="1"/>
      </rPr>
      <t>α</t>
    </r>
    <r>
      <rPr>
        <vertAlign val="subscript"/>
        <sz val="12"/>
        <color rgb="FF000000"/>
        <rFont val="Times New Roman"/>
        <family val="1"/>
        <charset val="204"/>
      </rPr>
      <t>вых, дБ</t>
    </r>
  </si>
  <si>
    <r>
      <rPr>
        <sz val="12"/>
        <color rgb="FF000000"/>
        <rFont val="Times New Roman"/>
        <family val="1"/>
        <charset val="1"/>
      </rPr>
      <t>α</t>
    </r>
    <r>
      <rPr>
        <vertAlign val="subscript"/>
        <sz val="12"/>
        <color rgb="FF000000"/>
        <rFont val="Times New Roman"/>
        <family val="1"/>
        <charset val="204"/>
      </rPr>
      <t>нс, дБ</t>
    </r>
  </si>
  <si>
    <t>диаметр оболочки оптоволоконного световода b=125 мкм;</t>
  </si>
  <si>
    <t>диаметр скрутки d=160 мм;</t>
  </si>
  <si>
    <t>мкм</t>
  </si>
  <si>
    <t>шаг скрутки S=80 мм;</t>
  </si>
  <si>
    <t>коэффициент для расчета затухания на микроизгибах  k=15;</t>
  </si>
  <si>
    <r>
      <rPr>
        <sz val="12"/>
        <color rgb="FF000000"/>
        <rFont val="Times New Roman"/>
        <family val="1"/>
        <charset val="204"/>
      </rPr>
      <t xml:space="preserve">строительная длина оптического кабеля </t>
    </r>
    <r>
      <rPr>
        <i/>
        <sz val="12"/>
        <color rgb="FF000000"/>
        <rFont val="Times New Roman"/>
        <family val="1"/>
        <charset val="204"/>
      </rPr>
      <t>l</t>
    </r>
    <r>
      <rPr>
        <i/>
        <vertAlign val="subscript"/>
        <sz val="12"/>
        <color rgb="FF000000"/>
        <rFont val="Times New Roman"/>
        <family val="1"/>
        <charset val="204"/>
      </rPr>
      <t>сд</t>
    </r>
    <r>
      <rPr>
        <sz val="12"/>
        <color rgb="FF000000"/>
        <rFont val="Times New Roman"/>
        <family val="1"/>
        <charset val="204"/>
      </rPr>
      <t>=2 км;</t>
    </r>
  </si>
  <si>
    <t>a=</t>
  </si>
  <si>
    <r>
      <rPr>
        <sz val="12"/>
        <color rgb="FF000000"/>
        <rFont val="Times New Roman"/>
        <family val="1"/>
        <charset val="204"/>
      </rPr>
      <t>коэффициент ошибок p</t>
    </r>
    <r>
      <rPr>
        <vertAlign val="subscript"/>
        <sz val="12"/>
        <color rgb="FF000000"/>
        <rFont val="Times New Roman"/>
        <family val="1"/>
        <charset val="204"/>
      </rPr>
      <t>ош</t>
    </r>
    <r>
      <rPr>
        <sz val="12"/>
        <color rgb="FF000000"/>
        <rFont val="Times New Roman"/>
        <family val="1"/>
        <charset val="204"/>
      </rPr>
      <t>=­10</t>
    </r>
    <r>
      <rPr>
        <vertAlign val="superscript"/>
        <sz val="12"/>
        <color rgb="FF000000"/>
        <rFont val="Times New Roman"/>
        <family val="1"/>
        <charset val="204"/>
      </rPr>
      <t>-9</t>
    </r>
    <r>
      <rPr>
        <sz val="12"/>
        <color rgb="FF000000"/>
        <rFont val="Times New Roman"/>
        <family val="1"/>
        <charset val="204"/>
      </rPr>
      <t>;</t>
    </r>
  </si>
  <si>
    <t>скорость передачи информации B= 622 Мбит/с.</t>
  </si>
  <si>
    <t>1. Расчет показателя преломления компонентов волоконного световода</t>
  </si>
  <si>
    <r>
      <rPr>
        <sz val="12"/>
        <color rgb="FF000000"/>
        <rFont val="Times New Roman"/>
        <family val="1"/>
        <charset val="1"/>
      </rPr>
      <t>Светоотра-жающая оболочка (n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)</t>
    </r>
  </si>
  <si>
    <t>Ai</t>
  </si>
  <si>
    <t>n2^2=</t>
  </si>
  <si>
    <t>n2=</t>
  </si>
  <si>
    <t>Ii</t>
  </si>
  <si>
    <t>Сердечник</t>
  </si>
  <si>
    <t>n1^2=</t>
  </si>
  <si>
    <t>n1=</t>
  </si>
  <si>
    <t>V=</t>
  </si>
  <si>
    <r>
      <rPr>
        <sz val="12"/>
        <color rgb="FF000000"/>
        <rFont val="Times New Roman"/>
        <family val="1"/>
        <charset val="1"/>
      </rPr>
      <t>в световоде распространяется лишь один тип волны  НЕ</t>
    </r>
    <r>
      <rPr>
        <vertAlign val="subscript"/>
        <sz val="12"/>
        <color rgb="FF000000"/>
        <rFont val="Times New Roman"/>
        <family val="1"/>
        <charset val="204"/>
      </rPr>
      <t>11</t>
    </r>
    <r>
      <rPr>
        <sz val="12"/>
        <color rgb="FF000000"/>
        <rFont val="Times New Roman"/>
        <family val="1"/>
        <charset val="204"/>
      </rPr>
      <t>, и компоненты волоконного световода выбраны правильно.</t>
    </r>
  </si>
  <si>
    <t>2. Расчет числовой апертуры световода</t>
  </si>
  <si>
    <t>=</t>
  </si>
  <si>
    <t>~</t>
  </si>
  <si>
    <r>
      <rPr>
        <sz val="12"/>
        <color rgb="FF000000"/>
        <rFont val="Times New Roman"/>
        <family val="1"/>
        <charset val="204"/>
      </rPr>
      <t>Δ</t>
    </r>
    <r>
      <rPr>
        <sz val="11"/>
        <color rgb="FF000000"/>
        <rFont val="Times New Roman"/>
        <family val="1"/>
        <charset val="1"/>
      </rPr>
      <t>=</t>
    </r>
  </si>
  <si>
    <t>NA=</t>
  </si>
  <si>
    <t>3. Расчет затухания световодов</t>
  </si>
  <si>
    <t>αп=</t>
  </si>
  <si>
    <t>αр=</t>
  </si>
  <si>
    <t>αмакро=</t>
  </si>
  <si>
    <t>αмикро=</t>
  </si>
  <si>
    <t>K</t>
  </si>
  <si>
    <t>T</t>
  </si>
  <si>
    <t>w0=</t>
  </si>
  <si>
    <t>α=</t>
  </si>
  <si>
    <t>4. Расчет дисперсии оптического волокна</t>
  </si>
  <si>
    <r>
      <rPr>
        <sz val="11"/>
        <color rgb="FF000000"/>
        <rFont val="Calibri"/>
        <family val="2"/>
        <charset val="204"/>
      </rPr>
      <t>Суммы для δн/δ</t>
    </r>
    <r>
      <rPr>
        <sz val="12"/>
        <color rgb="FF000000"/>
        <rFont val="Times New Roman"/>
        <family val="1"/>
        <charset val="204"/>
      </rPr>
      <t>λ</t>
    </r>
    <r>
      <rPr>
        <sz val="11"/>
        <color rgb="FF000000"/>
        <rFont val="Times New Roman"/>
        <family val="1"/>
        <charset val="1"/>
      </rPr>
      <t>:</t>
    </r>
  </si>
  <si>
    <r>
      <rPr>
        <sz val="11"/>
        <color rgb="FF000000"/>
        <rFont val="Calibri"/>
        <family val="2"/>
        <charset val="204"/>
      </rPr>
      <t>δn/δ</t>
    </r>
    <r>
      <rPr>
        <sz val="12"/>
        <color rgb="FF000000"/>
        <rFont val="Times New Roman"/>
        <family val="1"/>
        <charset val="204"/>
      </rPr>
      <t>λ</t>
    </r>
  </si>
  <si>
    <t>с=</t>
  </si>
  <si>
    <t>Δ λ=?</t>
  </si>
  <si>
    <r>
      <rPr>
        <i/>
        <sz val="12"/>
        <rFont val="Times New Roman"/>
        <family val="1"/>
        <charset val="1"/>
      </rPr>
      <t xml:space="preserve">с </t>
    </r>
    <r>
      <rPr>
        <sz val="12"/>
        <rFont val="Times New Roman"/>
        <family val="1"/>
        <charset val="1"/>
      </rPr>
      <t>= 300000 км/с</t>
    </r>
  </si>
  <si>
    <r>
      <rPr>
        <sz val="11"/>
        <color rgb="FF000000"/>
        <rFont val="Calibri"/>
        <family val="2"/>
        <charset val="204"/>
      </rPr>
      <t>Суммы для М(</t>
    </r>
    <r>
      <rPr>
        <sz val="12"/>
        <color rgb="FF000000"/>
        <rFont val="Times New Roman"/>
        <family val="1"/>
        <charset val="204"/>
      </rPr>
      <t>λ</t>
    </r>
    <r>
      <rPr>
        <sz val="11"/>
        <color rgb="FF000000"/>
        <rFont val="Times New Roman"/>
        <family val="1"/>
        <charset val="1"/>
      </rPr>
      <t>)</t>
    </r>
  </si>
  <si>
    <r>
      <rPr>
        <sz val="11"/>
        <color rgb="FF000000"/>
        <rFont val="Calibri"/>
        <family val="2"/>
        <charset val="204"/>
      </rPr>
      <t>M(</t>
    </r>
    <r>
      <rPr>
        <sz val="12"/>
        <color rgb="FF000000"/>
        <rFont val="Times New Roman"/>
        <family val="1"/>
        <charset val="204"/>
      </rPr>
      <t>λ</t>
    </r>
    <r>
      <rPr>
        <sz val="11"/>
        <color rgb="FF000000"/>
        <rFont val="Times New Roman"/>
        <family val="1"/>
        <charset val="1"/>
      </rPr>
      <t>)</t>
    </r>
  </si>
  <si>
    <r>
      <rPr>
        <sz val="11"/>
        <color rgb="FF000000"/>
        <rFont val="Calibri"/>
        <family val="2"/>
        <charset val="204"/>
      </rPr>
      <t>B(</t>
    </r>
    <r>
      <rPr>
        <sz val="12"/>
        <color rgb="FF000000"/>
        <rFont val="Times New Roman"/>
        <family val="1"/>
        <charset val="204"/>
      </rPr>
      <t>λ</t>
    </r>
    <r>
      <rPr>
        <sz val="11"/>
        <color rgb="FF000000"/>
        <rFont val="Times New Roman"/>
        <family val="1"/>
        <charset val="1"/>
      </rPr>
      <t>)</t>
    </r>
  </si>
  <si>
    <t>τм=</t>
  </si>
  <si>
    <t>τв</t>
  </si>
  <si>
    <t>τ</t>
  </si>
  <si>
    <t>ΔF</t>
  </si>
  <si>
    <t>5. Определить длину регенерационного участка.</t>
  </si>
  <si>
    <t>5.1 Определение длины регенерационного участка по затуханию оптического кабеля</t>
  </si>
  <si>
    <t>5.2  Определение длины регенерационного участка по пропускной способности оптического кабеля</t>
  </si>
  <si>
    <t>α нс, дБ</t>
  </si>
  <si>
    <r>
      <t>α</t>
    </r>
    <r>
      <rPr>
        <vertAlign val="subscript"/>
        <sz val="12"/>
        <color rgb="FF000000"/>
        <rFont val="Times New Roman"/>
        <family val="1"/>
        <charset val="204"/>
      </rPr>
      <t>рс, дБ</t>
    </r>
  </si>
  <si>
    <t>αрс, дБ</t>
  </si>
  <si>
    <t>l(p) затухание</t>
  </si>
  <si>
    <t>l(p) пропуск способн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</si>
</sst>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>
      <alignment horizontal="justify" vertical="center"/>
    </xf>
    <xf numFmtId="0" fontId="1" fillId="0" borderId="1" xfId="0" applyFont="1" applyBorder="1" applyAlignment="1" applyProtection="1"/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/>
    <xf numFmtId="0" fontId="2" fillId="0" borderId="0" xfId="0" applyFont="1" applyAlignment="1" applyProtection="1">
      <alignment wrapText="1"/>
    </xf>
    <xf numFmtId="0" fontId="4" fillId="0" borderId="0" xfId="0" applyFont="1" applyAlignment="1" applyProtection="1">
      <alignment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wrapText="1"/>
    </xf>
    <xf numFmtId="0" fontId="2" fillId="0" borderId="0" xfId="0" applyFont="1" applyAlignment="1" applyProtection="1">
      <alignment horizontal="justify" vertical="center"/>
    </xf>
    <xf numFmtId="0" fontId="3" fillId="0" borderId="1" xfId="0" applyFont="1" applyBorder="1" applyAlignment="1" applyProtection="1"/>
    <xf numFmtId="0" fontId="0" fillId="0" borderId="0" xfId="0" applyFont="1" applyAlignment="1" applyProtection="1"/>
    <xf numFmtId="0" fontId="0" fillId="0" borderId="1" xfId="0" applyFont="1" applyBorder="1" applyAlignment="1" applyProtection="1"/>
    <xf numFmtId="0" fontId="9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4" fillId="0" borderId="1" xfId="0" applyFont="1" applyBorder="1" applyAlignment="1" applyProtection="1"/>
    <xf numFmtId="0" fontId="4" fillId="0" borderId="0" xfId="0" applyFont="1" applyAlignment="1" applyProtection="1"/>
    <xf numFmtId="0" fontId="10" fillId="0" borderId="0" xfId="0" applyFont="1" applyAlignment="1" applyProtection="1"/>
    <xf numFmtId="0" fontId="12" fillId="0" borderId="0" xfId="0" applyFont="1" applyAlignment="1" applyProtection="1"/>
    <xf numFmtId="0" fontId="13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Normal="100" workbookViewId="0">
      <selection activeCell="I31" sqref="I31"/>
    </sheetView>
  </sheetViews>
  <sheetFormatPr defaultColWidth="8.7109375" defaultRowHeight="15" x14ac:dyDescent="0.25"/>
  <cols>
    <col min="1" max="1" width="66.28515625" style="1" customWidth="1"/>
    <col min="2" max="2" width="8.7109375" style="1"/>
    <col min="3" max="3" width="11" style="1" customWidth="1"/>
    <col min="4" max="4" width="8.7109375" style="1"/>
    <col min="5" max="5" width="13.5703125" style="1" customWidth="1"/>
    <col min="6" max="6" width="12.85546875" style="1" customWidth="1"/>
    <col min="7" max="8" width="8.7109375" style="1"/>
    <col min="9" max="9" width="11" style="1" customWidth="1"/>
    <col min="10" max="11" width="8.7109375" style="1"/>
    <col min="12" max="12" width="12" style="1" customWidth="1"/>
    <col min="13" max="17" width="8.7109375" style="1"/>
    <col min="18" max="18" width="10.7109375" style="1" customWidth="1"/>
    <col min="19" max="19" width="7.28515625" style="1" hidden="1" customWidth="1"/>
    <col min="20" max="16384" width="8.7109375" style="1"/>
  </cols>
  <sheetData>
    <row r="1" spans="1:16" ht="15.75" x14ac:dyDescent="0.25">
      <c r="A1" s="2" t="s">
        <v>0</v>
      </c>
    </row>
    <row r="2" spans="1:16" ht="18.75" x14ac:dyDescent="0.25">
      <c r="A2" s="3" t="s">
        <v>1</v>
      </c>
      <c r="B2" s="4"/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59</v>
      </c>
      <c r="J2" s="4"/>
    </row>
    <row r="3" spans="1:16" ht="15.75" x14ac:dyDescent="0.25">
      <c r="A3" s="3" t="s">
        <v>8</v>
      </c>
      <c r="B3" s="4"/>
      <c r="C3" s="5">
        <v>1570</v>
      </c>
      <c r="D3" s="5">
        <v>0.11</v>
      </c>
      <c r="E3" s="7">
        <v>13</v>
      </c>
      <c r="F3" s="7">
        <v>3</v>
      </c>
      <c r="G3" s="7">
        <v>4</v>
      </c>
      <c r="H3" s="7">
        <v>0.02</v>
      </c>
      <c r="I3" s="7">
        <v>0.5</v>
      </c>
      <c r="J3" s="4"/>
    </row>
    <row r="4" spans="1:16" ht="15.75" x14ac:dyDescent="0.25">
      <c r="A4" s="3" t="s">
        <v>9</v>
      </c>
      <c r="C4" s="1" t="s">
        <v>10</v>
      </c>
      <c r="D4" s="1" t="s">
        <v>10</v>
      </c>
    </row>
    <row r="5" spans="1:16" ht="15.75" x14ac:dyDescent="0.25">
      <c r="A5" s="3" t="s">
        <v>11</v>
      </c>
      <c r="B5" s="4"/>
      <c r="C5" s="8">
        <v>1.57</v>
      </c>
      <c r="D5" s="8">
        <v>1.1E-4</v>
      </c>
      <c r="E5" s="4"/>
    </row>
    <row r="6" spans="1:16" ht="15.75" x14ac:dyDescent="0.25">
      <c r="A6" s="3" t="s">
        <v>12</v>
      </c>
      <c r="B6" s="4"/>
      <c r="C6" s="4"/>
      <c r="D6" s="4"/>
      <c r="E6" s="4"/>
    </row>
    <row r="7" spans="1:16" ht="18.75" x14ac:dyDescent="0.25">
      <c r="A7" s="3" t="s">
        <v>13</v>
      </c>
      <c r="B7" s="4"/>
      <c r="C7" s="4" t="s">
        <v>14</v>
      </c>
      <c r="D7" s="8">
        <f>8.3/2</f>
        <v>4.1500000000000004</v>
      </c>
      <c r="E7" s="4"/>
    </row>
    <row r="8" spans="1:16" ht="20.25" x14ac:dyDescent="0.25">
      <c r="A8" s="3" t="s">
        <v>15</v>
      </c>
    </row>
    <row r="9" spans="1:16" ht="15.75" x14ac:dyDescent="0.25">
      <c r="A9" s="3" t="s">
        <v>16</v>
      </c>
    </row>
    <row r="11" spans="1:16" ht="31.5" x14ac:dyDescent="0.25">
      <c r="A11" s="9" t="s">
        <v>17</v>
      </c>
      <c r="K11" s="4"/>
      <c r="L11" s="4"/>
      <c r="M11" s="4"/>
      <c r="N11" s="4"/>
      <c r="O11" s="4"/>
      <c r="P11" s="4"/>
    </row>
    <row r="12" spans="1:16" x14ac:dyDescent="0.25">
      <c r="C12" s="1">
        <v>1</v>
      </c>
      <c r="D12" s="1">
        <v>2</v>
      </c>
      <c r="E12" s="1">
        <v>3</v>
      </c>
      <c r="G12" s="1">
        <v>1</v>
      </c>
      <c r="H12" s="1">
        <v>2</v>
      </c>
      <c r="I12" s="1">
        <v>3</v>
      </c>
      <c r="K12" s="4"/>
      <c r="L12" s="4"/>
      <c r="M12" s="4"/>
      <c r="N12" s="4"/>
      <c r="O12" s="4"/>
      <c r="P12" s="4"/>
    </row>
    <row r="13" spans="1:16" ht="18.75" x14ac:dyDescent="0.25">
      <c r="A13" s="10" t="s">
        <v>18</v>
      </c>
      <c r="B13" s="1" t="s">
        <v>19</v>
      </c>
      <c r="C13" s="11">
        <v>0.69616630000000002</v>
      </c>
      <c r="D13" s="11">
        <v>0.40794259999999999</v>
      </c>
      <c r="E13" s="11">
        <v>0.89747940000000004</v>
      </c>
      <c r="G13" s="1">
        <f>C13*($C5^2/(($C5^2)-(C14^2)))</f>
        <v>0.69749035402870985</v>
      </c>
      <c r="H13" s="1">
        <f>D13*($C5^2/(($C5^2)-(D14^2)))</f>
        <v>0.41019118173556451</v>
      </c>
      <c r="I13" s="1">
        <f>E13*($C5^2/(($C5^2)-(E14^2)))</f>
        <v>-2.3171863087131258E-2</v>
      </c>
      <c r="K13" s="4" t="s">
        <v>20</v>
      </c>
      <c r="L13" s="8">
        <f>1+SUM(G13:I13)</f>
        <v>2.084509672677143</v>
      </c>
      <c r="M13" s="4"/>
      <c r="N13" s="4" t="s">
        <v>21</v>
      </c>
      <c r="O13" s="8">
        <f>SQRT(L13)</f>
        <v>1.4437831113699673</v>
      </c>
      <c r="P13" s="4"/>
    </row>
    <row r="14" spans="1:16" ht="15.75" x14ac:dyDescent="0.25">
      <c r="B14" s="1" t="s">
        <v>22</v>
      </c>
      <c r="C14" s="12">
        <v>6.8404300000000001E-2</v>
      </c>
      <c r="D14" s="12">
        <v>0.11624139999999999</v>
      </c>
      <c r="E14" s="12">
        <v>9.8961609999999993</v>
      </c>
      <c r="K14" s="4"/>
      <c r="L14" s="4"/>
      <c r="M14" s="4"/>
      <c r="N14" s="4"/>
      <c r="O14" s="4"/>
      <c r="P14" s="4"/>
    </row>
    <row r="15" spans="1:16" ht="15.75" x14ac:dyDescent="0.25">
      <c r="A15" s="10" t="s">
        <v>23</v>
      </c>
      <c r="B15" s="1" t="s">
        <v>19</v>
      </c>
      <c r="C15" s="11">
        <v>0.70285540000000002</v>
      </c>
      <c r="D15" s="11">
        <v>0.41463070000000002</v>
      </c>
      <c r="E15" s="11">
        <v>0.89745399999999997</v>
      </c>
      <c r="G15" s="1">
        <f>C15*($C5^2/(($C5^2)-(C16^2)))</f>
        <v>0.7043687276377687</v>
      </c>
      <c r="H15" s="1">
        <f>D15*($C5^2/(($C5^2)-(D16^2)))</f>
        <v>0.41684037051190304</v>
      </c>
      <c r="I15" s="1">
        <f>E15*($C5^2/(($C5^2)-(E16^2)))</f>
        <v>-2.3171207288989911E-2</v>
      </c>
      <c r="K15" s="4" t="s">
        <v>24</v>
      </c>
      <c r="L15" s="8">
        <f>1+SUM(G15:I15)</f>
        <v>2.0980378908606818</v>
      </c>
      <c r="M15" s="4"/>
      <c r="N15" s="4" t="s">
        <v>25</v>
      </c>
      <c r="O15" s="8">
        <f>SQRT(L15)</f>
        <v>1.4484605244398903</v>
      </c>
      <c r="P15" s="4"/>
    </row>
    <row r="16" spans="1:16" ht="15.75" x14ac:dyDescent="0.25">
      <c r="B16" s="1" t="s">
        <v>22</v>
      </c>
      <c r="C16" s="12">
        <v>7.2772299999999998E-2</v>
      </c>
      <c r="D16" s="12">
        <v>0.11430849999999999</v>
      </c>
      <c r="E16" s="12">
        <v>9.8961609999999993</v>
      </c>
      <c r="K16" s="4"/>
      <c r="L16" s="4"/>
      <c r="M16" s="4"/>
      <c r="N16" s="4"/>
      <c r="O16" s="4"/>
      <c r="P16" s="4"/>
    </row>
    <row r="17" spans="1:1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9" x14ac:dyDescent="0.25">
      <c r="B18" s="4" t="s">
        <v>26</v>
      </c>
      <c r="C18" s="8">
        <f>((2*PI()*D7)/C5)*SQRT(L15-L13)</f>
        <v>1.9317397305514261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9" ht="34.5" x14ac:dyDescent="0.25">
      <c r="A20" s="13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9" ht="15.75" x14ac:dyDescent="0.25">
      <c r="A22" s="14" t="s">
        <v>28</v>
      </c>
      <c r="B22" s="4"/>
      <c r="C22" s="4">
        <f>L15-L13</f>
        <v>1.3528218183538776E-2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9" x14ac:dyDescent="0.25">
      <c r="B23" s="4"/>
      <c r="C23" s="4" t="s">
        <v>29</v>
      </c>
      <c r="D23" s="4" t="s">
        <v>30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9" ht="15.75" x14ac:dyDescent="0.25">
      <c r="B24" s="15" t="s">
        <v>31</v>
      </c>
      <c r="C24" s="8">
        <f>C22/2*L15</f>
        <v>1.4191357172447409E-2</v>
      </c>
      <c r="D24" s="4">
        <f>0.01419136</f>
        <v>1.419136E-2</v>
      </c>
      <c r="E24" s="4"/>
      <c r="F24" s="4" t="s">
        <v>32</v>
      </c>
      <c r="G24" s="8">
        <f>SQRT(L15-L13)</f>
        <v>0.11631086872489078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9" ht="15.75" x14ac:dyDescent="0.25">
      <c r="A26" s="14" t="s">
        <v>33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9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9" x14ac:dyDescent="0.25">
      <c r="B28" s="4" t="s">
        <v>34</v>
      </c>
      <c r="C28" s="4">
        <f>8.69*(PI()*L15*10^9)/C5*(2.4*10^-12)</f>
        <v>8.7557744548609498E-2</v>
      </c>
      <c r="D28" s="4"/>
      <c r="E28" s="4" t="s">
        <v>35</v>
      </c>
      <c r="F28" s="4">
        <f>4.34*8*POWER(PI(),3)*(L15-1)*Q28*Q29*Q30*S28</f>
        <v>0.42043281229077473</v>
      </c>
      <c r="G28" s="4"/>
      <c r="H28" s="4" t="s">
        <v>36</v>
      </c>
      <c r="I28" s="4">
        <f>I30/I31/S29</f>
        <v>4.1546572114527528E-6</v>
      </c>
      <c r="J28" s="4"/>
      <c r="K28" s="4" t="s">
        <v>37</v>
      </c>
      <c r="L28" s="4">
        <f>2*POWER(10,-4)*((POWER(10,-15)*POWER(D7,4))/(POWER(125,6)*POWER(C24,3)))*(POWER(F30,6)/POWER(C5,4))*10^16</f>
        <v>1.6735077454460612E-5</v>
      </c>
      <c r="M28" s="4"/>
      <c r="N28" s="4"/>
      <c r="O28" s="4"/>
      <c r="P28" s="4" t="s">
        <v>38</v>
      </c>
      <c r="Q28" s="4">
        <f>1.38*POWER(10,-23)</f>
        <v>1.3800000000000001E-23</v>
      </c>
      <c r="R28" s="16"/>
      <c r="S28" s="1">
        <f>10.2934587835^26</f>
        <v>2.121263293445888E+26</v>
      </c>
    </row>
    <row r="29" spans="1:19" x14ac:dyDescent="0.25">
      <c r="B29" s="4"/>
      <c r="C29" s="4"/>
      <c r="D29" s="4"/>
      <c r="E29" s="4"/>
      <c r="F29" s="4"/>
      <c r="G29" s="4"/>
      <c r="H29" s="4"/>
      <c r="I29" s="4">
        <f>POWER(80/(3.14159*160),2)+1</f>
        <v>1.02533033870181</v>
      </c>
      <c r="J29" s="4"/>
      <c r="K29" s="4"/>
      <c r="L29" s="4"/>
      <c r="M29" s="4"/>
      <c r="N29" s="4"/>
      <c r="O29" s="4"/>
      <c r="P29" s="4" t="s">
        <v>39</v>
      </c>
      <c r="Q29" s="17">
        <v>1500</v>
      </c>
      <c r="S29" s="18">
        <f>1.619927974241^5</f>
        <v>11.155229925545147</v>
      </c>
    </row>
    <row r="30" spans="1:19" x14ac:dyDescent="0.25">
      <c r="B30" s="4" t="s">
        <v>26</v>
      </c>
      <c r="C30" s="8">
        <f>(12.97*D7*SQRT(C24))/C5</f>
        <v>4.0841377889526029</v>
      </c>
      <c r="D30" s="4"/>
      <c r="E30" s="4" t="s">
        <v>40</v>
      </c>
      <c r="F30" s="8">
        <f>D7*(0.65+(1.61*C30^-1.5)+2.879*C30^-6)</f>
        <v>3.5095866600076602</v>
      </c>
      <c r="G30" s="4"/>
      <c r="H30" s="4"/>
      <c r="I30" s="4">
        <f>26/1000*8.3*0.5/1000</f>
        <v>1.0790000000000001E-4</v>
      </c>
      <c r="J30" s="4"/>
      <c r="K30" s="4"/>
      <c r="L30" s="4"/>
      <c r="M30" s="4"/>
      <c r="N30" s="4"/>
      <c r="O30" s="4"/>
      <c r="P30" s="4"/>
      <c r="Q30" s="4">
        <f>8.1*POWER(10,-11)</f>
        <v>8.0999999999999992E-11</v>
      </c>
    </row>
    <row r="31" spans="1:19" x14ac:dyDescent="0.25">
      <c r="B31" s="4"/>
      <c r="C31" s="4"/>
      <c r="D31" s="4"/>
      <c r="E31" s="4"/>
      <c r="F31" s="4"/>
      <c r="G31" s="4"/>
      <c r="H31" s="4"/>
      <c r="I31" s="4">
        <f>C24*160*I29</f>
        <v>2.3281326490022178</v>
      </c>
      <c r="J31" s="4"/>
      <c r="K31" s="4"/>
      <c r="L31" s="4"/>
      <c r="M31" s="4"/>
      <c r="N31" s="4"/>
      <c r="O31" s="4"/>
      <c r="P31" s="4"/>
      <c r="Q31" s="4"/>
    </row>
    <row r="32" spans="1:19" x14ac:dyDescent="0.25">
      <c r="B32" s="4" t="s">
        <v>41</v>
      </c>
      <c r="C32" s="8">
        <f>C28+F28+I28+L28</f>
        <v>0.50801144657405017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9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9" ht="45.75" x14ac:dyDescent="0.25">
      <c r="A34" s="14" t="s">
        <v>42</v>
      </c>
      <c r="B34" s="19" t="s">
        <v>43</v>
      </c>
      <c r="C34" s="4">
        <v>1</v>
      </c>
      <c r="D34" s="4">
        <v>2</v>
      </c>
      <c r="E34" s="4">
        <v>3</v>
      </c>
      <c r="F34" s="4"/>
      <c r="G34" s="4"/>
      <c r="H34" s="17" t="s">
        <v>44</v>
      </c>
      <c r="I34" s="17"/>
      <c r="J34" s="4" t="s">
        <v>45</v>
      </c>
      <c r="K34" s="17">
        <v>300000</v>
      </c>
      <c r="L34" s="17"/>
      <c r="M34" s="20" t="s">
        <v>46</v>
      </c>
      <c r="N34" s="17">
        <v>0.11</v>
      </c>
      <c r="O34" s="17"/>
      <c r="P34" s="17"/>
      <c r="Q34" s="17"/>
    </row>
    <row r="35" spans="1:19" ht="15.75" x14ac:dyDescent="0.25">
      <c r="A35" s="21"/>
      <c r="B35" s="17"/>
      <c r="C35" s="17">
        <f>(C15*C16^2)/((C5^2-C16^2)^2)</f>
        <v>6.1527283230116911E-4</v>
      </c>
      <c r="D35" s="17">
        <f>(D15*D16^2)/((C5^2-D16^2)^2)</f>
        <v>9.0123185431461987E-4</v>
      </c>
      <c r="E35" s="17">
        <f>(E15*E16^2)/((C5^2-E16^2)^2)</f>
        <v>9.6431744178522173E-3</v>
      </c>
      <c r="F35" s="17"/>
      <c r="G35" s="17"/>
      <c r="H35" s="17">
        <f>-(C5/O15)*SUM(C35:E35)</f>
        <v>-1.2096081252052002E-2</v>
      </c>
      <c r="I35" s="17"/>
      <c r="J35" s="17"/>
      <c r="K35" s="17"/>
      <c r="L35" s="17"/>
      <c r="M35" s="17"/>
      <c r="N35" s="17"/>
      <c r="O35" s="17"/>
      <c r="P35" s="17"/>
      <c r="Q35" s="17"/>
    </row>
    <row r="36" spans="1:19" ht="15.75" x14ac:dyDescent="0.25">
      <c r="A36" s="22" t="s">
        <v>47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9" ht="15.75" x14ac:dyDescent="0.25">
      <c r="B37" s="17" t="s">
        <v>48</v>
      </c>
      <c r="C37" s="1">
        <v>1</v>
      </c>
      <c r="D37" s="1">
        <v>2</v>
      </c>
      <c r="E37" s="1">
        <v>3</v>
      </c>
      <c r="F37" s="17"/>
      <c r="G37" s="17"/>
      <c r="H37" s="17" t="s">
        <v>49</v>
      </c>
      <c r="I37" s="17" t="s">
        <v>50</v>
      </c>
      <c r="J37" s="17"/>
      <c r="K37" s="4" t="s">
        <v>51</v>
      </c>
      <c r="L37" s="4" t="s">
        <v>52</v>
      </c>
      <c r="M37" s="17"/>
      <c r="N37" s="4" t="s">
        <v>53</v>
      </c>
      <c r="O37" s="17"/>
      <c r="P37" s="20" t="s">
        <v>54</v>
      </c>
      <c r="Q37" s="17"/>
    </row>
    <row r="38" spans="1:19" x14ac:dyDescent="0.25">
      <c r="B38" s="17"/>
      <c r="C38" s="17">
        <f>((C15*C16^2*(3*C5^2+C16^2))/((C5^2-C16^2)^3))-H35^2</f>
        <v>1.7048023248693825E-3</v>
      </c>
      <c r="D38" s="17">
        <f>((D15*D16^2*(3*C5^2+D16^2))/((C5^2-D16^2)^3))-H35^2</f>
        <v>2.5765919394560451E-3</v>
      </c>
      <c r="E38" s="17">
        <f>((E15*E16^2*(3*C5^2+E16^2))/((C5^2-E16^2)^3))-H35^2</f>
        <v>-1.0785391309723976E-2</v>
      </c>
      <c r="F38" s="17"/>
      <c r="G38" s="17"/>
      <c r="H38" s="17">
        <f>(C5/K34)*((SUM(C38:E38))/O15)*10^9</f>
        <v>-23.499145446678867</v>
      </c>
      <c r="I38" s="17">
        <f>((2*O15^2*D24)/(C5*K34))*10^9</f>
        <v>126.42892145581591</v>
      </c>
      <c r="J38" s="17"/>
      <c r="K38" s="17">
        <v>-2.3052100000000002</v>
      </c>
      <c r="L38" s="17">
        <v>3.2011440000000002</v>
      </c>
      <c r="M38" s="17"/>
      <c r="N38" s="17">
        <f>ABS(K38+L38)</f>
        <v>0.89593400000000001</v>
      </c>
      <c r="O38" s="17"/>
      <c r="P38" s="17">
        <f>(0.44/N38)*10^12</f>
        <v>491107603908.32361</v>
      </c>
      <c r="Q38" s="17"/>
      <c r="S38" s="1">
        <f>0.2797</f>
        <v>0.2797</v>
      </c>
    </row>
    <row r="39" spans="1:19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1" spans="1:19" x14ac:dyDescent="0.25">
      <c r="A41" s="23" t="s">
        <v>55</v>
      </c>
    </row>
    <row r="42" spans="1:19" ht="15.75" x14ac:dyDescent="0.25">
      <c r="A42" s="23" t="s">
        <v>56</v>
      </c>
      <c r="E42" s="24"/>
      <c r="F42" s="24"/>
    </row>
    <row r="43" spans="1:19" x14ac:dyDescent="0.25">
      <c r="A43" s="23" t="s">
        <v>57</v>
      </c>
    </row>
    <row r="46" spans="1:19" x14ac:dyDescent="0.25">
      <c r="B46" s="1" t="s">
        <v>58</v>
      </c>
      <c r="C46" s="1" t="s">
        <v>60</v>
      </c>
      <c r="D46" s="1" t="s">
        <v>61</v>
      </c>
      <c r="E46" s="1" t="s">
        <v>62</v>
      </c>
    </row>
    <row r="47" spans="1:19" x14ac:dyDescent="0.25">
      <c r="B47" s="16">
        <v>0.02</v>
      </c>
      <c r="C47" s="1">
        <v>0.5</v>
      </c>
      <c r="D47" s="1">
        <v>98.762500000000003</v>
      </c>
      <c r="E47" s="1">
        <v>360.10140000000001</v>
      </c>
    </row>
    <row r="48" spans="1:19" x14ac:dyDescent="0.25">
      <c r="B48" s="1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Лист1!_Toc518981405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322-06</dc:creator>
  <dc:description/>
  <cp:lastModifiedBy>322-08</cp:lastModifiedBy>
  <cp:revision>6</cp:revision>
  <dcterms:created xsi:type="dcterms:W3CDTF">2023-02-15T07:43:41Z</dcterms:created>
  <dcterms:modified xsi:type="dcterms:W3CDTF">2023-03-22T10:43:46Z</dcterms:modified>
  <dc:language>ru-RU</dc:language>
</cp:coreProperties>
</file>