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ixaw\Рабочий стол\"/>
    </mc:Choice>
  </mc:AlternateContent>
  <xr:revisionPtr revIDLastSave="0" documentId="13_ncr:1_{4EB3D6A6-7BC6-4E5B-A754-77DF75CB8088}" xr6:coauthVersionLast="47" xr6:coauthVersionMax="47" xr10:uidLastSave="{00000000-0000-0000-0000-000000000000}"/>
  <bookViews>
    <workbookView xWindow="0" yWindow="0" windowWidth="14400" windowHeight="15600" activeTab="4" xr2:uid="{00000000-000D-0000-FFFF-FFFF00000000}"/>
  </bookViews>
  <sheets>
    <sheet name="практ 1" sheetId="1" r:id="rId1"/>
    <sheet name="прак 2" sheetId="2" r:id="rId2"/>
    <sheet name="прак 3" sheetId="3" r:id="rId3"/>
    <sheet name="прак 4" sheetId="4" r:id="rId4"/>
    <sheet name="прак 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3" l="1"/>
  <c r="B8" i="3"/>
  <c r="B12" i="3" s="1"/>
  <c r="H16" i="2"/>
  <c r="J8" i="2"/>
  <c r="J9" i="2"/>
  <c r="J10" i="2"/>
  <c r="E22" i="2"/>
  <c r="K5" i="1"/>
  <c r="K4" i="1"/>
  <c r="K6" i="1" s="1"/>
  <c r="K9" i="1" s="1"/>
  <c r="B20" i="5"/>
  <c r="O16" i="5" s="1"/>
  <c r="B16" i="5"/>
  <c r="M15" i="5" s="1"/>
  <c r="M11" i="5"/>
  <c r="B12" i="5" s="1"/>
  <c r="M10" i="5"/>
  <c r="B11" i="5" s="1"/>
  <c r="S18" i="4"/>
  <c r="R18" i="4"/>
  <c r="Q18" i="4"/>
  <c r="B21" i="4"/>
  <c r="B14" i="4"/>
  <c r="V24" i="4" s="1"/>
  <c r="O9" i="4"/>
  <c r="B10" i="4" s="1"/>
  <c r="O8" i="4"/>
  <c r="B9" i="4" s="1"/>
  <c r="B9" i="3"/>
  <c r="B13" i="3" s="1"/>
  <c r="P16" i="5" l="1"/>
  <c r="Q16" i="5"/>
  <c r="S16" i="5"/>
  <c r="R14" i="5"/>
  <c r="Q14" i="5"/>
  <c r="P14" i="5"/>
  <c r="O14" i="5"/>
  <c r="N14" i="5"/>
  <c r="M14" i="5"/>
  <c r="L14" i="5"/>
  <c r="K14" i="5"/>
  <c r="J14" i="5"/>
  <c r="I14" i="5"/>
  <c r="S14" i="5"/>
  <c r="T14" i="5"/>
  <c r="R16" i="5"/>
  <c r="T16" i="5"/>
  <c r="I16" i="5"/>
  <c r="J16" i="5"/>
  <c r="K16" i="5"/>
  <c r="L16" i="5"/>
  <c r="M16" i="5"/>
  <c r="N16" i="5"/>
  <c r="I13" i="5"/>
  <c r="R13" i="5"/>
  <c r="L13" i="5"/>
  <c r="Q13" i="5"/>
  <c r="T13" i="5"/>
  <c r="P13" i="5"/>
  <c r="O13" i="5"/>
  <c r="N13" i="5"/>
  <c r="K13" i="5"/>
  <c r="J13" i="5"/>
  <c r="M13" i="5"/>
  <c r="S13" i="5"/>
  <c r="I15" i="5"/>
  <c r="J15" i="5"/>
  <c r="K15" i="5"/>
  <c r="L15" i="5"/>
  <c r="N15" i="5"/>
  <c r="S15" i="5"/>
  <c r="O15" i="5"/>
  <c r="R15" i="5"/>
  <c r="P15" i="5"/>
  <c r="Q15" i="5"/>
  <c r="T15" i="5"/>
  <c r="L20" i="5"/>
  <c r="R25" i="4"/>
  <c r="S14" i="4"/>
  <c r="Q25" i="4"/>
  <c r="R14" i="4"/>
  <c r="P25" i="4"/>
  <c r="Q14" i="4"/>
  <c r="X25" i="4"/>
  <c r="U25" i="4"/>
  <c r="O25" i="4"/>
  <c r="P14" i="4"/>
  <c r="N25" i="4"/>
  <c r="O14" i="4"/>
  <c r="X14" i="4"/>
  <c r="V14" i="4"/>
  <c r="M25" i="4"/>
  <c r="N14" i="4"/>
  <c r="M14" i="4"/>
  <c r="W14" i="4"/>
  <c r="U14" i="4"/>
  <c r="W25" i="4"/>
  <c r="T14" i="4"/>
  <c r="V25" i="4"/>
  <c r="T25" i="4"/>
  <c r="S25" i="4"/>
  <c r="Q24" i="4"/>
  <c r="S24" i="4"/>
  <c r="W24" i="4"/>
  <c r="U24" i="4"/>
  <c r="R24" i="4"/>
  <c r="M18" i="4"/>
  <c r="X24" i="4"/>
  <c r="V13" i="4"/>
  <c r="U13" i="4"/>
  <c r="T13" i="4"/>
  <c r="S13" i="4"/>
  <c r="P13" i="4"/>
  <c r="O13" i="4"/>
  <c r="Q13" i="4"/>
  <c r="W13" i="4"/>
  <c r="N13" i="4"/>
  <c r="M13" i="4"/>
  <c r="R13" i="4"/>
  <c r="X13" i="4"/>
  <c r="P18" i="4"/>
  <c r="M24" i="4"/>
  <c r="N24" i="4"/>
  <c r="O24" i="4"/>
  <c r="P24" i="4"/>
  <c r="T24" i="4"/>
  <c r="B16" i="3"/>
  <c r="H19" i="3" s="1"/>
  <c r="E19" i="3"/>
  <c r="B15" i="3"/>
  <c r="H18" i="3" s="1"/>
  <c r="K18" i="3"/>
  <c r="E18" i="3"/>
  <c r="J11" i="2"/>
  <c r="E25" i="2"/>
  <c r="E16" i="2"/>
  <c r="E29" i="2"/>
  <c r="E26" i="2"/>
  <c r="E30" i="2"/>
  <c r="E23" i="2"/>
  <c r="E24" i="2"/>
  <c r="E27" i="2"/>
  <c r="E28" i="2"/>
  <c r="E31" i="2"/>
  <c r="E18" i="2"/>
  <c r="E19" i="2"/>
  <c r="E20" i="2"/>
  <c r="E17" i="2"/>
  <c r="E21" i="2"/>
  <c r="K8" i="1"/>
  <c r="B21" i="5" l="1"/>
  <c r="B14" i="5"/>
  <c r="E17" i="5" s="1" a="1"/>
  <c r="E17" i="5" s="1"/>
  <c r="I18" i="5"/>
  <c r="I20" i="5" s="1"/>
  <c r="H20" i="5"/>
  <c r="B17" i="5"/>
  <c r="B13" i="5"/>
  <c r="E11" i="5" s="1" a="1"/>
  <c r="E11" i="5" s="1"/>
  <c r="E10" i="4"/>
  <c r="E18" i="4" s="1"/>
  <c r="E21" i="4"/>
  <c r="J18" i="4"/>
  <c r="I18" i="4"/>
  <c r="E9" i="4"/>
  <c r="E11" i="4" s="1"/>
  <c r="E14" i="4"/>
  <c r="N19" i="3"/>
  <c r="E15" i="3"/>
  <c r="N18" i="3"/>
  <c r="P20" i="5" l="1"/>
  <c r="K20" i="5"/>
  <c r="E20" i="5" a="1"/>
  <c r="E20" i="5" s="1"/>
  <c r="N20" i="5"/>
  <c r="M20" i="5"/>
  <c r="J20" i="5"/>
  <c r="O20" i="5"/>
  <c r="E16" i="5" a="1"/>
  <c r="E16" i="5" s="1"/>
  <c r="E22" i="4" a="1"/>
  <c r="E22" i="4" s="1"/>
  <c r="L18" i="4"/>
  <c r="E15" i="4"/>
  <c r="O18" i="4"/>
  <c r="K18" i="4"/>
  <c r="N18" i="4"/>
  <c r="N21" i="3"/>
  <c r="Q20" i="5" l="1"/>
  <c r="R20" i="5" s="1"/>
  <c r="S2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<sst xmlns="http://schemas.openxmlformats.org/spreadsheetml/2006/main" count="235" uniqueCount="134">
  <si>
    <t>(xi-X)^2</t>
  </si>
  <si>
    <t>X=</t>
  </si>
  <si>
    <t>U=</t>
  </si>
  <si>
    <t>I=</t>
  </si>
  <si>
    <t>Su=</t>
  </si>
  <si>
    <t>Si=</t>
  </si>
  <si>
    <t>Bu=</t>
  </si>
  <si>
    <t>Bi=</t>
  </si>
  <si>
    <t>Du=</t>
  </si>
  <si>
    <t>показание прибора</t>
  </si>
  <si>
    <t>пределы измерений</t>
  </si>
  <si>
    <t>класс точности</t>
  </si>
  <si>
    <t>погрешность градуировки</t>
  </si>
  <si>
    <t>Решение:</t>
  </si>
  <si>
    <t>delta =</t>
  </si>
  <si>
    <t>x1=</t>
  </si>
  <si>
    <t>x2</t>
  </si>
  <si>
    <t>x2=</t>
  </si>
  <si>
    <t>X1 =</t>
  </si>
  <si>
    <t>X2 =</t>
  </si>
  <si>
    <t>Ответ:</t>
  </si>
  <si>
    <t>X1 &lt;= X &lt;= 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</si>
  <si>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</si>
  <si>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</si>
  <si>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</si>
  <si>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</si>
  <si>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</si>
  <si>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</si>
  <si>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</si>
  <si>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</si>
  <si>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</si>
  <si>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</si>
  <si>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</si>
  <si>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</si>
  <si>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</si>
  <si>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</si>
  <si>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</si>
  <si>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Sx=</t>
  </si>
  <si>
    <t>Сумма</t>
  </si>
  <si>
    <t>Кд=</t>
  </si>
  <si>
    <t>Delta=</t>
  </si>
  <si>
    <t>по возрастанию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</si>
  <si>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</si>
  <si>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</si>
  <si>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</si>
  <si>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</si>
  <si>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</si>
  <si>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</si>
  <si>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</si>
  <si>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</si>
  <si>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</si>
  <si>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</si>
  <si>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</si>
  <si>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</si>
  <si>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</si>
  <si>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</si>
  <si>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</si>
  <si>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</si>
  <si>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</si>
  <si>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</si>
  <si>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</si>
  <si>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</si>
  <si>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</si>
  <si>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</si>
  <si>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</si>
  <si>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</si>
  <si>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Сумма U</t>
  </si>
  <si>
    <t>Сумма I</t>
  </si>
  <si>
    <t>Bu &lt; BqU, следовательно повторно решать не нужно</t>
  </si>
  <si>
    <t>Bi &lt; BqI, следовательно повторно решать не нужно</t>
  </si>
  <si>
    <t>Di=</t>
  </si>
  <si>
    <t>deltaU =</t>
  </si>
  <si>
    <t>deltaI =</t>
  </si>
  <si>
    <t>R =</t>
  </si>
  <si>
    <t>Eu =</t>
  </si>
  <si>
    <t>Ei =</t>
  </si>
  <si>
    <t>E =</t>
  </si>
  <si>
    <t>nu = 12, n1 = 12</t>
  </si>
  <si>
    <t>P= 0,95</t>
  </si>
  <si>
    <t>j1</t>
  </si>
  <si>
    <t>j2</t>
  </si>
  <si>
    <t>сумма</t>
  </si>
  <si>
    <t>s1=</t>
  </si>
  <si>
    <t>s2=</t>
  </si>
  <si>
    <t>x1^2</t>
  </si>
  <si>
    <t>x2^2</t>
  </si>
  <si>
    <t>B1=</t>
  </si>
  <si>
    <t>B1&gt;Bq, делаем дальше</t>
  </si>
  <si>
    <t>1)</t>
  </si>
  <si>
    <t>2)</t>
  </si>
  <si>
    <t>3)</t>
  </si>
  <si>
    <t>B1&lt;Bq</t>
  </si>
  <si>
    <t>B2=</t>
  </si>
  <si>
    <t>B2&gt;Bq</t>
  </si>
  <si>
    <t>4)</t>
  </si>
  <si>
    <t>b2=</t>
  </si>
  <si>
    <t>b2&lt;bq</t>
  </si>
  <si>
    <t>5)</t>
  </si>
  <si>
    <t>d1</t>
  </si>
  <si>
    <t>d2</t>
  </si>
  <si>
    <t>E1</t>
  </si>
  <si>
    <t>E2</t>
  </si>
  <si>
    <t>G</t>
  </si>
  <si>
    <t>Sg</t>
  </si>
  <si>
    <t>F</t>
  </si>
  <si>
    <t>x</t>
  </si>
  <si>
    <t>S</t>
  </si>
  <si>
    <t>m</t>
  </si>
  <si>
    <t>deltaP</t>
  </si>
  <si>
    <t>xi-x1</t>
  </si>
  <si>
    <t>xi-x2</t>
  </si>
  <si>
    <t>t</t>
  </si>
  <si>
    <t>Ответ</t>
  </si>
  <si>
    <t>j1 sym</t>
  </si>
  <si>
    <t>j2 sym</t>
  </si>
  <si>
    <t>b1=</t>
  </si>
  <si>
    <t>b1&gt;bq</t>
  </si>
  <si>
    <t>b2&gt;bq</t>
  </si>
  <si>
    <t>e1</t>
  </si>
  <si>
    <t>e2</t>
  </si>
  <si>
    <t>g</t>
  </si>
  <si>
    <t>f</t>
  </si>
  <si>
    <t>p1</t>
  </si>
  <si>
    <t>p2</t>
  </si>
  <si>
    <t>Xp</t>
  </si>
  <si>
    <t>Sxp</t>
  </si>
  <si>
    <t>33,4 &lt;= X &lt;= 37,4</t>
  </si>
  <si>
    <t>Вариант 9</t>
  </si>
  <si>
    <t>5,60625+-0,02435</t>
  </si>
  <si>
    <t>R +- E = 931,6885 +- 30,38424 Ом</t>
  </si>
  <si>
    <t>x+-DeltaP = 223,5455+-0,735</t>
  </si>
  <si>
    <t>Серия j = 1</t>
  </si>
  <si>
    <t>Серия j = 2</t>
  </si>
  <si>
    <t>x = Xp +-Sxp = 223,97 +- 0,159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</si>
</sst>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 tint="0.14999847407452621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charset val="204"/>
      <scheme val="minor"/>
    </font>
    <font>
      <b/>
      <sz val="11"/>
      <color theme="7" tint="-0.499984740745262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5" fillId="4" borderId="1" applyNumberFormat="0" applyAlignment="0" applyProtection="0"/>
    <xf numFmtId="0" fontId="6" fillId="5" borderId="4" applyNumberFormat="0" applyFont="0" applyAlignment="0" applyProtection="0"/>
    <xf numFmtId="0" fontId="7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</cellStyleXfs>
  <cellXfs count="70">
    <xf numFmtId="0" fontId="0" fillId="0" borderId="0" xfId="0"/>
    <xf numFmtId="0" fontId="4" fillId="4" borderId="2" xfId="3"/>
    <xf numFmtId="0" fontId="5" fillId="4" borderId="1" xfId="4"/>
    <xf numFmtId="0" fontId="8" fillId="4" borderId="1" xfId="4" applyFont="1"/>
    <xf numFmtId="0" fontId="3" fillId="3" borderId="3" xfId="2" applyBorder="1"/>
    <xf numFmtId="0" fontId="7" fillId="10" borderId="3" xfId="10" applyBorder="1"/>
    <xf numFmtId="0" fontId="0" fillId="0" borderId="3" xfId="0" applyBorder="1" applyAlignment="1">
      <alignment horizontal="center"/>
    </xf>
    <xf numFmtId="0" fontId="3" fillId="12" borderId="0" xfId="2" applyFill="1"/>
    <xf numFmtId="0" fontId="13" fillId="4" borderId="1" xfId="4" applyFont="1"/>
    <xf numFmtId="0" fontId="13" fillId="4" borderId="5" xfId="4" applyFont="1" applyBorder="1"/>
    <xf numFmtId="0" fontId="13" fillId="4" borderId="3" xfId="4" applyFont="1" applyBorder="1"/>
    <xf numFmtId="0" fontId="13" fillId="4" borderId="2" xfId="3" applyFont="1"/>
    <xf numFmtId="0" fontId="7" fillId="11" borderId="0" xfId="6" applyFill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3" xfId="0" applyBorder="1"/>
    <xf numFmtId="0" fontId="16" fillId="0" borderId="3" xfId="0" applyFont="1" applyBorder="1"/>
    <xf numFmtId="0" fontId="16" fillId="0" borderId="3" xfId="0" applyFont="1" applyBorder="1" applyAlignment="1">
      <alignment horizontal="center"/>
    </xf>
    <xf numFmtId="0" fontId="2" fillId="13" borderId="3" xfId="1" applyFill="1" applyBorder="1"/>
    <xf numFmtId="0" fontId="4" fillId="12" borderId="2" xfId="3" applyFill="1"/>
    <xf numFmtId="0" fontId="10" fillId="12" borderId="7" xfId="2" applyFont="1" applyFill="1" applyBorder="1"/>
    <xf numFmtId="0" fontId="10" fillId="12" borderId="8" xfId="2" applyFont="1" applyFill="1" applyBorder="1"/>
    <xf numFmtId="0" fontId="10" fillId="12" borderId="9" xfId="2" applyFont="1" applyFill="1" applyBorder="1"/>
    <xf numFmtId="0" fontId="10" fillId="12" borderId="10" xfId="2" applyFont="1" applyFill="1" applyBorder="1"/>
    <xf numFmtId="0" fontId="10" fillId="12" borderId="11" xfId="2" applyFont="1" applyFill="1" applyBorder="1"/>
    <xf numFmtId="0" fontId="10" fillId="12" borderId="12" xfId="2" applyFont="1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2" borderId="13" xfId="0" applyFill="1" applyBorder="1"/>
    <xf numFmtId="0" fontId="0" fillId="12" borderId="0" xfId="0" applyFill="1" applyBorder="1"/>
    <xf numFmtId="0" fontId="0" fillId="12" borderId="14" xfId="0" applyFill="1" applyBorder="1"/>
    <xf numFmtId="0" fontId="0" fillId="12" borderId="10" xfId="0" applyFill="1" applyBorder="1"/>
    <xf numFmtId="0" fontId="0" fillId="12" borderId="11" xfId="0" applyFill="1" applyBorder="1"/>
    <xf numFmtId="0" fontId="0" fillId="12" borderId="12" xfId="0" applyFill="1" applyBorder="1"/>
    <xf numFmtId="0" fontId="13" fillId="4" borderId="15" xfId="3" applyFont="1" applyBorder="1"/>
    <xf numFmtId="0" fontId="0" fillId="0" borderId="0" xfId="0" applyBorder="1"/>
    <xf numFmtId="0" fontId="8" fillId="4" borderId="5" xfId="4" applyFont="1" applyBorder="1"/>
    <xf numFmtId="0" fontId="0" fillId="13" borderId="3" xfId="0" applyFill="1" applyBorder="1"/>
    <xf numFmtId="0" fontId="13" fillId="13" borderId="3" xfId="5" applyFont="1" applyFill="1" applyBorder="1"/>
    <xf numFmtId="0" fontId="0" fillId="13" borderId="3" xfId="5" applyFont="1" applyFill="1" applyBorder="1"/>
    <xf numFmtId="0" fontId="13" fillId="13" borderId="3" xfId="4" applyFont="1" applyFill="1" applyBorder="1"/>
    <xf numFmtId="0" fontId="11" fillId="7" borderId="3" xfId="7" applyBorder="1"/>
    <xf numFmtId="0" fontId="14" fillId="12" borderId="3" xfId="2" applyFont="1" applyFill="1" applyBorder="1"/>
    <xf numFmtId="0" fontId="3" fillId="12" borderId="3" xfId="2" applyFill="1" applyBorder="1"/>
    <xf numFmtId="0" fontId="2" fillId="14" borderId="3" xfId="1" applyFill="1" applyBorder="1"/>
    <xf numFmtId="0" fontId="0" fillId="14" borderId="3" xfId="0" applyFill="1" applyBorder="1"/>
    <xf numFmtId="0" fontId="0" fillId="15" borderId="3" xfId="0" applyFill="1" applyBorder="1"/>
    <xf numFmtId="0" fontId="0" fillId="15" borderId="3" xfId="5" applyFont="1" applyFill="1" applyBorder="1"/>
    <xf numFmtId="0" fontId="13" fillId="12" borderId="1" xfId="4" applyFont="1" applyFill="1"/>
    <xf numFmtId="0" fontId="11" fillId="16" borderId="2" xfId="7" applyFill="1" applyBorder="1"/>
    <xf numFmtId="0" fontId="1" fillId="7" borderId="1" xfId="7" applyFont="1" applyBorder="1"/>
    <xf numFmtId="0" fontId="14" fillId="17" borderId="16" xfId="1" applyFont="1" applyFill="1" applyBorder="1" applyAlignment="1">
      <alignment horizontal="center"/>
    </xf>
    <xf numFmtId="0" fontId="14" fillId="17" borderId="17" xfId="1" applyFont="1" applyFill="1" applyBorder="1" applyAlignment="1">
      <alignment horizontal="center"/>
    </xf>
    <xf numFmtId="0" fontId="14" fillId="17" borderId="18" xfId="1" applyFont="1" applyFill="1" applyBorder="1" applyAlignment="1">
      <alignment horizontal="center"/>
    </xf>
    <xf numFmtId="0" fontId="14" fillId="17" borderId="3" xfId="1" applyFont="1" applyFill="1" applyBorder="1"/>
    <xf numFmtId="0" fontId="15" fillId="14" borderId="1" xfId="4" applyFont="1" applyFill="1"/>
    <xf numFmtId="0" fontId="3" fillId="3" borderId="19" xfId="2" applyBorder="1"/>
    <xf numFmtId="0" fontId="17" fillId="14" borderId="3" xfId="9" applyFont="1" applyFill="1" applyBorder="1"/>
    <xf numFmtId="0" fontId="13" fillId="8" borderId="6" xfId="8" applyFont="1"/>
    <xf numFmtId="0" fontId="13" fillId="8" borderId="20" xfId="8" applyFont="1" applyBorder="1"/>
    <xf numFmtId="0" fontId="2" fillId="14" borderId="19" xfId="1" applyFill="1" applyBorder="1"/>
    <xf numFmtId="0" fontId="13" fillId="8" borderId="3" xfId="8" applyFont="1" applyBorder="1"/>
    <xf numFmtId="0" fontId="0" fillId="12" borderId="3" xfId="0" applyFill="1" applyBorder="1"/>
    <xf numFmtId="0" fontId="2" fillId="12" borderId="3" xfId="1" applyFill="1" applyBorder="1"/>
    <xf numFmtId="0" fontId="16" fillId="12" borderId="3" xfId="0" applyFont="1" applyFill="1" applyBorder="1"/>
    <xf numFmtId="0" fontId="18" fillId="13" borderId="3" xfId="4" applyFont="1" applyFill="1" applyBorder="1"/>
    <xf numFmtId="0" fontId="18" fillId="13" borderId="1" xfId="4" applyFont="1" applyFill="1"/>
    <xf numFmtId="0" fontId="18" fillId="13" borderId="5" xfId="4" applyFont="1" applyFill="1" applyBorder="1"/>
  </cellXfs>
  <cellStyles count="11">
    <cellStyle name="Акцент2" xfId="6" builtinId="33"/>
    <cellStyle name="Акцент4" xfId="9" builtinId="41"/>
    <cellStyle name="Акцент6" xfId="10" builtinId="49"/>
    <cellStyle name="Вывод" xfId="3" builtinId="21"/>
    <cellStyle name="Вычисление" xfId="4" builtinId="22"/>
    <cellStyle name="Контрольная ячейка" xfId="8" builtinId="23"/>
    <cellStyle name="Нейтральный" xfId="2" builtinId="28"/>
    <cellStyle name="Обычный" xfId="0" builtinId="0"/>
    <cellStyle name="Плохой" xfId="7" builtinId="27"/>
    <cellStyle name="Примечание" xfId="5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53767</xdr:colOff>
      <xdr:row>13</xdr:row>
      <xdr:rowOff>160240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E597A67-5636-190E-7074-426F55245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196444" y="-1196444"/>
          <a:ext cx="2537680" cy="49305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367553</xdr:colOff>
      <xdr:row>11</xdr:row>
      <xdr:rowOff>38100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357A5D5-CB22-8A01-69BD-BFC2E6105B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267200" cy="20103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190500</xdr:colOff>
      <xdr:row>0</xdr:row>
      <xdr:rowOff>0</xdr:rowOff>
    </xdr:from>
    <xdr:to>
      <xdr:col>23</xdr:col>
      <xdr:colOff>219920</xdr:colOff>
      <xdr:row>6</xdr:row>
      <xdr:rowOff>85571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192EAA12-AF04-AAC9-8CB0-9C0F81E11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0"/>
          <a:ext cx="6685714" cy="12285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145676</xdr:colOff>
      <xdr:row>0</xdr:row>
      <xdr:rowOff>0</xdr:rowOff>
    </xdr:from>
    <xdr:to>
      <xdr:col>23</xdr:col>
      <xdr:colOff>184620</xdr:colOff>
      <xdr:row>6</xdr:row>
      <xdr:rowOff>9381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0C58700-4169-CC67-3BE9-01CC1FEC4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5882" y="0"/>
          <a:ext cx="6695238" cy="11523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114300</xdr:colOff>
      <xdr:row>0</xdr:row>
      <xdr:rowOff>76200</xdr:rowOff>
    </xdr:from>
    <xdr:to>
      <xdr:col>23</xdr:col>
      <xdr:colOff>161081</xdr:colOff>
      <xdr:row>6</xdr:row>
      <xdr:rowOff>95105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AF0613A-F6C9-1748-9F15-64FCB13EF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76200"/>
          <a:ext cx="6752381" cy="1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workbookViewId="0">
      <selection activeCell="J7" sqref="J7"/>
    </sheetView>
  </sheetViews>
  <sheetFormatPr defaultRowHeight="15" x14ac:dyDescent="0.25"/>
  <sheetData>
    <row r="1" spans="1:11" x14ac:dyDescent="0.25">
      <c r="J1" s="12" t="s">
        <v>127</v>
      </c>
      <c r="K1" s="12"/>
    </row>
    <row r="3" spans="1:11" x14ac:dyDescent="0.25">
      <c r="J3" t="s">
        <v>13</v>
      </c>
    </row>
    <row r="4" spans="1:11" x14ac:dyDescent="0.25">
      <c r="J4" t="s">
        <v>14</v>
      </c>
      <c r="K4">
        <f>(D17*D18)/100</f>
        <v>2</v>
      </c>
    </row>
    <row r="5" spans="1:11" x14ac:dyDescent="0.25">
      <c r="J5" t="s">
        <v>15</v>
      </c>
      <c r="K5" s="2">
        <f>D16-K4</f>
        <v>33</v>
      </c>
    </row>
    <row r="6" spans="1:11" x14ac:dyDescent="0.25">
      <c r="J6" t="s">
        <v>17</v>
      </c>
      <c r="K6" s="2">
        <f>D16+K4</f>
        <v>37</v>
      </c>
    </row>
    <row r="8" spans="1:11" x14ac:dyDescent="0.25">
      <c r="J8" t="s">
        <v>18</v>
      </c>
      <c r="K8" s="2">
        <f>K5+D19</f>
        <v>33.4</v>
      </c>
    </row>
    <row r="9" spans="1:11" x14ac:dyDescent="0.25">
      <c r="J9" t="s">
        <v>19</v>
      </c>
      <c r="K9" s="2">
        <f>K6+D19</f>
        <v>37.4</v>
      </c>
    </row>
    <row r="11" spans="1:11" x14ac:dyDescent="0.25">
      <c r="J11" t="s">
        <v>20</v>
      </c>
    </row>
    <row r="12" spans="1:11" x14ac:dyDescent="0.25">
      <c r="J12" s="14" t="s">
        <v>21</v>
      </c>
      <c r="K12" s="14"/>
    </row>
    <row r="13" spans="1:11" x14ac:dyDescent="0.25">
      <c r="J13" s="14" t="s">
        <v>126</v>
      </c>
      <c r="K13" s="14"/>
    </row>
    <row r="16" spans="1:11" x14ac:dyDescent="0.25">
      <c r="A16" s="13" t="s">
        <v>9</v>
      </c>
      <c r="B16" s="13"/>
      <c r="C16" s="13"/>
      <c r="D16" s="7">
        <v>35</v>
      </c>
    </row>
    <row r="17" spans="1:4" x14ac:dyDescent="0.25">
      <c r="A17" s="13" t="s">
        <v>10</v>
      </c>
      <c r="B17" s="13"/>
      <c r="C17" s="13"/>
      <c r="D17" s="7">
        <v>50</v>
      </c>
    </row>
    <row r="18" spans="1:4" x14ac:dyDescent="0.25">
      <c r="A18" s="13" t="s">
        <v>11</v>
      </c>
      <c r="B18" s="13"/>
      <c r="C18" s="13"/>
      <c r="D18" s="7">
        <v>4</v>
      </c>
    </row>
    <row r="19" spans="1:4" x14ac:dyDescent="0.25">
      <c r="A19" s="13" t="s">
        <v>12</v>
      </c>
      <c r="B19" s="13"/>
      <c r="C19" s="13"/>
      <c r="D19" s="7">
        <v>0.4</v>
      </c>
    </row>
  </sheetData>
  <mergeCells count="7">
    <mergeCell ref="J1:K1"/>
    <mergeCell ref="A16:C16"/>
    <mergeCell ref="A17:C17"/>
    <mergeCell ref="A18:C18"/>
    <mergeCell ref="A19:C19"/>
    <mergeCell ref="J12:K12"/>
    <mergeCell ref="J13:K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9B37-11AF-4613-8C42-F40F77826407}">
  <dimension ref="B1:W31"/>
  <sheetViews>
    <sheetView zoomScale="85" zoomScaleNormal="85" workbookViewId="0">
      <selection activeCell="L9" sqref="L9"/>
    </sheetView>
  </sheetViews>
  <sheetFormatPr defaultRowHeight="15" x14ac:dyDescent="0.25"/>
  <cols>
    <col min="2" max="3" width="8.85546875" customWidth="1"/>
    <col min="5" max="5" width="12.42578125" bestFit="1" customWidth="1"/>
  </cols>
  <sheetData>
    <row r="1" spans="4:23" x14ac:dyDescent="0.25">
      <c r="H1" s="36" t="s">
        <v>22</v>
      </c>
      <c r="I1" s="36" t="s">
        <v>16</v>
      </c>
      <c r="J1" s="36" t="s">
        <v>23</v>
      </c>
      <c r="K1" s="36" t="s">
        <v>24</v>
      </c>
      <c r="L1" s="36" t="s">
        <v>25</v>
      </c>
      <c r="M1" s="36" t="s">
        <v>26</v>
      </c>
      <c r="N1" s="36" t="s">
        <v>27</v>
      </c>
      <c r="O1" s="36" t="s">
        <v>28</v>
      </c>
      <c r="P1" s="36" t="s">
        <v>29</v>
      </c>
      <c r="Q1" s="36" t="s">
        <v>30</v>
      </c>
      <c r="R1" s="36" t="s">
        <v>31</v>
      </c>
      <c r="S1" s="36" t="s">
        <v>32</v>
      </c>
      <c r="T1" s="36" t="s">
        <v>33</v>
      </c>
      <c r="U1" s="36" t="s">
        <v>34</v>
      </c>
      <c r="V1" s="36" t="s">
        <v>35</v>
      </c>
      <c r="W1" s="36" t="s">
        <v>36</v>
      </c>
    </row>
    <row r="2" spans="4:23" x14ac:dyDescent="0.25">
      <c r="H2" s="16">
        <v>5.6</v>
      </c>
      <c r="I2" s="16">
        <v>5.5</v>
      </c>
      <c r="J2" s="16">
        <v>5.8</v>
      </c>
      <c r="K2" s="16">
        <v>5.3</v>
      </c>
      <c r="L2" s="16">
        <v>5.5</v>
      </c>
      <c r="M2" s="16">
        <v>5.6</v>
      </c>
      <c r="N2" s="16">
        <v>5.4</v>
      </c>
      <c r="O2" s="16">
        <v>5.9</v>
      </c>
      <c r="P2" s="16">
        <v>5.5</v>
      </c>
      <c r="Q2" s="16">
        <v>5.6</v>
      </c>
      <c r="R2" s="16">
        <v>5.7</v>
      </c>
      <c r="S2" s="16">
        <v>5.4</v>
      </c>
      <c r="T2" s="16">
        <v>5.5</v>
      </c>
      <c r="U2" s="16">
        <v>5.7</v>
      </c>
      <c r="V2" s="16">
        <v>6.3</v>
      </c>
      <c r="W2" s="16">
        <v>5.4</v>
      </c>
    </row>
    <row r="7" spans="4:23" x14ac:dyDescent="0.25">
      <c r="I7" t="s">
        <v>13</v>
      </c>
      <c r="M7" s="37" t="s">
        <v>41</v>
      </c>
    </row>
    <row r="8" spans="4:23" x14ac:dyDescent="0.25">
      <c r="I8" s="8" t="s">
        <v>1</v>
      </c>
      <c r="J8" s="3">
        <f>1/16*(H2+I2+J2+K2+L2+M2+N2+O2+P2+Q2+R2+S2+T2+U2+V2+W2)</f>
        <v>5.6062500000000002</v>
      </c>
      <c r="M8" s="16">
        <v>5.3</v>
      </c>
    </row>
    <row r="9" spans="4:23" x14ac:dyDescent="0.25">
      <c r="I9" s="8" t="s">
        <v>37</v>
      </c>
      <c r="J9" s="3">
        <f>SQRT((1/15)*H16)</f>
        <v>0.2434988021873345</v>
      </c>
      <c r="M9" s="16">
        <v>5.3</v>
      </c>
    </row>
    <row r="10" spans="4:23" x14ac:dyDescent="0.25">
      <c r="I10" s="8" t="s">
        <v>39</v>
      </c>
      <c r="J10" s="3">
        <f>(M16-M15)/(M16-M8)</f>
        <v>0.39999999999999947</v>
      </c>
      <c r="M10" s="16">
        <v>5.4</v>
      </c>
    </row>
    <row r="11" spans="4:23" x14ac:dyDescent="0.25">
      <c r="I11" s="9" t="s">
        <v>40</v>
      </c>
      <c r="J11" s="38">
        <f>J10*(J9/SQRT(16))</f>
        <v>2.4349880218733418E-2</v>
      </c>
      <c r="M11" s="16">
        <v>5.5</v>
      </c>
    </row>
    <row r="12" spans="4:23" x14ac:dyDescent="0.25">
      <c r="I12" s="42" t="s">
        <v>20</v>
      </c>
      <c r="J12" s="39"/>
      <c r="M12" s="16">
        <v>5.6</v>
      </c>
    </row>
    <row r="13" spans="4:23" x14ac:dyDescent="0.25">
      <c r="I13" s="40" t="s">
        <v>128</v>
      </c>
      <c r="J13" s="41"/>
      <c r="M13" s="16">
        <v>5.7</v>
      </c>
    </row>
    <row r="14" spans="4:23" x14ac:dyDescent="0.25">
      <c r="M14" s="16">
        <v>5.8</v>
      </c>
    </row>
    <row r="15" spans="4:23" x14ac:dyDescent="0.25">
      <c r="D15" s="1"/>
      <c r="E15" s="1" t="s">
        <v>0</v>
      </c>
      <c r="M15" s="16">
        <v>5.9</v>
      </c>
    </row>
    <row r="16" spans="4:23" x14ac:dyDescent="0.25">
      <c r="D16" s="11" t="s">
        <v>22</v>
      </c>
      <c r="E16" s="1">
        <f>(H2-$J$8)^2</f>
        <v>3.9062500000006662E-5</v>
      </c>
      <c r="G16" s="39" t="s">
        <v>38</v>
      </c>
      <c r="H16" s="39">
        <f>E16+E17+E18+E19+E20+E21+E22+E23+E24+E25+E26+E27+E28+E29+E30+E31</f>
        <v>0.8893749999999998</v>
      </c>
      <c r="M16" s="16">
        <v>6.3</v>
      </c>
    </row>
    <row r="17" spans="2:5" x14ac:dyDescent="0.25">
      <c r="D17" s="11" t="s">
        <v>16</v>
      </c>
      <c r="E17" s="1">
        <f>(I2-$J$8)^2</f>
        <v>1.1289062500000037E-2</v>
      </c>
    </row>
    <row r="18" spans="2:5" x14ac:dyDescent="0.25">
      <c r="D18" s="11" t="s">
        <v>23</v>
      </c>
      <c r="E18" s="1">
        <f>(J2-$J$8)^2</f>
        <v>3.7539062499999859E-2</v>
      </c>
    </row>
    <row r="19" spans="2:5" x14ac:dyDescent="0.25">
      <c r="D19" s="11" t="s">
        <v>24</v>
      </c>
      <c r="E19" s="1">
        <f>(K2-$J$8)^2</f>
        <v>9.3789062500000214E-2</v>
      </c>
    </row>
    <row r="20" spans="2:5" x14ac:dyDescent="0.25">
      <c r="D20" s="11" t="s">
        <v>25</v>
      </c>
      <c r="E20" s="1">
        <f>(L2-$J$8)^2</f>
        <v>1.1289062500000037E-2</v>
      </c>
    </row>
    <row r="21" spans="2:5" x14ac:dyDescent="0.25">
      <c r="D21" s="11" t="s">
        <v>26</v>
      </c>
      <c r="E21" s="1">
        <f>(M2-$J$8)^2</f>
        <v>3.9062500000006662E-5</v>
      </c>
    </row>
    <row r="22" spans="2:5" x14ac:dyDescent="0.25">
      <c r="D22" s="11" t="s">
        <v>27</v>
      </c>
      <c r="E22" s="1">
        <f>(N2-$J$8)^2</f>
        <v>4.2539062499999926E-2</v>
      </c>
    </row>
    <row r="23" spans="2:5" x14ac:dyDescent="0.25">
      <c r="D23" s="11" t="s">
        <v>28</v>
      </c>
      <c r="E23" s="1">
        <f>(O2-$J$8)^2</f>
        <v>8.628906250000011E-2</v>
      </c>
    </row>
    <row r="24" spans="2:5" x14ac:dyDescent="0.25">
      <c r="D24" s="11" t="s">
        <v>29</v>
      </c>
      <c r="E24" s="1">
        <f>(P2-$J$8)^2</f>
        <v>1.1289062500000037E-2</v>
      </c>
    </row>
    <row r="25" spans="2:5" x14ac:dyDescent="0.25">
      <c r="B25" s="15"/>
      <c r="C25" s="15"/>
      <c r="D25" s="11" t="s">
        <v>30</v>
      </c>
      <c r="E25" s="1">
        <f>(Q2-$J$8)^2</f>
        <v>3.9062500000006662E-5</v>
      </c>
    </row>
    <row r="26" spans="2:5" x14ac:dyDescent="0.25">
      <c r="D26" s="11" t="s">
        <v>31</v>
      </c>
      <c r="E26" s="1">
        <f>(R2-$J$8)^2</f>
        <v>8.7890625E-3</v>
      </c>
    </row>
    <row r="27" spans="2:5" x14ac:dyDescent="0.25">
      <c r="D27" s="11" t="s">
        <v>32</v>
      </c>
      <c r="E27" s="1">
        <f>(S2-$J$8)^2</f>
        <v>4.2539062499999926E-2</v>
      </c>
    </row>
    <row r="28" spans="2:5" x14ac:dyDescent="0.25">
      <c r="D28" s="11" t="s">
        <v>33</v>
      </c>
      <c r="E28" s="1">
        <f>(T2-$J$8)^2</f>
        <v>1.1289062500000037E-2</v>
      </c>
    </row>
    <row r="29" spans="2:5" x14ac:dyDescent="0.25">
      <c r="D29" s="11" t="s">
        <v>34</v>
      </c>
      <c r="E29" s="1">
        <f>(U2-$J$8)^2</f>
        <v>8.7890625E-3</v>
      </c>
    </row>
    <row r="30" spans="2:5" x14ac:dyDescent="0.25">
      <c r="D30" s="11" t="s">
        <v>35</v>
      </c>
      <c r="E30" s="1">
        <f>(V2-$J$8)^2</f>
        <v>0.48128906249999953</v>
      </c>
    </row>
    <row r="31" spans="2:5" x14ac:dyDescent="0.25">
      <c r="D31" s="11" t="s">
        <v>36</v>
      </c>
      <c r="E31" s="1">
        <f>(W2-$J$8)^2</f>
        <v>4.2539062499999926E-2</v>
      </c>
    </row>
  </sheetData>
  <mergeCells count="1">
    <mergeCell ref="B25:C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E6B4-6CA3-438E-8B3D-C5D16FBB9BDE}">
  <dimension ref="A1:N26"/>
  <sheetViews>
    <sheetView zoomScale="85" zoomScaleNormal="85" workbookViewId="0">
      <selection activeCell="I10" sqref="I10"/>
    </sheetView>
  </sheetViews>
  <sheetFormatPr defaultRowHeight="15" x14ac:dyDescent="0.25"/>
  <cols>
    <col min="2" max="2" width="8.85546875" customWidth="1"/>
    <col min="11" max="11" width="8.85546875" customWidth="1"/>
  </cols>
  <sheetData>
    <row r="1" spans="1:14" x14ac:dyDescent="0.25">
      <c r="A1" s="18" t="s">
        <v>42</v>
      </c>
      <c r="B1" s="18" t="s">
        <v>43</v>
      </c>
      <c r="C1" s="18" t="s">
        <v>44</v>
      </c>
      <c r="D1" s="18" t="s">
        <v>45</v>
      </c>
      <c r="E1" s="18" t="s">
        <v>46</v>
      </c>
      <c r="F1" s="18" t="s">
        <v>47</v>
      </c>
      <c r="G1" s="18" t="s">
        <v>48</v>
      </c>
      <c r="H1" s="18" t="s">
        <v>49</v>
      </c>
      <c r="I1" s="18" t="s">
        <v>50</v>
      </c>
      <c r="J1" s="18" t="s">
        <v>51</v>
      </c>
      <c r="K1" s="18" t="s">
        <v>52</v>
      </c>
      <c r="L1" s="18" t="s">
        <v>53</v>
      </c>
    </row>
    <row r="2" spans="1:14" x14ac:dyDescent="0.25">
      <c r="A2" s="6">
        <v>543</v>
      </c>
      <c r="B2" s="6">
        <v>544</v>
      </c>
      <c r="C2" s="6">
        <v>545</v>
      </c>
      <c r="D2" s="6">
        <v>542</v>
      </c>
      <c r="E2" s="6">
        <v>544</v>
      </c>
      <c r="F2" s="6">
        <v>543</v>
      </c>
      <c r="G2" s="6">
        <v>545</v>
      </c>
      <c r="H2" s="6">
        <v>545</v>
      </c>
      <c r="I2" s="6">
        <v>544</v>
      </c>
      <c r="J2" s="6">
        <v>543</v>
      </c>
      <c r="K2" s="6">
        <v>541</v>
      </c>
      <c r="L2" s="6">
        <v>554</v>
      </c>
    </row>
    <row r="3" spans="1:14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4" x14ac:dyDescent="0.25">
      <c r="A4" s="18" t="s">
        <v>54</v>
      </c>
      <c r="B4" s="18" t="s">
        <v>55</v>
      </c>
      <c r="C4" s="18" t="s">
        <v>56</v>
      </c>
      <c r="D4" s="18" t="s">
        <v>57</v>
      </c>
      <c r="E4" s="18" t="s">
        <v>58</v>
      </c>
      <c r="F4" s="18" t="s">
        <v>59</v>
      </c>
      <c r="G4" s="18" t="s">
        <v>60</v>
      </c>
      <c r="H4" s="18" t="s">
        <v>61</v>
      </c>
      <c r="I4" s="18" t="s">
        <v>62</v>
      </c>
      <c r="J4" s="18" t="s">
        <v>63</v>
      </c>
      <c r="K4" s="18" t="s">
        <v>64</v>
      </c>
      <c r="L4" s="18" t="s">
        <v>65</v>
      </c>
    </row>
    <row r="5" spans="1:14" x14ac:dyDescent="0.25">
      <c r="A5" s="6">
        <v>582</v>
      </c>
      <c r="B5" s="6">
        <v>583</v>
      </c>
      <c r="C5" s="6">
        <v>583</v>
      </c>
      <c r="D5" s="6">
        <v>582</v>
      </c>
      <c r="E5" s="6">
        <v>583</v>
      </c>
      <c r="F5" s="6">
        <v>586</v>
      </c>
      <c r="G5" s="6">
        <v>585</v>
      </c>
      <c r="H5" s="6">
        <v>584</v>
      </c>
      <c r="I5" s="6">
        <v>584</v>
      </c>
      <c r="J5" s="6">
        <v>583</v>
      </c>
      <c r="K5" s="6">
        <v>584</v>
      </c>
      <c r="L5" s="6">
        <v>593</v>
      </c>
    </row>
    <row r="8" spans="1:14" x14ac:dyDescent="0.25">
      <c r="A8" s="19" t="s">
        <v>66</v>
      </c>
      <c r="B8" s="19">
        <f>A2+B2+C2+D2+E2+F2+G2+H2+I2+J2+K2+L2</f>
        <v>6533</v>
      </c>
    </row>
    <row r="9" spans="1:14" x14ac:dyDescent="0.25">
      <c r="A9" s="19" t="s">
        <v>67</v>
      </c>
      <c r="B9" s="19">
        <f>A5+B5+C5+D5+E5+F5+G5+H5+I5+J5+K5+L5</f>
        <v>7012</v>
      </c>
    </row>
    <row r="11" spans="1:14" x14ac:dyDescent="0.25">
      <c r="A11" t="s">
        <v>13</v>
      </c>
    </row>
    <row r="12" spans="1:14" x14ac:dyDescent="0.25">
      <c r="A12" s="20" t="s">
        <v>2</v>
      </c>
      <c r="B12" s="20">
        <f>B8/12</f>
        <v>544.41666666666663</v>
      </c>
    </row>
    <row r="13" spans="1:14" x14ac:dyDescent="0.25">
      <c r="A13" s="20" t="s">
        <v>3</v>
      </c>
      <c r="B13" s="20">
        <f>B9/12</f>
        <v>584.33333333333337</v>
      </c>
    </row>
    <row r="15" spans="1:14" x14ac:dyDescent="0.25">
      <c r="A15" s="19" t="s">
        <v>4</v>
      </c>
      <c r="B15" s="19">
        <f>SQRT(((A2-B12)^2)+((B2-B12)^2)+((C2-B12)^2)+((D2-B12)^2)+((E2-B12)^2)+((F2-B12)^2)+((G2-B12)^2)+((H2-B12)^2)+((I2-B12)^2)+((J2-B12)^2)+((K2-B12)^2)+((L2-B12)^2)/11)</f>
        <v>5.7814794862997125</v>
      </c>
      <c r="D15" s="21" t="s">
        <v>6</v>
      </c>
      <c r="E15" s="22">
        <f>MAX((A2-B12),(B2-B12),(C2-B12),(D2-B12),(E2-B12),(F2-B12),(G2-B12),(H2-B12),(I2-B12),(J2-B12),(K2-B12),(L2-B12),)/B15</f>
        <v>1.6575918596689405</v>
      </c>
      <c r="F15" s="22"/>
      <c r="G15" s="22"/>
      <c r="H15" s="23"/>
      <c r="J15" s="21" t="s">
        <v>7</v>
      </c>
      <c r="K15" s="22">
        <f>MAX((A5-B13),(B5-B13),(C5-B13),(D5-B13),(E5-B13),(F5-B13),(G5-B13),(H5-B13),(I5-B13),(J5-B13),(K5-B13),(L5-B13),)/B16</f>
        <v>1.6267339503421114</v>
      </c>
      <c r="L15" s="22"/>
      <c r="M15" s="22"/>
      <c r="N15" s="23"/>
    </row>
    <row r="16" spans="1:14" x14ac:dyDescent="0.25">
      <c r="A16" s="19" t="s">
        <v>5</v>
      </c>
      <c r="B16" s="19">
        <f>SQRT(((A5-B13)^2)+((B5-B13)^2)+((C5-B13)^2)+((D5-B13)^2)+((E5-B13)^2)+((F5-B13)^2)+((G5-B13)^2)+((H5-B13)^2)+((I5-B13)^2)+((J5-B13)^2)+((K5-B13)^2)+((L5-B13)^2)/11)</f>
        <v>5.3276484853863035</v>
      </c>
      <c r="D16" s="24" t="s">
        <v>68</v>
      </c>
      <c r="E16" s="25"/>
      <c r="F16" s="25"/>
      <c r="G16" s="25"/>
      <c r="H16" s="26"/>
      <c r="J16" s="24" t="s">
        <v>69</v>
      </c>
      <c r="K16" s="25"/>
      <c r="L16" s="25"/>
      <c r="M16" s="25"/>
      <c r="N16" s="26"/>
    </row>
    <row r="18" spans="4:14" x14ac:dyDescent="0.25">
      <c r="D18" s="27" t="s">
        <v>8</v>
      </c>
      <c r="E18" s="28">
        <f>((ABS(A2-B12))+(ABS(B2-B12))+(ABS(C2-B12))+(ABS(D2-B12))+(ABS(E2-B12))+(ABS(F2-B12))+(ABS(G2-B12))+(ABS(H2-B12))+(ABS(I2-B12))+(ABS(J2-B12))+(ABS(K2-B12))+(ABS(L2-B12)))/SQRT(11*((A2-B12)^2)+((B2-B12)^2)+((C2-B12)^2)+((D2-B12)^2)+((E2-B12)^2)+((F2-B12)^2)+((G2-B12)^2)+((H2-B12)^2)+((I2-B12)^2)+((J2-B12)^2)+((K2-B12)^2)+((L2-B12)^2))</f>
        <v>1.9366421938295144</v>
      </c>
      <c r="F18" s="28"/>
      <c r="G18" s="28" t="s">
        <v>71</v>
      </c>
      <c r="H18" s="29">
        <f>2.33*B15</f>
        <v>13.47084720307833</v>
      </c>
      <c r="J18" s="27" t="s">
        <v>73</v>
      </c>
      <c r="K18" s="28">
        <f>(B12*10^-3)/(B13*10^-6)</f>
        <v>931.68853394181406</v>
      </c>
      <c r="L18" s="28"/>
      <c r="M18" s="28" t="s">
        <v>74</v>
      </c>
      <c r="N18" s="29">
        <f>(K18/B12)*H18</f>
        <v>23.053360872353107</v>
      </c>
    </row>
    <row r="19" spans="4:14" x14ac:dyDescent="0.25">
      <c r="D19" s="33" t="s">
        <v>70</v>
      </c>
      <c r="E19" s="34">
        <f>((ABS(A5-B13))+(ABS(B5-B13))+(ABS(C5-B13))+(ABS(D5-B13))+(ABS(E5-B13))+(ABS(F5-B13))+(ABS(G5-B13))+(ABS(H5-B13))+(ABS(I5-B13))+(ABS(J5-B13))+(ABS(K5-B13))+(ABS(L5-B13)))/SQRT(11*((A5-B13)^2)+((B5-B13)^2)+((C5-B13)^2)+((D5-B13)^2)+((E5-B13)^2)+((F5-B13)^2)+((G5-B13)^2)+((H5-B13)^2)+((I5-B13)^2)+((J5-B13)^2)+((K5-B13)^2)+((L5-B13)^2))</f>
        <v>1.789676277003921</v>
      </c>
      <c r="F19" s="34"/>
      <c r="G19" s="34" t="s">
        <v>72</v>
      </c>
      <c r="H19" s="35">
        <f>2.33*B16</f>
        <v>12.413420970950087</v>
      </c>
      <c r="J19" s="30"/>
      <c r="K19" s="31"/>
      <c r="L19" s="31"/>
      <c r="M19" s="31" t="s">
        <v>75</v>
      </c>
      <c r="N19" s="32">
        <f>(K18/B13)*H19</f>
        <v>19.79254190352605</v>
      </c>
    </row>
    <row r="20" spans="4:14" x14ac:dyDescent="0.25">
      <c r="J20" s="30"/>
      <c r="K20" s="31"/>
      <c r="L20" s="31"/>
      <c r="M20" s="31"/>
      <c r="N20" s="32"/>
    </row>
    <row r="21" spans="4:14" x14ac:dyDescent="0.25">
      <c r="J21" s="30"/>
      <c r="K21" s="31"/>
      <c r="L21" s="31"/>
      <c r="M21" s="31" t="s">
        <v>76</v>
      </c>
      <c r="N21" s="32">
        <f>SQRT(N18^2+N19^2)</f>
        <v>30.384242009860568</v>
      </c>
    </row>
    <row r="22" spans="4:14" x14ac:dyDescent="0.25">
      <c r="J22" s="30"/>
      <c r="K22" s="31"/>
      <c r="L22" s="31"/>
      <c r="M22" s="31"/>
      <c r="N22" s="32"/>
    </row>
    <row r="23" spans="4:14" x14ac:dyDescent="0.25">
      <c r="J23" s="30"/>
      <c r="K23" s="31" t="s">
        <v>20</v>
      </c>
      <c r="L23" s="31"/>
      <c r="M23" s="31"/>
      <c r="N23" s="32"/>
    </row>
    <row r="24" spans="4:14" x14ac:dyDescent="0.25">
      <c r="J24" s="30"/>
      <c r="K24" s="31" t="s">
        <v>129</v>
      </c>
      <c r="L24" s="31"/>
      <c r="M24" s="31"/>
      <c r="N24" s="32"/>
    </row>
    <row r="25" spans="4:14" x14ac:dyDescent="0.25">
      <c r="J25" s="30"/>
      <c r="K25" s="31" t="s">
        <v>77</v>
      </c>
      <c r="L25" s="31"/>
      <c r="M25" s="31"/>
      <c r="N25" s="32"/>
    </row>
    <row r="26" spans="4:14" x14ac:dyDescent="0.25">
      <c r="J26" s="33"/>
      <c r="K26" s="34" t="s">
        <v>78</v>
      </c>
      <c r="L26" s="34"/>
      <c r="M26" s="34"/>
      <c r="N26" s="35"/>
    </row>
  </sheetData>
  <phoneticPr fontId="9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80BB-A044-4DB2-854D-8A38F8DDD733}">
  <dimension ref="A1:X27"/>
  <sheetViews>
    <sheetView topLeftCell="A16" zoomScale="85" zoomScaleNormal="85" workbookViewId="0">
      <selection activeCell="K22" sqref="K22"/>
    </sheetView>
  </sheetViews>
  <sheetFormatPr defaultRowHeight="15" x14ac:dyDescent="0.25"/>
  <cols>
    <col min="10" max="10" width="8.85546875" customWidth="1"/>
  </cols>
  <sheetData>
    <row r="1" spans="1:24" x14ac:dyDescent="0.25">
      <c r="A1" t="s">
        <v>79</v>
      </c>
    </row>
    <row r="2" spans="1:24" x14ac:dyDescent="0.25">
      <c r="A2" s="50" t="s">
        <v>22</v>
      </c>
      <c r="B2" s="50" t="s">
        <v>16</v>
      </c>
      <c r="C2" s="50" t="s">
        <v>23</v>
      </c>
      <c r="D2" s="50" t="s">
        <v>24</v>
      </c>
      <c r="E2" s="50" t="s">
        <v>25</v>
      </c>
      <c r="F2" s="50" t="s">
        <v>26</v>
      </c>
      <c r="G2" s="50" t="s">
        <v>27</v>
      </c>
      <c r="H2" s="50" t="s">
        <v>28</v>
      </c>
      <c r="I2" s="50" t="s">
        <v>29</v>
      </c>
      <c r="J2" s="50" t="s">
        <v>30</v>
      </c>
      <c r="K2" s="50" t="s">
        <v>31</v>
      </c>
      <c r="L2" s="50" t="s">
        <v>32</v>
      </c>
    </row>
    <row r="3" spans="1:24" x14ac:dyDescent="0.25">
      <c r="A3" s="20">
        <v>223</v>
      </c>
      <c r="B3" s="20">
        <v>224</v>
      </c>
      <c r="C3" s="20">
        <v>225</v>
      </c>
      <c r="D3" s="20">
        <v>222</v>
      </c>
      <c r="E3" s="20">
        <v>224</v>
      </c>
      <c r="F3" s="20">
        <v>223</v>
      </c>
      <c r="G3" s="20">
        <v>225</v>
      </c>
      <c r="H3" s="20">
        <v>225</v>
      </c>
      <c r="I3" s="20">
        <v>224</v>
      </c>
      <c r="J3" s="20">
        <v>223</v>
      </c>
      <c r="K3" s="20">
        <v>221</v>
      </c>
      <c r="L3" s="51">
        <v>234</v>
      </c>
    </row>
    <row r="4" spans="1:24" x14ac:dyDescent="0.25">
      <c r="A4" t="s">
        <v>80</v>
      </c>
    </row>
    <row r="5" spans="1:24" x14ac:dyDescent="0.25">
      <c r="A5" s="50" t="s">
        <v>22</v>
      </c>
      <c r="B5" s="50" t="s">
        <v>16</v>
      </c>
      <c r="C5" s="50" t="s">
        <v>23</v>
      </c>
      <c r="D5" s="50" t="s">
        <v>24</v>
      </c>
      <c r="E5" s="50" t="s">
        <v>25</v>
      </c>
      <c r="F5" s="50" t="s">
        <v>26</v>
      </c>
      <c r="G5" s="50" t="s">
        <v>27</v>
      </c>
      <c r="H5" s="50" t="s">
        <v>28</v>
      </c>
      <c r="I5" s="50" t="s">
        <v>29</v>
      </c>
      <c r="J5" s="50" t="s">
        <v>30</v>
      </c>
      <c r="K5" s="50" t="s">
        <v>31</v>
      </c>
      <c r="L5" s="50" t="s">
        <v>32</v>
      </c>
    </row>
    <row r="6" spans="1:24" x14ac:dyDescent="0.25">
      <c r="A6" s="20">
        <v>222</v>
      </c>
      <c r="B6" s="20">
        <v>223</v>
      </c>
      <c r="C6" s="20">
        <v>223</v>
      </c>
      <c r="D6" s="20">
        <v>222</v>
      </c>
      <c r="E6" s="20">
        <v>223</v>
      </c>
      <c r="F6" s="20">
        <v>226</v>
      </c>
      <c r="G6" s="20">
        <v>225</v>
      </c>
      <c r="H6" s="20">
        <v>224</v>
      </c>
      <c r="I6" s="20">
        <v>224</v>
      </c>
      <c r="J6" s="20">
        <v>223</v>
      </c>
      <c r="K6" s="20">
        <v>224</v>
      </c>
      <c r="L6" s="51">
        <v>233</v>
      </c>
    </row>
    <row r="7" spans="1:24" x14ac:dyDescent="0.25">
      <c r="N7" s="16" t="s">
        <v>81</v>
      </c>
      <c r="O7" s="16"/>
    </row>
    <row r="8" spans="1:24" x14ac:dyDescent="0.25">
      <c r="A8" t="s">
        <v>88</v>
      </c>
      <c r="N8" s="16" t="s">
        <v>15</v>
      </c>
      <c r="O8" s="16">
        <f>A3+B3+C3+D3+E3+F3+G3+H3+I3+J3+K3+L3</f>
        <v>2693</v>
      </c>
    </row>
    <row r="9" spans="1:24" x14ac:dyDescent="0.25">
      <c r="A9" s="44" t="s">
        <v>22</v>
      </c>
      <c r="B9" s="46">
        <f>O8/12</f>
        <v>224.41666666666666</v>
      </c>
      <c r="C9" s="46"/>
      <c r="D9" s="45" t="s">
        <v>82</v>
      </c>
      <c r="E9" s="46">
        <f>SQRT(SUM(M13:X13)/11)</f>
        <v>3.2601821849074444</v>
      </c>
      <c r="F9" s="47"/>
      <c r="N9" s="16" t="s">
        <v>17</v>
      </c>
      <c r="O9" s="16">
        <f>A6+B6+C6+D6+E6+F6+G6+H6+I6+J6+K6+L6</f>
        <v>2692</v>
      </c>
    </row>
    <row r="10" spans="1:24" x14ac:dyDescent="0.25">
      <c r="A10" s="44" t="s">
        <v>16</v>
      </c>
      <c r="B10" s="46">
        <f>O9/12</f>
        <v>224.33333333333334</v>
      </c>
      <c r="C10" s="46"/>
      <c r="D10" s="45" t="s">
        <v>83</v>
      </c>
      <c r="E10" s="46">
        <f>SQRT(SUM(M14:X14)/11)</f>
        <v>2.9644356609443876</v>
      </c>
      <c r="F10" s="47"/>
    </row>
    <row r="11" spans="1:24" x14ac:dyDescent="0.25">
      <c r="A11" s="46"/>
      <c r="B11" s="46"/>
      <c r="C11" s="46"/>
      <c r="D11" s="45" t="s">
        <v>86</v>
      </c>
      <c r="E11" s="46">
        <f>(L3-B9)/E9</f>
        <v>2.9395085273755677</v>
      </c>
      <c r="F11" s="47"/>
    </row>
    <row r="12" spans="1:24" x14ac:dyDescent="0.25">
      <c r="A12" s="49"/>
      <c r="B12" s="49"/>
      <c r="C12" s="49"/>
      <c r="D12" s="49" t="s">
        <v>87</v>
      </c>
      <c r="E12" s="49"/>
      <c r="F12" s="49"/>
      <c r="L12" s="16"/>
      <c r="M12" s="17">
        <v>1</v>
      </c>
      <c r="N12" s="17">
        <v>2</v>
      </c>
      <c r="O12" s="17">
        <v>3</v>
      </c>
      <c r="P12" s="17">
        <v>4</v>
      </c>
      <c r="Q12" s="17">
        <v>5</v>
      </c>
      <c r="R12" s="17">
        <v>6</v>
      </c>
      <c r="S12" s="17">
        <v>7</v>
      </c>
      <c r="T12" s="17">
        <v>8</v>
      </c>
      <c r="U12" s="17">
        <v>9</v>
      </c>
      <c r="V12" s="17">
        <v>10</v>
      </c>
      <c r="W12" s="17">
        <v>11</v>
      </c>
      <c r="X12" s="17">
        <v>12</v>
      </c>
    </row>
    <row r="13" spans="1:24" x14ac:dyDescent="0.25">
      <c r="A13" t="s">
        <v>89</v>
      </c>
      <c r="L13" s="16" t="s">
        <v>84</v>
      </c>
      <c r="M13" s="16">
        <f>(A3-B9)^2</f>
        <v>2.0069444444444176</v>
      </c>
      <c r="N13" s="16">
        <f>(B3-B9)^2</f>
        <v>0.17361111111110322</v>
      </c>
      <c r="O13" s="16">
        <f>(C3-B9)^2</f>
        <v>0.34027777777778884</v>
      </c>
      <c r="P13" s="16">
        <f>(D3-B9)^2</f>
        <v>5.8402777777777324</v>
      </c>
      <c r="Q13" s="16">
        <f>(E3-B9)^2</f>
        <v>0.17361111111110322</v>
      </c>
      <c r="R13" s="16">
        <f>(F3-B9)^2</f>
        <v>2.0069444444444176</v>
      </c>
      <c r="S13" s="16">
        <f>(G3-B9)^2</f>
        <v>0.34027777777778884</v>
      </c>
      <c r="T13" s="16">
        <f>(H3-B9)^2</f>
        <v>0.34027777777778884</v>
      </c>
      <c r="U13" s="16">
        <f>(I3-B9)^2</f>
        <v>0.17361111111110322</v>
      </c>
      <c r="V13" s="16">
        <f>(J3-B9)^2</f>
        <v>2.0069444444444176</v>
      </c>
      <c r="W13" s="16">
        <f>(K3-B9)^2</f>
        <v>11.673611111111047</v>
      </c>
      <c r="X13" s="43">
        <f>(L3-B9)^2</f>
        <v>91.840277777777956</v>
      </c>
    </row>
    <row r="14" spans="1:24" x14ac:dyDescent="0.25">
      <c r="A14" s="44" t="s">
        <v>22</v>
      </c>
      <c r="B14" s="46">
        <f>SUM(A3:K3)/11</f>
        <v>223.54545454545453</v>
      </c>
      <c r="C14" s="46"/>
      <c r="D14" s="45" t="s">
        <v>82</v>
      </c>
      <c r="E14" s="46">
        <f>SQRT(SUM(M13:W13)/10)</f>
        <v>1.5835526163941858</v>
      </c>
      <c r="F14" s="47"/>
      <c r="L14" s="16" t="s">
        <v>85</v>
      </c>
      <c r="M14" s="16">
        <f>(A6-B10)^2</f>
        <v>5.4444444444444891</v>
      </c>
      <c r="N14" s="16">
        <f>(B6-B10)^2</f>
        <v>1.777777777777803</v>
      </c>
      <c r="O14" s="16">
        <f>(C6-B10)^2</f>
        <v>1.777777777777803</v>
      </c>
      <c r="P14" s="16">
        <f>(D6-B10)^2</f>
        <v>5.4444444444444891</v>
      </c>
      <c r="Q14" s="16">
        <f>(E6-B10)^2</f>
        <v>1.777777777777803</v>
      </c>
      <c r="R14" s="16">
        <f>(F6-B10)^2</f>
        <v>2.7777777777777461</v>
      </c>
      <c r="S14" s="16">
        <f>(G6-B10)^2</f>
        <v>0.44444444444443182</v>
      </c>
      <c r="T14" s="16">
        <f>(H6-B10)^2</f>
        <v>0.11111111111111743</v>
      </c>
      <c r="U14" s="16">
        <f>(I6-B10)^2</f>
        <v>0.11111111111111743</v>
      </c>
      <c r="V14" s="16">
        <f>(J6-B10)^2</f>
        <v>1.777777777777803</v>
      </c>
      <c r="W14" s="16">
        <f>(K6-B10)^2</f>
        <v>0.11111111111111743</v>
      </c>
      <c r="X14" s="43">
        <f>(L6-B10)^2</f>
        <v>75.111111111110944</v>
      </c>
    </row>
    <row r="15" spans="1:24" x14ac:dyDescent="0.25">
      <c r="A15" s="46"/>
      <c r="B15" s="46"/>
      <c r="C15" s="46"/>
      <c r="D15" s="45" t="s">
        <v>86</v>
      </c>
      <c r="E15" s="46">
        <f>(MAX(A3:K3)-B14)/E14</f>
        <v>0.91853307524288463</v>
      </c>
      <c r="F15" s="47"/>
    </row>
    <row r="16" spans="1:24" x14ac:dyDescent="0.25">
      <c r="A16" s="48"/>
      <c r="B16" s="48"/>
      <c r="C16" s="48"/>
      <c r="D16" s="48" t="s">
        <v>91</v>
      </c>
      <c r="E16" s="48"/>
      <c r="F16" s="48"/>
      <c r="H16" s="16"/>
      <c r="I16" s="16" t="s">
        <v>97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24" x14ac:dyDescent="0.25">
      <c r="A17" t="s">
        <v>90</v>
      </c>
      <c r="H17" s="17" t="s">
        <v>111</v>
      </c>
      <c r="I17" s="17" t="s">
        <v>98</v>
      </c>
      <c r="J17" s="17" t="s">
        <v>99</v>
      </c>
      <c r="K17" s="17" t="s">
        <v>100</v>
      </c>
      <c r="L17" s="17" t="s">
        <v>101</v>
      </c>
      <c r="M17" s="17" t="s">
        <v>102</v>
      </c>
      <c r="N17" s="17" t="s">
        <v>103</v>
      </c>
      <c r="O17" s="17" t="s">
        <v>104</v>
      </c>
      <c r="P17" s="17" t="s">
        <v>105</v>
      </c>
      <c r="Q17" s="17" t="s">
        <v>106</v>
      </c>
      <c r="R17" s="17" t="s">
        <v>107</v>
      </c>
      <c r="S17" s="17" t="s">
        <v>108</v>
      </c>
    </row>
    <row r="18" spans="1:24" x14ac:dyDescent="0.25">
      <c r="A18" s="47"/>
      <c r="B18" s="47"/>
      <c r="C18" s="47"/>
      <c r="D18" s="45" t="s">
        <v>92</v>
      </c>
      <c r="E18" s="4">
        <f>(L6-B10)/E10</f>
        <v>2.9235468932072202</v>
      </c>
      <c r="F18" s="48"/>
      <c r="H18" s="16">
        <v>2.33</v>
      </c>
      <c r="I18" s="16">
        <f>(0.545)/SQRT(11*SUM(M13:W13))</f>
        <v>3.2814641317197461E-2</v>
      </c>
      <c r="J18" s="16">
        <f>(1.545)/SQRT(11*SUM(M14:W14))</f>
        <v>0.10033501754163192</v>
      </c>
      <c r="K18" s="16">
        <f>H18*E14</f>
        <v>3.6896775961984529</v>
      </c>
      <c r="L18" s="16">
        <f>H18*E21</f>
        <v>3.4208618147413739</v>
      </c>
      <c r="M18" s="16">
        <f>B14-B21</f>
        <v>0</v>
      </c>
      <c r="N18" s="16">
        <f>SQRT((E14^2/11)+(E21^2/11))</f>
        <v>0.65109658859248187</v>
      </c>
      <c r="O18" s="16">
        <f>E14^2/E21^2</f>
        <v>1.1633376288659625</v>
      </c>
      <c r="P18" s="16">
        <f>((11*B14)+(11*B21))/(22)</f>
        <v>223.54545454545453</v>
      </c>
      <c r="Q18" s="16">
        <f>SQRT(1/(22*21)*46)</f>
        <v>0.31554254795050946</v>
      </c>
      <c r="R18" s="16">
        <f>4/((11-1)^-1+(11-1)^-1)</f>
        <v>20</v>
      </c>
      <c r="S18" s="16">
        <f>H18*Q18</f>
        <v>0.73521413672468705</v>
      </c>
    </row>
    <row r="19" spans="1:24" x14ac:dyDescent="0.25">
      <c r="A19" s="49"/>
      <c r="B19" s="49"/>
      <c r="C19" s="49"/>
      <c r="D19" s="49" t="s">
        <v>93</v>
      </c>
      <c r="E19" s="49"/>
      <c r="F19" s="48"/>
    </row>
    <row r="20" spans="1:24" x14ac:dyDescent="0.25">
      <c r="A20" t="s">
        <v>94</v>
      </c>
    </row>
    <row r="21" spans="1:24" x14ac:dyDescent="0.25">
      <c r="A21" s="44" t="s">
        <v>16</v>
      </c>
      <c r="B21" s="46">
        <f>SUM(A6:K6)/11</f>
        <v>223.54545454545453</v>
      </c>
      <c r="C21" s="46"/>
      <c r="D21" s="45" t="s">
        <v>83</v>
      </c>
      <c r="E21" s="46">
        <f>SQRT(SUM(M14:W14)/10)</f>
        <v>1.4681810363696883</v>
      </c>
      <c r="F21" s="47"/>
    </row>
    <row r="22" spans="1:24" x14ac:dyDescent="0.25">
      <c r="A22" s="46"/>
      <c r="B22" s="46"/>
      <c r="C22" s="46"/>
      <c r="D22" s="45" t="s">
        <v>95</v>
      </c>
      <c r="E22" s="46" cm="1">
        <f t="array" ref="E22">MAX((A6:K6)-B21)/E21</f>
        <v>1.6718275156412061</v>
      </c>
      <c r="F22" s="47"/>
    </row>
    <row r="23" spans="1:24" x14ac:dyDescent="0.25">
      <c r="A23" s="48"/>
      <c r="B23" s="48"/>
      <c r="C23" s="48"/>
      <c r="D23" s="49" t="s">
        <v>96</v>
      </c>
      <c r="E23" s="49"/>
      <c r="F23" s="48"/>
      <c r="L23" s="16"/>
      <c r="M23" s="17">
        <v>1</v>
      </c>
      <c r="N23" s="17">
        <v>2</v>
      </c>
      <c r="O23" s="17">
        <v>3</v>
      </c>
      <c r="P23" s="17">
        <v>4</v>
      </c>
      <c r="Q23" s="17">
        <v>5</v>
      </c>
      <c r="R23" s="17">
        <v>6</v>
      </c>
      <c r="S23" s="17">
        <v>7</v>
      </c>
      <c r="T23" s="17">
        <v>8</v>
      </c>
      <c r="U23" s="17">
        <v>9</v>
      </c>
      <c r="V23" s="17">
        <v>10</v>
      </c>
      <c r="W23" s="17">
        <v>11</v>
      </c>
      <c r="X23" s="17">
        <v>12</v>
      </c>
    </row>
    <row r="24" spans="1:24" x14ac:dyDescent="0.25">
      <c r="L24" s="16" t="s">
        <v>109</v>
      </c>
      <c r="M24" s="16">
        <f>(A3-B14)</f>
        <v>-0.54545454545453254</v>
      </c>
      <c r="N24" s="16">
        <f>(B3-B14)</f>
        <v>0.45454545454546746</v>
      </c>
      <c r="O24" s="16">
        <f>(C3-B14)</f>
        <v>1.4545454545454675</v>
      </c>
      <c r="P24" s="16">
        <f>(D3-B14)</f>
        <v>-1.5454545454545325</v>
      </c>
      <c r="Q24" s="16">
        <f>(E3-B14)</f>
        <v>0.45454545454546746</v>
      </c>
      <c r="R24" s="16">
        <f>(F3-B14)</f>
        <v>-0.54545454545453254</v>
      </c>
      <c r="S24" s="16">
        <f>(G3-B14)</f>
        <v>1.4545454545454675</v>
      </c>
      <c r="T24" s="16">
        <f>(H3-B14)</f>
        <v>1.4545454545454675</v>
      </c>
      <c r="U24" s="16">
        <f>(I3-B14)</f>
        <v>0.45454545454546746</v>
      </c>
      <c r="V24" s="16">
        <f>(J3-B14)</f>
        <v>-0.54545454545453254</v>
      </c>
      <c r="W24" s="16">
        <f>(K3-B14)</f>
        <v>-2.5454545454545325</v>
      </c>
      <c r="X24" s="16">
        <f>(L3-B14)</f>
        <v>10.454545454545467</v>
      </c>
    </row>
    <row r="25" spans="1:24" x14ac:dyDescent="0.25">
      <c r="L25" s="16" t="s">
        <v>110</v>
      </c>
      <c r="M25" s="16">
        <f>(A6-B10)</f>
        <v>-2.3333333333333428</v>
      </c>
      <c r="N25" s="16">
        <f>(B6-B10)</f>
        <v>-1.3333333333333428</v>
      </c>
      <c r="O25" s="16">
        <f>(C6-B10)</f>
        <v>-1.3333333333333428</v>
      </c>
      <c r="P25" s="16">
        <f>(D6-B10)</f>
        <v>-2.3333333333333428</v>
      </c>
      <c r="Q25" s="16">
        <f>(E6-B10)</f>
        <v>-1.3333333333333428</v>
      </c>
      <c r="R25" s="16">
        <f>(F6-B10)</f>
        <v>1.6666666666666572</v>
      </c>
      <c r="S25" s="16">
        <f>(G6-B10)</f>
        <v>0.66666666666665719</v>
      </c>
      <c r="T25" s="16">
        <f>(H6-B10)</f>
        <v>-0.33333333333334281</v>
      </c>
      <c r="U25" s="16">
        <f>(I6-B10)</f>
        <v>-0.33333333333334281</v>
      </c>
      <c r="V25" s="16">
        <f>(J6-B10)</f>
        <v>-1.3333333333333428</v>
      </c>
      <c r="W25" s="16">
        <f>(K6-B10)</f>
        <v>-0.33333333333334281</v>
      </c>
      <c r="X25" s="16">
        <f>(L6-B10)</f>
        <v>8.6666666666666572</v>
      </c>
    </row>
    <row r="26" spans="1:24" x14ac:dyDescent="0.25">
      <c r="A26" s="5" t="s">
        <v>112</v>
      </c>
      <c r="B26" s="5"/>
      <c r="C26" s="5"/>
    </row>
    <row r="27" spans="1:24" x14ac:dyDescent="0.25">
      <c r="A27" s="5" t="s">
        <v>130</v>
      </c>
      <c r="B27" s="5"/>
      <c r="C27" s="5"/>
    </row>
  </sheetData>
  <phoneticPr fontId="9" type="noConversion"/>
  <pageMargins left="0.7" right="0.7" top="0.75" bottom="0.75" header="0.3" footer="0.3"/>
  <ignoredErrors>
    <ignoredError sqref="B14 E15 B21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D9A9-65F8-42A8-8311-420459DDB787}">
  <dimension ref="A1:T24"/>
  <sheetViews>
    <sheetView tabSelected="1" zoomScaleNormal="100" workbookViewId="0">
      <selection activeCell="I29" sqref="I29"/>
    </sheetView>
  </sheetViews>
  <sheetFormatPr defaultRowHeight="15" x14ac:dyDescent="0.25"/>
  <sheetData>
    <row r="1" spans="1:20" x14ac:dyDescent="0.25">
      <c r="A1" s="53" t="s">
        <v>131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</row>
    <row r="2" spans="1:20" x14ac:dyDescent="0.25">
      <c r="A2" s="56" t="s">
        <v>22</v>
      </c>
      <c r="B2" s="56" t="s">
        <v>16</v>
      </c>
      <c r="C2" s="56" t="s">
        <v>23</v>
      </c>
      <c r="D2" s="56" t="s">
        <v>24</v>
      </c>
      <c r="E2" s="56" t="s">
        <v>25</v>
      </c>
      <c r="F2" s="56" t="s">
        <v>26</v>
      </c>
      <c r="G2" s="56" t="s">
        <v>27</v>
      </c>
      <c r="H2" s="56" t="s">
        <v>28</v>
      </c>
      <c r="I2" s="56" t="s">
        <v>29</v>
      </c>
      <c r="J2" s="56" t="s">
        <v>30</v>
      </c>
      <c r="K2" s="56" t="s">
        <v>31</v>
      </c>
      <c r="L2" s="56" t="s">
        <v>32</v>
      </c>
    </row>
    <row r="3" spans="1:20" x14ac:dyDescent="0.25">
      <c r="A3" s="57">
        <v>223</v>
      </c>
      <c r="B3" s="57">
        <v>224</v>
      </c>
      <c r="C3" s="57">
        <v>225</v>
      </c>
      <c r="D3" s="57">
        <v>222</v>
      </c>
      <c r="E3" s="57">
        <v>224</v>
      </c>
      <c r="F3" s="57">
        <v>223</v>
      </c>
      <c r="G3" s="57">
        <v>225</v>
      </c>
      <c r="H3" s="57">
        <v>225</v>
      </c>
      <c r="I3" s="57">
        <v>224</v>
      </c>
      <c r="J3" s="57">
        <v>223</v>
      </c>
      <c r="K3" s="57">
        <v>221</v>
      </c>
      <c r="L3" s="52">
        <v>234</v>
      </c>
    </row>
    <row r="6" spans="1:20" x14ac:dyDescent="0.25">
      <c r="A6" s="53" t="s">
        <v>132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5"/>
    </row>
    <row r="7" spans="1:20" x14ac:dyDescent="0.25">
      <c r="A7" s="56" t="s">
        <v>22</v>
      </c>
      <c r="B7" s="56" t="s">
        <v>16</v>
      </c>
      <c r="C7" s="56" t="s">
        <v>23</v>
      </c>
      <c r="D7" s="56" t="s">
        <v>24</v>
      </c>
      <c r="E7" s="56" t="s">
        <v>25</v>
      </c>
      <c r="F7" s="56" t="s">
        <v>26</v>
      </c>
      <c r="G7" s="56" t="s">
        <v>27</v>
      </c>
      <c r="H7" s="56" t="s">
        <v>28</v>
      </c>
      <c r="I7" s="56" t="s">
        <v>29</v>
      </c>
      <c r="J7" s="56" t="s">
        <v>30</v>
      </c>
      <c r="K7" s="56" t="s">
        <v>31</v>
      </c>
      <c r="L7" s="56" t="s">
        <v>32</v>
      </c>
    </row>
    <row r="8" spans="1:20" x14ac:dyDescent="0.25">
      <c r="A8" s="57">
        <v>224.02</v>
      </c>
      <c r="B8" s="57">
        <v>224.03</v>
      </c>
      <c r="C8" s="57">
        <v>224.03</v>
      </c>
      <c r="D8" s="57">
        <v>224.04</v>
      </c>
      <c r="E8" s="57">
        <v>224.04</v>
      </c>
      <c r="F8" s="57">
        <v>224.06</v>
      </c>
      <c r="G8" s="57">
        <v>224.05</v>
      </c>
      <c r="H8" s="57">
        <v>224.04</v>
      </c>
      <c r="I8" s="57">
        <v>224.04</v>
      </c>
      <c r="J8" s="57">
        <v>224.03</v>
      </c>
      <c r="K8" s="57">
        <v>224.04</v>
      </c>
      <c r="L8" s="52">
        <v>233.03</v>
      </c>
    </row>
    <row r="10" spans="1:20" ht="15.75" thickBot="1" x14ac:dyDescent="0.3">
      <c r="A10" s="65" t="s">
        <v>88</v>
      </c>
      <c r="B10" s="65"/>
      <c r="C10" s="65"/>
      <c r="D10" s="65"/>
      <c r="E10" s="65"/>
      <c r="L10" s="4" t="s">
        <v>113</v>
      </c>
      <c r="M10" s="4">
        <f>A3+B3+C3+D3+E3+F3+G3+H3+I3+J3+K3+L3</f>
        <v>2693</v>
      </c>
    </row>
    <row r="11" spans="1:20" ht="16.5" thickTop="1" thickBot="1" x14ac:dyDescent="0.3">
      <c r="A11" s="60" t="s">
        <v>15</v>
      </c>
      <c r="B11" s="68">
        <f>M10/12</f>
        <v>224.41666666666666</v>
      </c>
      <c r="C11" s="46"/>
      <c r="D11" s="60" t="s">
        <v>115</v>
      </c>
      <c r="E11" s="68" cm="1">
        <f t="array" ref="E11">MAX((A3:L3)-B11)/B13</f>
        <v>2.9395085273755677</v>
      </c>
      <c r="L11" s="58" t="s">
        <v>114</v>
      </c>
      <c r="M11" s="58">
        <f>A8+B8+C8+D8+E8+F8+G8+H8+I8+J8+K8+L8</f>
        <v>2697.4500000000003</v>
      </c>
    </row>
    <row r="12" spans="1:20" ht="16.5" thickTop="1" thickBot="1" x14ac:dyDescent="0.3">
      <c r="A12" s="60" t="s">
        <v>17</v>
      </c>
      <c r="B12" s="68">
        <f>M11/12</f>
        <v>224.78750000000002</v>
      </c>
      <c r="C12" s="46"/>
      <c r="D12" s="60" t="s">
        <v>116</v>
      </c>
      <c r="E12" s="46"/>
      <c r="H12" s="64"/>
      <c r="I12" s="66">
        <v>1</v>
      </c>
      <c r="J12" s="66">
        <v>2</v>
      </c>
      <c r="K12" s="66">
        <v>3</v>
      </c>
      <c r="L12" s="66">
        <v>4</v>
      </c>
      <c r="M12" s="66">
        <v>5</v>
      </c>
      <c r="N12" s="66">
        <v>6</v>
      </c>
      <c r="O12" s="66">
        <v>7</v>
      </c>
      <c r="P12" s="66">
        <v>8</v>
      </c>
      <c r="Q12" s="66">
        <v>9</v>
      </c>
      <c r="R12" s="66">
        <v>10</v>
      </c>
      <c r="S12" s="66">
        <v>11</v>
      </c>
      <c r="T12" s="66">
        <v>12</v>
      </c>
    </row>
    <row r="13" spans="1:20" ht="16.5" thickTop="1" thickBot="1" x14ac:dyDescent="0.3">
      <c r="A13" s="60" t="s">
        <v>82</v>
      </c>
      <c r="B13" s="68">
        <f>SQRT(SUM(I13:T13)/11)</f>
        <v>3.2601821849074444</v>
      </c>
      <c r="C13" s="46"/>
      <c r="D13" s="46"/>
      <c r="E13" s="46"/>
      <c r="H13" s="10" t="s">
        <v>84</v>
      </c>
      <c r="I13" s="46">
        <f>(A3-B11)^2</f>
        <v>2.0069444444444176</v>
      </c>
      <c r="J13" s="46">
        <f>(B3-B11)^2</f>
        <v>0.17361111111110322</v>
      </c>
      <c r="K13" s="46">
        <f>(C3-B11)^2</f>
        <v>0.34027777777778884</v>
      </c>
      <c r="L13" s="46">
        <f>(D3-B11)^2</f>
        <v>5.8402777777777324</v>
      </c>
      <c r="M13" s="46">
        <f>(E3-B11)^2</f>
        <v>0.17361111111110322</v>
      </c>
      <c r="N13" s="46">
        <f>(F3-B11)^2</f>
        <v>2.0069444444444176</v>
      </c>
      <c r="O13" s="46">
        <f>(G3-B11)^2</f>
        <v>0.34027777777778884</v>
      </c>
      <c r="P13" s="46">
        <f>(H3-B11)^2</f>
        <v>0.34027777777778884</v>
      </c>
      <c r="Q13" s="46">
        <f>(I3-B11)^2</f>
        <v>0.17361111111110322</v>
      </c>
      <c r="R13" s="46">
        <f>(J3-B11)^2</f>
        <v>2.0069444444444176</v>
      </c>
      <c r="S13" s="46">
        <f>(K3-B11)^2</f>
        <v>11.673611111111047</v>
      </c>
      <c r="T13" s="43">
        <f>(L3-B11)^2</f>
        <v>91.840277777777956</v>
      </c>
    </row>
    <row r="14" spans="1:20" ht="15.75" thickTop="1" x14ac:dyDescent="0.25">
      <c r="A14" s="61" t="s">
        <v>83</v>
      </c>
      <c r="B14" s="69">
        <f>SQRT(SUM(I14:T14)/11)</f>
        <v>2.5957347006895062</v>
      </c>
      <c r="C14" s="62"/>
      <c r="D14" s="62"/>
      <c r="E14" s="62"/>
      <c r="H14" s="10" t="s">
        <v>85</v>
      </c>
      <c r="I14" s="46">
        <f>(A8-B12)^2</f>
        <v>0.58905625000001915</v>
      </c>
      <c r="J14" s="46">
        <f>(B8-B12)^2</f>
        <v>0.57380625000003271</v>
      </c>
      <c r="K14" s="46">
        <f>(C8-B12)^2</f>
        <v>0.57380625000003271</v>
      </c>
      <c r="L14" s="46">
        <f>(D8-B12)^2</f>
        <v>0.55875625000004592</v>
      </c>
      <c r="M14" s="46">
        <f>(E8-B12)^2</f>
        <v>0.55875625000004592</v>
      </c>
      <c r="N14" s="46">
        <f>(F8-B12)^2</f>
        <v>0.52925625000002974</v>
      </c>
      <c r="O14" s="46">
        <f>(G8-B12)^2</f>
        <v>0.5439062500000168</v>
      </c>
      <c r="P14" s="46">
        <f>(H8-B12)^2</f>
        <v>0.55875625000004592</v>
      </c>
      <c r="Q14" s="46">
        <f>(I8-B12)^2</f>
        <v>0.55875625000004592</v>
      </c>
      <c r="R14" s="46">
        <f>(J8-B12)^2</f>
        <v>0.57380625000003271</v>
      </c>
      <c r="S14" s="46">
        <f>(K8-B12)^2</f>
        <v>0.55875625000004592</v>
      </c>
      <c r="T14" s="43">
        <f>(L8-B12)^2</f>
        <v>67.938806249999644</v>
      </c>
    </row>
    <row r="15" spans="1:20" x14ac:dyDescent="0.25">
      <c r="A15" s="64" t="s">
        <v>89</v>
      </c>
      <c r="B15" s="64"/>
      <c r="C15" s="64"/>
      <c r="D15" s="64"/>
      <c r="E15" s="64"/>
      <c r="H15" s="10" t="s">
        <v>109</v>
      </c>
      <c r="I15" s="46">
        <f>A3-B16</f>
        <v>-0.54545454545453254</v>
      </c>
      <c r="J15" s="46">
        <f>B3-B16</f>
        <v>0.45454545454546746</v>
      </c>
      <c r="K15" s="46">
        <f>C3-B16</f>
        <v>1.4545454545454675</v>
      </c>
      <c r="L15" s="46">
        <f>D3-B16</f>
        <v>-1.5454545454545325</v>
      </c>
      <c r="M15" s="46">
        <f>E3-B16</f>
        <v>0.45454545454546746</v>
      </c>
      <c r="N15" s="46">
        <f>F3-B16</f>
        <v>-0.54545454545453254</v>
      </c>
      <c r="O15" s="46">
        <f>G3-B16</f>
        <v>1.4545454545454675</v>
      </c>
      <c r="P15" s="46">
        <f>H3-B16</f>
        <v>1.4545454545454675</v>
      </c>
      <c r="Q15" s="46">
        <f>I3-B16</f>
        <v>0.45454545454546746</v>
      </c>
      <c r="R15" s="46">
        <f>J3-B16</f>
        <v>-0.54545454545453254</v>
      </c>
      <c r="S15" s="46">
        <f>K3-B16</f>
        <v>-2.5454545454545325</v>
      </c>
      <c r="T15" s="43">
        <f>L3-B16</f>
        <v>10.454545454545467</v>
      </c>
    </row>
    <row r="16" spans="1:20" x14ac:dyDescent="0.25">
      <c r="A16" s="63" t="s">
        <v>15</v>
      </c>
      <c r="B16" s="67">
        <f>SUM(A3:K3)/11</f>
        <v>223.54545454545453</v>
      </c>
      <c r="C16" s="46"/>
      <c r="D16" s="63" t="s">
        <v>115</v>
      </c>
      <c r="E16" s="67" cm="1">
        <f t="array" ref="E16">MAX((A3:K3)-B16)/B17</f>
        <v>0.91853307524288463</v>
      </c>
      <c r="H16" s="10" t="s">
        <v>110</v>
      </c>
      <c r="I16" s="46">
        <f>A8-B20</f>
        <v>-1.8181818181801646E-2</v>
      </c>
      <c r="J16" s="46">
        <f>B8-B20</f>
        <v>-8.1818181818107405E-3</v>
      </c>
      <c r="K16" s="46">
        <f>C8-B20</f>
        <v>-8.1818181818107405E-3</v>
      </c>
      <c r="L16" s="46">
        <f>D8-B20</f>
        <v>1.8181818181801646E-3</v>
      </c>
      <c r="M16" s="46">
        <f>E8-B20</f>
        <v>1.8181818181801646E-3</v>
      </c>
      <c r="N16" s="46">
        <f>F8-B20</f>
        <v>2.1818181818190396E-2</v>
      </c>
      <c r="O16" s="46">
        <f>G8-B20</f>
        <v>1.1818181818199491E-2</v>
      </c>
      <c r="P16" s="46">
        <f>H8-B20</f>
        <v>1.8181818181801646E-3</v>
      </c>
      <c r="Q16" s="46">
        <f>I8-B20</f>
        <v>1.8181818181801646E-3</v>
      </c>
      <c r="R16" s="46">
        <f>J8-B20</f>
        <v>-8.1818181818107405E-3</v>
      </c>
      <c r="S16" s="46">
        <f>K8-B20</f>
        <v>1.8181818181801646E-3</v>
      </c>
      <c r="T16" s="43">
        <f>L8-B20</f>
        <v>8.9918181818181893</v>
      </c>
    </row>
    <row r="17" spans="1:19" x14ac:dyDescent="0.25">
      <c r="A17" s="63" t="s">
        <v>82</v>
      </c>
      <c r="B17" s="67">
        <f>SQRT(SUM(I13:S13)/10)</f>
        <v>1.5835526163941858</v>
      </c>
      <c r="C17" s="46"/>
      <c r="D17" s="63" t="s">
        <v>95</v>
      </c>
      <c r="E17" s="67" cm="1">
        <f t="array" ref="E17">MAX((A8:L8)-B12)/B14</f>
        <v>3.1754015530980571</v>
      </c>
    </row>
    <row r="18" spans="1:19" x14ac:dyDescent="0.25">
      <c r="A18" s="46"/>
      <c r="B18" s="46"/>
      <c r="C18" s="46"/>
      <c r="D18" s="63" t="s">
        <v>117</v>
      </c>
      <c r="E18" s="46"/>
      <c r="I18" s="47">
        <f>(ABS(J16))+(ABS(K16))+(ABS(L16))+(ABS(M16))+(ABS(N16))+(ABS(O16))+(ABS(P16))+(ABS(Q16))+(ABS(R16))+(ABS(S16))+(ABS(I16))</f>
        <v>8.5454545454524578E-2</v>
      </c>
    </row>
    <row r="19" spans="1:19" x14ac:dyDescent="0.25">
      <c r="A19" s="64" t="s">
        <v>90</v>
      </c>
      <c r="B19" s="64"/>
      <c r="C19" s="64"/>
      <c r="D19" s="64"/>
      <c r="E19" s="64"/>
      <c r="G19" s="66" t="s">
        <v>111</v>
      </c>
      <c r="H19" s="66" t="s">
        <v>98</v>
      </c>
      <c r="I19" s="66" t="s">
        <v>99</v>
      </c>
      <c r="J19" s="66" t="s">
        <v>118</v>
      </c>
      <c r="K19" s="66" t="s">
        <v>119</v>
      </c>
      <c r="L19" s="66" t="s">
        <v>120</v>
      </c>
      <c r="M19" s="66" t="s">
        <v>103</v>
      </c>
      <c r="N19" s="66" t="s">
        <v>121</v>
      </c>
      <c r="O19" s="66" t="s">
        <v>122</v>
      </c>
      <c r="P19" s="66" t="s">
        <v>123</v>
      </c>
      <c r="Q19" s="66" t="s">
        <v>124</v>
      </c>
      <c r="R19" s="66" t="s">
        <v>106</v>
      </c>
      <c r="S19" s="66" t="s">
        <v>125</v>
      </c>
    </row>
    <row r="20" spans="1:19" x14ac:dyDescent="0.25">
      <c r="A20" s="63" t="s">
        <v>17</v>
      </c>
      <c r="B20" s="67">
        <f>SUM(A8:K8)/11</f>
        <v>224.03818181818181</v>
      </c>
      <c r="C20" s="46"/>
      <c r="D20" s="63" t="s">
        <v>95</v>
      </c>
      <c r="E20" s="67" cm="1">
        <f t="array" ref="E20">MAX((A8:K8)-B20)/B21</f>
        <v>2.7759717079578784E-2</v>
      </c>
      <c r="G20" s="59">
        <v>2.33</v>
      </c>
      <c r="H20" s="59">
        <f>0.545/SQRT(11*SUM(I13:S13))</f>
        <v>3.2814641317197461E-2</v>
      </c>
      <c r="I20" s="59">
        <f>I18/SQRT(11*SUM(I14:S14))</f>
        <v>1.0366575258333E-2</v>
      </c>
      <c r="J20" s="59">
        <f>G20*B17</f>
        <v>3.6896775961984529</v>
      </c>
      <c r="K20" s="59">
        <f>G20*B21</f>
        <v>1.8312997748014153</v>
      </c>
      <c r="L20" s="59">
        <f>B16-B20</f>
        <v>-0.49272727272727934</v>
      </c>
      <c r="M20" s="59">
        <f>SQRT((B17^2/11)+(B21^2/11))</f>
        <v>0.53303426155351497</v>
      </c>
      <c r="N20" s="59">
        <f>B17^2/B21^2</f>
        <v>4.0593636118463099</v>
      </c>
      <c r="O20" s="59">
        <f>0.58^2/B17^2</f>
        <v>0.1341500969260602</v>
      </c>
      <c r="P20" s="59">
        <f>0.78622^2/B21^2</f>
        <v>1.0006475413374893</v>
      </c>
      <c r="Q20" s="59">
        <f>(O20*B16+P20*B20)/(O20+P20)</f>
        <v>223.97993406618997</v>
      </c>
      <c r="R20" s="59">
        <f>SQRT(O20*(B16-Q20)^2+P20*(B20-Q20)^2)</f>
        <v>0.16946634056227422</v>
      </c>
      <c r="S20" s="59">
        <f>R20/SQRT(O20+P20)</f>
        <v>0.15908317123229501</v>
      </c>
    </row>
    <row r="21" spans="1:19" x14ac:dyDescent="0.25">
      <c r="A21" s="63" t="s">
        <v>83</v>
      </c>
      <c r="B21" s="67">
        <f>SQRT(SUM(I14:S14)/10)</f>
        <v>0.78596556858429834</v>
      </c>
      <c r="C21" s="46"/>
      <c r="D21" s="46"/>
      <c r="E21" s="46"/>
    </row>
    <row r="23" spans="1:19" x14ac:dyDescent="0.25">
      <c r="A23" s="5" t="s">
        <v>20</v>
      </c>
      <c r="B23" s="5"/>
      <c r="C23" s="5"/>
    </row>
    <row r="24" spans="1:19" x14ac:dyDescent="0.25">
      <c r="A24" s="5" t="s">
        <v>133</v>
      </c>
      <c r="B24" s="5"/>
      <c r="C24" s="5"/>
    </row>
  </sheetData>
  <mergeCells count="2">
    <mergeCell ref="A1:L1"/>
    <mergeCell ref="A6:L6"/>
  </mergeCells>
  <phoneticPr fontId="9" type="noConversion"/>
  <pageMargins left="0.7" right="0.7" top="0.75" bottom="0.75" header="0.3" footer="0.3"/>
  <ignoredErrors>
    <ignoredError sqref="E16 B16 E20 B20" formulaRange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практ 1</vt:lpstr>
      <vt:lpstr>прак 2</vt:lpstr>
      <vt:lpstr>прак 3</vt:lpstr>
      <vt:lpstr>прак 4</vt:lpstr>
      <vt:lpstr>прак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Панов</dc:creator>
  <cp:lastModifiedBy>Кравченко Андрей</cp:lastModifiedBy>
  <dcterms:created xsi:type="dcterms:W3CDTF">2015-06-05T18:19:34Z</dcterms:created>
  <dcterms:modified xsi:type="dcterms:W3CDTF">2023-12-08T01:11:44Z</dcterms:modified>
</cp:coreProperties>
</file>