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rte\OneDrive\Рабочий стол\"/>
    </mc:Choice>
  </mc:AlternateContent>
  <xr:revisionPtr revIDLastSave="0" documentId="13_ncr:1_{9073656C-CA23-4C90-B82D-83D3FB16457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практ 1" sheetId="1" r:id="rId1"/>
    <sheet name="прак 2" sheetId="2" r:id="rId2"/>
    <sheet name="прак 3" sheetId="3" r:id="rId3"/>
    <sheet name="прак 4" sheetId="4" r:id="rId4"/>
    <sheet name="прак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5" l="1"/>
  <c r="R20" i="5"/>
  <c r="Q20" i="5"/>
  <c r="O20" i="5"/>
  <c r="P20" i="5"/>
  <c r="N20" i="5"/>
  <c r="M20" i="5"/>
  <c r="L20" i="5"/>
  <c r="K20" i="5"/>
  <c r="J20" i="5"/>
  <c r="I20" i="5"/>
  <c r="I18" i="5"/>
  <c r="H20" i="5"/>
  <c r="T16" i="5"/>
  <c r="S16" i="5"/>
  <c r="R16" i="5"/>
  <c r="Q16" i="5"/>
  <c r="P16" i="5"/>
  <c r="O16" i="5"/>
  <c r="N16" i="5"/>
  <c r="M16" i="5"/>
  <c r="L16" i="5"/>
  <c r="K16" i="5"/>
  <c r="J16" i="5"/>
  <c r="I16" i="5"/>
  <c r="T15" i="5"/>
  <c r="S15" i="5"/>
  <c r="R15" i="5"/>
  <c r="Q15" i="5"/>
  <c r="P15" i="5"/>
  <c r="O15" i="5"/>
  <c r="N15" i="5"/>
  <c r="M15" i="5"/>
  <c r="L15" i="5"/>
  <c r="K15" i="5"/>
  <c r="J15" i="5"/>
  <c r="I15" i="5"/>
  <c r="E20" i="5" a="1"/>
  <c r="E20" i="5"/>
  <c r="B21" i="5"/>
  <c r="B20" i="5"/>
  <c r="E17" i="5" a="1"/>
  <c r="E17" i="5" s="1"/>
  <c r="E16" i="5" a="1"/>
  <c r="E16" i="5" s="1"/>
  <c r="B17" i="5"/>
  <c r="B16" i="5"/>
  <c r="E11" i="5" a="1"/>
  <c r="E11" i="5" s="1"/>
  <c r="B14" i="5"/>
  <c r="B13" i="5"/>
  <c r="T14" i="5"/>
  <c r="S14" i="5"/>
  <c r="R14" i="5"/>
  <c r="Q14" i="5"/>
  <c r="P14" i="5"/>
  <c r="O14" i="5"/>
  <c r="N14" i="5"/>
  <c r="M14" i="5"/>
  <c r="L14" i="5"/>
  <c r="K14" i="5"/>
  <c r="J14" i="5"/>
  <c r="I14" i="5"/>
  <c r="T13" i="5"/>
  <c r="S13" i="5"/>
  <c r="R13" i="5"/>
  <c r="Q13" i="5"/>
  <c r="P13" i="5"/>
  <c r="O13" i="5"/>
  <c r="N13" i="5"/>
  <c r="M13" i="5"/>
  <c r="L13" i="5"/>
  <c r="K13" i="5"/>
  <c r="J13" i="5"/>
  <c r="I13" i="5"/>
  <c r="B12" i="5"/>
  <c r="B11" i="5"/>
  <c r="M11" i="5"/>
  <c r="M10" i="5"/>
  <c r="S18" i="4"/>
  <c r="R18" i="4"/>
  <c r="Q18" i="4"/>
  <c r="P18" i="4"/>
  <c r="O18" i="4"/>
  <c r="N18" i="4"/>
  <c r="M18" i="4"/>
  <c r="L18" i="4"/>
  <c r="K18" i="4"/>
  <c r="J18" i="4"/>
  <c r="I18" i="4"/>
  <c r="X25" i="4"/>
  <c r="W25" i="4"/>
  <c r="V25" i="4"/>
  <c r="U25" i="4"/>
  <c r="T25" i="4"/>
  <c r="S25" i="4"/>
  <c r="R25" i="4"/>
  <c r="Q25" i="4"/>
  <c r="P25" i="4"/>
  <c r="O25" i="4"/>
  <c r="N25" i="4"/>
  <c r="M25" i="4"/>
  <c r="X24" i="4"/>
  <c r="W24" i="4"/>
  <c r="V24" i="4"/>
  <c r="U24" i="4"/>
  <c r="T24" i="4"/>
  <c r="S24" i="4"/>
  <c r="R24" i="4"/>
  <c r="Q24" i="4"/>
  <c r="P24" i="4"/>
  <c r="O24" i="4"/>
  <c r="N24" i="4"/>
  <c r="M24" i="4"/>
  <c r="E22" i="4" a="1"/>
  <c r="E22" i="4" s="1"/>
  <c r="E21" i="4"/>
  <c r="B21" i="4"/>
  <c r="E18" i="4"/>
  <c r="E15" i="4"/>
  <c r="E14" i="4"/>
  <c r="B14" i="4"/>
  <c r="E11" i="4"/>
  <c r="E10" i="4"/>
  <c r="E9" i="4"/>
  <c r="X14" i="4"/>
  <c r="W14" i="4"/>
  <c r="V14" i="4"/>
  <c r="U14" i="4"/>
  <c r="T14" i="4"/>
  <c r="S14" i="4"/>
  <c r="R14" i="4"/>
  <c r="Q14" i="4"/>
  <c r="P14" i="4"/>
  <c r="O14" i="4"/>
  <c r="N14" i="4"/>
  <c r="M14" i="4"/>
  <c r="X13" i="4"/>
  <c r="W13" i="4"/>
  <c r="V13" i="4"/>
  <c r="U13" i="4"/>
  <c r="T13" i="4"/>
  <c r="S13" i="4"/>
  <c r="R13" i="4"/>
  <c r="Q13" i="4"/>
  <c r="P13" i="4"/>
  <c r="O13" i="4"/>
  <c r="N13" i="4"/>
  <c r="M13" i="4"/>
  <c r="B10" i="4"/>
  <c r="B9" i="4"/>
  <c r="O9" i="4"/>
  <c r="O8" i="4"/>
  <c r="N21" i="3"/>
  <c r="B16" i="3"/>
  <c r="H19" i="3" s="1"/>
  <c r="N19" i="3" s="1"/>
  <c r="B15" i="3"/>
  <c r="H18" i="3"/>
  <c r="N18" i="3" s="1"/>
  <c r="K18" i="3"/>
  <c r="E19" i="3"/>
  <c r="E18" i="3"/>
  <c r="E15" i="3"/>
  <c r="B13" i="3"/>
  <c r="B12" i="3"/>
  <c r="B9" i="3"/>
  <c r="B8" i="3"/>
  <c r="J11" i="2"/>
  <c r="J10" i="2"/>
  <c r="J9" i="2"/>
  <c r="H16" i="2"/>
  <c r="E31" i="2"/>
  <c r="E30" i="2"/>
  <c r="E29" i="2"/>
  <c r="E28" i="2"/>
  <c r="E27" i="2"/>
  <c r="E26" i="2"/>
  <c r="E25" i="2"/>
  <c r="E24" i="2"/>
  <c r="E23" i="2"/>
  <c r="E22" i="2"/>
  <c r="E16" i="2"/>
  <c r="E21" i="2"/>
  <c r="E17" i="2"/>
  <c r="E20" i="2"/>
  <c r="E19" i="2"/>
  <c r="E18" i="2"/>
  <c r="J8" i="2"/>
  <c r="K9" i="1"/>
  <c r="K8" i="1"/>
  <c r="K6" i="1"/>
  <c r="K5" i="1"/>
  <c r="K4" i="1"/>
  <c r="K1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<sst xmlns="http://schemas.openxmlformats.org/spreadsheetml/2006/main" count="235" uniqueCount="132">
  <si>
    <t>(xi-X)^2</t>
  </si>
  <si>
    <t>X=</t>
  </si>
  <si>
    <t>U=</t>
  </si>
  <si>
    <t>I=</t>
  </si>
  <si>
    <t>Su=</t>
  </si>
  <si>
    <t>Si=</t>
  </si>
  <si>
    <t>Bu=</t>
  </si>
  <si>
    <t>Bi=</t>
  </si>
  <si>
    <t>Du=</t>
  </si>
  <si>
    <t>Вариант 12</t>
  </si>
  <si>
    <t>показание прибора</t>
  </si>
  <si>
    <t>пределы измерений</t>
  </si>
  <si>
    <t>класс точности</t>
  </si>
  <si>
    <t>погрешность градуировки</t>
  </si>
  <si>
    <t>Решение:</t>
  </si>
  <si>
    <t>delta =</t>
  </si>
  <si>
    <t>x1=</t>
  </si>
  <si>
    <t>x2</t>
  </si>
  <si>
    <t>x2=</t>
  </si>
  <si>
    <t>X1 =</t>
  </si>
  <si>
    <t>X2 =</t>
  </si>
  <si>
    <t>Ответ:</t>
  </si>
  <si>
    <t>X1 &lt;= X &lt;= X2</t>
  </si>
  <si>
    <t>88,44 &lt;= X &lt;= 89,16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</si>
  <si>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</si>
  <si>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</si>
  <si>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</si>
  <si>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</si>
  <si>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</si>
  <si>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</si>
  <si>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</si>
  <si>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</si>
  <si>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</si>
  <si>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</si>
  <si>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</si>
  <si>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</si>
  <si>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</si>
  <si>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</si>
  <si>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</si>
  <si>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Sx=</t>
  </si>
  <si>
    <t>Сумма</t>
  </si>
  <si>
    <t>Кд=</t>
  </si>
  <si>
    <t>Delta=</t>
  </si>
  <si>
    <t>по возрастанию</t>
  </si>
  <si>
    <t>4,49375+-0,02381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</si>
  <si>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</si>
  <si>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</si>
  <si>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</si>
  <si>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</si>
  <si>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</si>
  <si>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</si>
  <si>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</si>
  <si>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</si>
  <si>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</si>
  <si>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</si>
  <si>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</si>
  <si>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</si>
  <si>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</si>
  <si>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</si>
  <si>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</si>
  <si>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</si>
  <si>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</si>
  <si>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</si>
  <si>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</si>
  <si>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</si>
  <si>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</si>
  <si>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</si>
  <si>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</si>
  <si>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</si>
  <si>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Сумма U</t>
  </si>
  <si>
    <t>Сумма I</t>
  </si>
  <si>
    <t>Bu &lt; BqU, следовательно повторно решать не нужно</t>
  </si>
  <si>
    <t>Bi &lt; BqI, следовательно повторно решать не нужно</t>
  </si>
  <si>
    <t>Di=</t>
  </si>
  <si>
    <t>deltaU =</t>
  </si>
  <si>
    <t>deltaI =</t>
  </si>
  <si>
    <t>R =</t>
  </si>
  <si>
    <t>Eu =</t>
  </si>
  <si>
    <t>Ei =</t>
  </si>
  <si>
    <t>E =</t>
  </si>
  <si>
    <t>R +- E = 2622,51 +- 191,129 Ом</t>
  </si>
  <si>
    <t>nu = 12, n1 = 12</t>
  </si>
  <si>
    <t>P= 0,95</t>
  </si>
  <si>
    <t>j1</t>
  </si>
  <si>
    <t>j2</t>
  </si>
  <si>
    <t>сумма</t>
  </si>
  <si>
    <t>s1=</t>
  </si>
  <si>
    <t>s2=</t>
  </si>
  <si>
    <t>x1^2</t>
  </si>
  <si>
    <t>x2^2</t>
  </si>
  <si>
    <t>B1=</t>
  </si>
  <si>
    <t>B1&gt;Bq, делаем дальше</t>
  </si>
  <si>
    <t>1)</t>
  </si>
  <si>
    <t>2)</t>
  </si>
  <si>
    <t>3)</t>
  </si>
  <si>
    <t>B1&lt;Bq</t>
  </si>
  <si>
    <t>B2=</t>
  </si>
  <si>
    <t>B2&gt;Bq</t>
  </si>
  <si>
    <t>4)</t>
  </si>
  <si>
    <t>b2=</t>
  </si>
  <si>
    <t>b2&lt;bq</t>
  </si>
  <si>
    <t>5)</t>
  </si>
  <si>
    <t>d1</t>
  </si>
  <si>
    <t>d2</t>
  </si>
  <si>
    <t>E1</t>
  </si>
  <si>
    <t>E2</t>
  </si>
  <si>
    <t>G</t>
  </si>
  <si>
    <t>Sg</t>
  </si>
  <si>
    <t>F</t>
  </si>
  <si>
    <t>x</t>
  </si>
  <si>
    <t>S</t>
  </si>
  <si>
    <t>m</t>
  </si>
  <si>
    <t>deltaP</t>
  </si>
  <si>
    <t>xi-x1</t>
  </si>
  <si>
    <t>xi-x2</t>
  </si>
  <si>
    <t>t</t>
  </si>
  <si>
    <t>Ответ</t>
  </si>
  <si>
    <t>x+-DeltaP = 482,545+-0,735</t>
  </si>
  <si>
    <t>j1 sym</t>
  </si>
  <si>
    <t>j2 sym</t>
  </si>
  <si>
    <t>b1=</t>
  </si>
  <si>
    <t>b1&gt;bq</t>
  </si>
  <si>
    <t>b2&gt;bq</t>
  </si>
  <si>
    <t>e1</t>
  </si>
  <si>
    <t>e2</t>
  </si>
  <si>
    <t>g</t>
  </si>
  <si>
    <t>f</t>
  </si>
  <si>
    <t>p1</t>
  </si>
  <si>
    <t>p2</t>
  </si>
  <si>
    <t>Xp</t>
  </si>
  <si>
    <t>Sxp</t>
  </si>
  <si>
    <t>x = Xp +-Sxp = 482,96 +- 0,155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</si>
</sst>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5" borderId="4" applyNumberFormat="0" applyFont="0" applyAlignment="0" applyProtection="0"/>
    <xf numFmtId="0" fontId="6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6" applyNumberFormat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</cellStyleXfs>
  <cellXfs count="24">
    <xf numFmtId="0" fontId="0" fillId="0" borderId="0" xfId="0"/>
    <xf numFmtId="0" fontId="3" fillId="4" borderId="2" xfId="3"/>
    <xf numFmtId="0" fontId="4" fillId="4" borderId="1" xfId="4"/>
    <xf numFmtId="0" fontId="1" fillId="2" borderId="0" xfId="1"/>
    <xf numFmtId="0" fontId="2" fillId="3" borderId="0" xfId="2"/>
    <xf numFmtId="0" fontId="7" fillId="4" borderId="1" xfId="4" applyFont="1"/>
    <xf numFmtId="0" fontId="4" fillId="4" borderId="5" xfId="4" applyBorder="1"/>
    <xf numFmtId="0" fontId="4" fillId="4" borderId="3" xfId="4" applyBorder="1"/>
    <xf numFmtId="0" fontId="4" fillId="5" borderId="3" xfId="5" applyFont="1" applyBorder="1"/>
    <xf numFmtId="0" fontId="0" fillId="5" borderId="3" xfId="5" applyFont="1" applyBorder="1"/>
    <xf numFmtId="0" fontId="1" fillId="2" borderId="3" xfId="1" applyBorder="1"/>
    <xf numFmtId="0" fontId="9" fillId="3" borderId="0" xfId="2" applyFont="1"/>
    <xf numFmtId="0" fontId="2" fillId="3" borderId="3" xfId="2" applyBorder="1"/>
    <xf numFmtId="0" fontId="10" fillId="7" borderId="2" xfId="7" applyBorder="1"/>
    <xf numFmtId="0" fontId="10" fillId="7" borderId="0" xfId="7"/>
    <xf numFmtId="0" fontId="0" fillId="5" borderId="4" xfId="5" applyFont="1"/>
    <xf numFmtId="0" fontId="6" fillId="10" borderId="3" xfId="10" applyBorder="1"/>
    <xf numFmtId="0" fontId="10" fillId="7" borderId="1" xfId="7" applyBorder="1"/>
    <xf numFmtId="0" fontId="11" fillId="8" borderId="6" xfId="8"/>
    <xf numFmtId="0" fontId="6" fillId="9" borderId="3" xfId="9" applyBorder="1"/>
    <xf numFmtId="0" fontId="6" fillId="6" borderId="0" xfId="6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1">
    <cellStyle name="Акцент2" xfId="6" builtinId="33"/>
    <cellStyle name="Акцент4" xfId="9" builtinId="41"/>
    <cellStyle name="Акцент6" xfId="10" builtinId="49"/>
    <cellStyle name="Вывод" xfId="3" builtinId="21"/>
    <cellStyle name="Вычисление" xfId="4" builtinId="22"/>
    <cellStyle name="Контрольная ячейка" xfId="8" builtinId="23"/>
    <cellStyle name="Нейтральный" xfId="2" builtinId="28"/>
    <cellStyle name="Обычный" xfId="0" builtinId="0"/>
    <cellStyle name="Плохой" xfId="7" builtinId="27"/>
    <cellStyle name="Примечание" xfId="5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53767</xdr:colOff>
      <xdr:row>13</xdr:row>
      <xdr:rowOff>160240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E597A67-5636-190E-7074-426F55245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96444" y="-1196444"/>
          <a:ext cx="2537680" cy="49305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367553</xdr:colOff>
      <xdr:row>11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57A5D5-CB22-8A01-69BD-BFC2E610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67200" cy="2010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555811</xdr:colOff>
      <xdr:row>0</xdr:row>
      <xdr:rowOff>0</xdr:rowOff>
    </xdr:from>
    <xdr:to>
      <xdr:col>26</xdr:col>
      <xdr:colOff>168584</xdr:colOff>
      <xdr:row>7</xdr:row>
      <xdr:rowOff>125506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AC5CE4-45F2-600F-535C-E5ED1B6D3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0611" y="0"/>
          <a:ext cx="7537573" cy="13805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</xdr:colOff>
      <xdr:row>0</xdr:row>
      <xdr:rowOff>0</xdr:rowOff>
    </xdr:from>
    <xdr:to>
      <xdr:col>21</xdr:col>
      <xdr:colOff>335625</xdr:colOff>
      <xdr:row>5</xdr:row>
      <xdr:rowOff>103646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463B63B-16C3-E17C-DA2E-3B3A8188F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920" y="0"/>
          <a:ext cx="5776305" cy="10180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22951</xdr:colOff>
      <xdr:row>0</xdr:row>
      <xdr:rowOff>38100</xdr:rowOff>
    </xdr:from>
    <xdr:to>
      <xdr:col>23</xdr:col>
      <xdr:colOff>91786</xdr:colOff>
      <xdr:row>6</xdr:row>
      <xdr:rowOff>91440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878AC3-2558-F78D-17B1-C51D64C14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8151" y="38100"/>
          <a:ext cx="6774435" cy="115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M18" sqref="M18"/>
    </sheetView>
  </sheetViews>
  <sheetFormatPr defaultRowHeight="14.4" x14ac:dyDescent="0.3"/>
  <sheetData>
    <row r="1" spans="1:11" x14ac:dyDescent="0.3">
      <c r="J1" s="20" t="s">
        <v>9</v>
      </c>
      <c r="K1" s="20"/>
    </row>
    <row r="3" spans="1:11" x14ac:dyDescent="0.3">
      <c r="J3" t="s">
        <v>14</v>
      </c>
    </row>
    <row r="4" spans="1:11" x14ac:dyDescent="0.3">
      <c r="J4" t="s">
        <v>15</v>
      </c>
      <c r="K4">
        <f>(D17*D18)/100</f>
        <v>0.36</v>
      </c>
    </row>
    <row r="5" spans="1:11" x14ac:dyDescent="0.3">
      <c r="J5" t="s">
        <v>16</v>
      </c>
      <c r="K5" s="2">
        <f>D16-K4</f>
        <v>88.64</v>
      </c>
    </row>
    <row r="6" spans="1:11" x14ac:dyDescent="0.3">
      <c r="J6" t="s">
        <v>18</v>
      </c>
      <c r="K6" s="2">
        <f>D16+K4</f>
        <v>89.36</v>
      </c>
    </row>
    <row r="8" spans="1:11" x14ac:dyDescent="0.3">
      <c r="J8" t="s">
        <v>19</v>
      </c>
      <c r="K8" s="2">
        <f>K5+D19</f>
        <v>88.44</v>
      </c>
    </row>
    <row r="9" spans="1:11" x14ac:dyDescent="0.3">
      <c r="J9" t="s">
        <v>20</v>
      </c>
      <c r="K9" s="2">
        <f>K6+D19</f>
        <v>89.16</v>
      </c>
    </row>
    <row r="11" spans="1:11" x14ac:dyDescent="0.3">
      <c r="J11" t="s">
        <v>21</v>
      </c>
    </row>
    <row r="12" spans="1:11" x14ac:dyDescent="0.3">
      <c r="J12" s="22" t="s">
        <v>22</v>
      </c>
      <c r="K12" s="22"/>
    </row>
    <row r="13" spans="1:11" x14ac:dyDescent="0.3">
      <c r="J13" s="22" t="s">
        <v>23</v>
      </c>
      <c r="K13" s="22"/>
    </row>
    <row r="16" spans="1:11" x14ac:dyDescent="0.3">
      <c r="A16" s="21" t="s">
        <v>10</v>
      </c>
      <c r="B16" s="21"/>
      <c r="C16" s="21"/>
      <c r="D16" s="4">
        <v>89</v>
      </c>
    </row>
    <row r="17" spans="1:4" x14ac:dyDescent="0.3">
      <c r="A17" s="21" t="s">
        <v>11</v>
      </c>
      <c r="B17" s="21"/>
      <c r="C17" s="21"/>
      <c r="D17" s="4">
        <v>90</v>
      </c>
    </row>
    <row r="18" spans="1:4" x14ac:dyDescent="0.3">
      <c r="A18" s="21" t="s">
        <v>12</v>
      </c>
      <c r="B18" s="21"/>
      <c r="C18" s="21"/>
      <c r="D18" s="4">
        <v>0.4</v>
      </c>
    </row>
    <row r="19" spans="1:4" x14ac:dyDescent="0.3">
      <c r="A19" s="21" t="s">
        <v>13</v>
      </c>
      <c r="B19" s="21"/>
      <c r="C19" s="21"/>
      <c r="D19" s="4">
        <v>-0.2</v>
      </c>
    </row>
  </sheetData>
  <mergeCells count="7">
    <mergeCell ref="J1:K1"/>
    <mergeCell ref="A16:C16"/>
    <mergeCell ref="A17:C17"/>
    <mergeCell ref="A18:C18"/>
    <mergeCell ref="A19:C19"/>
    <mergeCell ref="J12:K12"/>
    <mergeCell ref="J13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B37-11AF-4613-8C42-F40F77826407}">
  <dimension ref="B1:W31"/>
  <sheetViews>
    <sheetView zoomScale="85" zoomScaleNormal="85" workbookViewId="0">
      <selection activeCell="N21" sqref="N21"/>
    </sheetView>
  </sheetViews>
  <sheetFormatPr defaultRowHeight="14.4" x14ac:dyDescent="0.3"/>
  <cols>
    <col min="2" max="3" width="8.88671875" customWidth="1"/>
    <col min="5" max="5" width="12.44140625" bestFit="1" customWidth="1"/>
  </cols>
  <sheetData>
    <row r="1" spans="4:23" x14ac:dyDescent="0.3">
      <c r="H1" s="1" t="s">
        <v>24</v>
      </c>
      <c r="I1" s="1" t="s">
        <v>17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4:23" x14ac:dyDescent="0.3">
      <c r="H2">
        <v>4.5</v>
      </c>
      <c r="I2">
        <v>4.3</v>
      </c>
      <c r="J2">
        <v>4.0999999999999996</v>
      </c>
      <c r="K2">
        <v>4.8</v>
      </c>
      <c r="L2">
        <v>4.5999999999999996</v>
      </c>
      <c r="M2">
        <v>4.5</v>
      </c>
      <c r="N2">
        <v>4.4000000000000004</v>
      </c>
      <c r="O2">
        <v>4.5999999999999996</v>
      </c>
      <c r="P2">
        <v>4.3</v>
      </c>
      <c r="Q2">
        <v>4.5</v>
      </c>
      <c r="R2">
        <v>4.3</v>
      </c>
      <c r="S2">
        <v>4.4000000000000004</v>
      </c>
      <c r="T2">
        <v>4.5</v>
      </c>
      <c r="U2">
        <v>4.7</v>
      </c>
      <c r="V2">
        <v>5.2</v>
      </c>
      <c r="W2">
        <v>4.2</v>
      </c>
    </row>
    <row r="7" spans="4:23" x14ac:dyDescent="0.3">
      <c r="I7" t="s">
        <v>14</v>
      </c>
      <c r="M7" t="s">
        <v>43</v>
      </c>
    </row>
    <row r="8" spans="4:23" x14ac:dyDescent="0.3">
      <c r="I8" s="2" t="s">
        <v>1</v>
      </c>
      <c r="J8" s="5">
        <f>1/16*(H2+I2+J2+K2+L2+M2+N2+O2+P2+Q2+R2+S2+T2+U2+V2+W2)</f>
        <v>4.4937499999999995</v>
      </c>
      <c r="M8" s="1">
        <v>4.0999999999999996</v>
      </c>
    </row>
    <row r="9" spans="4:23" x14ac:dyDescent="0.3">
      <c r="I9" s="2" t="s">
        <v>39</v>
      </c>
      <c r="J9" s="5">
        <f>SQRT((1/15)*H16)</f>
        <v>0.26196373794859473</v>
      </c>
      <c r="M9" s="1">
        <v>4.2</v>
      </c>
    </row>
    <row r="10" spans="4:23" x14ac:dyDescent="0.3">
      <c r="I10" s="2" t="s">
        <v>41</v>
      </c>
      <c r="J10" s="5">
        <f>(M16-M15)/(M16-M8)</f>
        <v>0.36363636363636376</v>
      </c>
      <c r="M10" s="1">
        <v>4.3</v>
      </c>
    </row>
    <row r="11" spans="4:23" x14ac:dyDescent="0.3">
      <c r="I11" s="6" t="s">
        <v>42</v>
      </c>
      <c r="J11" s="5">
        <f>J10*(J9/SQRT(16))</f>
        <v>2.3814885268054073E-2</v>
      </c>
      <c r="M11" s="1">
        <v>4.4000000000000004</v>
      </c>
    </row>
    <row r="12" spans="4:23" x14ac:dyDescent="0.3">
      <c r="I12" s="7" t="s">
        <v>21</v>
      </c>
      <c r="M12" s="1">
        <v>4.5</v>
      </c>
    </row>
    <row r="13" spans="4:23" x14ac:dyDescent="0.3">
      <c r="I13" s="8" t="s">
        <v>44</v>
      </c>
      <c r="J13" s="9"/>
      <c r="M13" s="1">
        <v>4.5999999999999996</v>
      </c>
    </row>
    <row r="14" spans="4:23" x14ac:dyDescent="0.3">
      <c r="M14" s="1">
        <v>4.7</v>
      </c>
    </row>
    <row r="15" spans="4:23" x14ac:dyDescent="0.3">
      <c r="D15" s="1"/>
      <c r="E15" s="1" t="s">
        <v>0</v>
      </c>
      <c r="M15" s="1">
        <v>4.8</v>
      </c>
    </row>
    <row r="16" spans="4:23" x14ac:dyDescent="0.3">
      <c r="D16" s="1" t="s">
        <v>24</v>
      </c>
      <c r="E16" s="1">
        <f>(H2-$J$8)^2</f>
        <v>3.9062500000006662E-5</v>
      </c>
      <c r="G16" t="s">
        <v>40</v>
      </c>
      <c r="H16">
        <f>E16+E17+E18+E19+E20+E21+E22+E23+E24+E25+E26+E27+E28+E29+E30+E31</f>
        <v>1.0293750000000004</v>
      </c>
      <c r="M16" s="1">
        <v>5.2</v>
      </c>
    </row>
    <row r="17" spans="2:5" x14ac:dyDescent="0.3">
      <c r="D17" s="1" t="s">
        <v>17</v>
      </c>
      <c r="E17" s="1">
        <f>(I2-$J$8)^2</f>
        <v>3.7539062499999859E-2</v>
      </c>
    </row>
    <row r="18" spans="2:5" x14ac:dyDescent="0.3">
      <c r="D18" s="1" t="s">
        <v>25</v>
      </c>
      <c r="E18" s="1">
        <f>(J2-$J$8)^2</f>
        <v>0.15503906249999985</v>
      </c>
    </row>
    <row r="19" spans="2:5" x14ac:dyDescent="0.3">
      <c r="D19" s="1" t="s">
        <v>26</v>
      </c>
      <c r="E19" s="1">
        <f>(K2-$J$8)^2</f>
        <v>9.3789062500000214E-2</v>
      </c>
    </row>
    <row r="20" spans="2:5" x14ac:dyDescent="0.3">
      <c r="D20" s="1" t="s">
        <v>27</v>
      </c>
      <c r="E20" s="1">
        <f>(L2-$J$8)^2</f>
        <v>1.1289062500000037E-2</v>
      </c>
    </row>
    <row r="21" spans="2:5" x14ac:dyDescent="0.3">
      <c r="D21" s="1" t="s">
        <v>28</v>
      </c>
      <c r="E21" s="1">
        <f>(M2-$J$8)^2</f>
        <v>3.9062500000006662E-5</v>
      </c>
    </row>
    <row r="22" spans="2:5" x14ac:dyDescent="0.3">
      <c r="D22" s="1" t="s">
        <v>29</v>
      </c>
      <c r="E22" s="1">
        <f>(N2-$J$8)^2</f>
        <v>8.7890624999998335E-3</v>
      </c>
    </row>
    <row r="23" spans="2:5" x14ac:dyDescent="0.3">
      <c r="D23" s="1" t="s">
        <v>30</v>
      </c>
      <c r="E23" s="1">
        <f>(O2-$J$8)^2</f>
        <v>1.1289062500000037E-2</v>
      </c>
    </row>
    <row r="24" spans="2:5" x14ac:dyDescent="0.3">
      <c r="D24" s="1" t="s">
        <v>31</v>
      </c>
      <c r="E24" s="1">
        <f>(P2-$J$8)^2</f>
        <v>3.7539062499999859E-2</v>
      </c>
    </row>
    <row r="25" spans="2:5" x14ac:dyDescent="0.3">
      <c r="B25" s="23"/>
      <c r="C25" s="23"/>
      <c r="D25" s="1" t="s">
        <v>32</v>
      </c>
      <c r="E25" s="1">
        <f>(Q2-$J$8)^2</f>
        <v>3.9062500000006662E-5</v>
      </c>
    </row>
    <row r="26" spans="2:5" x14ac:dyDescent="0.3">
      <c r="D26" s="1" t="s">
        <v>33</v>
      </c>
      <c r="E26" s="1">
        <f>(R2-$J$8)^2</f>
        <v>3.7539062499999859E-2</v>
      </c>
    </row>
    <row r="27" spans="2:5" x14ac:dyDescent="0.3">
      <c r="D27" s="1" t="s">
        <v>34</v>
      </c>
      <c r="E27" s="1">
        <f>(S2-$J$8)^2</f>
        <v>8.7890624999998335E-3</v>
      </c>
    </row>
    <row r="28" spans="2:5" x14ac:dyDescent="0.3">
      <c r="D28" s="1" t="s">
        <v>35</v>
      </c>
      <c r="E28" s="1">
        <f>(T2-$J$8)^2</f>
        <v>3.9062500000006662E-5</v>
      </c>
    </row>
    <row r="29" spans="2:5" x14ac:dyDescent="0.3">
      <c r="D29" s="1" t="s">
        <v>36</v>
      </c>
      <c r="E29" s="1">
        <f>(U2-$J$8)^2</f>
        <v>4.2539062500000294E-2</v>
      </c>
    </row>
    <row r="30" spans="2:5" x14ac:dyDescent="0.3">
      <c r="D30" s="1" t="s">
        <v>37</v>
      </c>
      <c r="E30" s="1">
        <f>(V2-$J$8)^2</f>
        <v>0.49878906250000099</v>
      </c>
    </row>
    <row r="31" spans="2:5" x14ac:dyDescent="0.3">
      <c r="D31" s="1" t="s">
        <v>38</v>
      </c>
      <c r="E31" s="1">
        <f>(W2-$J$8)^2</f>
        <v>8.6289062499999583E-2</v>
      </c>
    </row>
  </sheetData>
  <mergeCells count="1">
    <mergeCell ref="B25:C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E6B4-6CA3-438E-8B3D-C5D16FBB9BDE}">
  <dimension ref="A1:N26"/>
  <sheetViews>
    <sheetView zoomScale="85" zoomScaleNormal="85" workbookViewId="0">
      <selection activeCell="N21" sqref="N21"/>
    </sheetView>
  </sheetViews>
  <sheetFormatPr defaultRowHeight="14.4" x14ac:dyDescent="0.3"/>
  <cols>
    <col min="2" max="2" width="8.88671875" customWidth="1"/>
    <col min="11" max="11" width="8.88671875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4" x14ac:dyDescent="0.3">
      <c r="A2">
        <v>482</v>
      </c>
      <c r="B2">
        <v>483</v>
      </c>
      <c r="C2">
        <v>484</v>
      </c>
      <c r="D2">
        <v>481</v>
      </c>
      <c r="E2">
        <v>483</v>
      </c>
      <c r="F2">
        <v>482</v>
      </c>
      <c r="G2">
        <v>484</v>
      </c>
      <c r="H2">
        <v>484</v>
      </c>
      <c r="I2">
        <v>483</v>
      </c>
      <c r="J2">
        <v>482</v>
      </c>
      <c r="K2">
        <v>480</v>
      </c>
      <c r="L2">
        <v>493</v>
      </c>
    </row>
    <row r="4" spans="1:14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</row>
    <row r="5" spans="1:14" x14ac:dyDescent="0.3">
      <c r="A5">
        <v>182</v>
      </c>
      <c r="B5">
        <v>183</v>
      </c>
      <c r="C5">
        <v>183</v>
      </c>
      <c r="D5">
        <v>182</v>
      </c>
      <c r="E5">
        <v>183</v>
      </c>
      <c r="F5">
        <v>186</v>
      </c>
      <c r="G5">
        <v>185</v>
      </c>
      <c r="H5">
        <v>184</v>
      </c>
      <c r="I5">
        <v>184</v>
      </c>
      <c r="J5">
        <v>183</v>
      </c>
      <c r="K5">
        <v>184</v>
      </c>
      <c r="L5">
        <v>193</v>
      </c>
    </row>
    <row r="8" spans="1:14" x14ac:dyDescent="0.3">
      <c r="A8" s="10" t="s">
        <v>69</v>
      </c>
      <c r="B8" s="10">
        <f>A2+B2+C2+D2+E2+F2+G2+H2+I2+J2+K2+L2</f>
        <v>5801</v>
      </c>
    </row>
    <row r="9" spans="1:14" x14ac:dyDescent="0.3">
      <c r="A9" s="10" t="s">
        <v>70</v>
      </c>
      <c r="B9" s="10">
        <f>A5+B5+C5+D5+E5+F5+G5+H5+I5+J5+K5+L5</f>
        <v>2212</v>
      </c>
    </row>
    <row r="11" spans="1:14" x14ac:dyDescent="0.3">
      <c r="A11" t="s">
        <v>14</v>
      </c>
    </row>
    <row r="12" spans="1:14" x14ac:dyDescent="0.3">
      <c r="A12" s="1" t="s">
        <v>2</v>
      </c>
      <c r="B12" s="1">
        <f>B8/12</f>
        <v>483.41666666666669</v>
      </c>
    </row>
    <row r="13" spans="1:14" x14ac:dyDescent="0.3">
      <c r="A13" s="1" t="s">
        <v>3</v>
      </c>
      <c r="B13" s="1">
        <f>B9/12</f>
        <v>184.33333333333334</v>
      </c>
    </row>
    <row r="15" spans="1:14" x14ac:dyDescent="0.3">
      <c r="A15" s="3" t="s">
        <v>4</v>
      </c>
      <c r="B15" s="3">
        <f>SQRT(((A2-B12)^2)+((B2-B12)^2)+((C2-B12)^2)+((D2-B12)^2)+((E2-B12)^2)+((F2-B12)^2)+((G2-B12)^2)+((H2-B12)^2)+((I2-B12)^2)+((J2-B12)^2)+((K2-B12)^2)+((L2-B12)^2)/11)</f>
        <v>5.7814794862997978</v>
      </c>
      <c r="D15" s="11" t="s">
        <v>6</v>
      </c>
      <c r="E15" s="11">
        <f>MAX((A2-B12),(B2-B12),(C2-B12),(D2-B12),(E2-B12),(F2-B12),(G2-B12),(H2-B12),(I2-B12),(J2-B12),(K2-B12),(L2-B12),)/B15</f>
        <v>1.6575918596689061</v>
      </c>
      <c r="F15" s="11"/>
      <c r="G15" s="11"/>
      <c r="H15" s="11"/>
      <c r="J15" s="11" t="s">
        <v>7</v>
      </c>
      <c r="K15" s="11">
        <f>MAX((A5-B13),(B5-B13),(C5-B13),(D5-B13),(E5-B13),(F5-B13),(G5-B13),(H5-B13),(I5-B13),(J5-B13),(K5-B13),(L5-B13),)/B16</f>
        <v>1.6267339503421294</v>
      </c>
      <c r="L15" s="11"/>
      <c r="M15" s="11"/>
      <c r="N15" s="11"/>
    </row>
    <row r="16" spans="1:14" x14ac:dyDescent="0.3">
      <c r="A16" s="3" t="s">
        <v>5</v>
      </c>
      <c r="B16" s="3">
        <f>SQRT(((A5-B13)^2)+((B5-B13)^2)+((C5-B13)^2)+((D5-B13)^2)+((E5-B13)^2)+((F5-B13)^2)+((G5-B13)^2)+((H5-B13)^2)+((I5-B13)^2)+((J5-B13)^2)+((K5-B13)^2)+((L5-B13)^2)/11)</f>
        <v>5.3276484853862627</v>
      </c>
      <c r="D16" s="11" t="s">
        <v>71</v>
      </c>
      <c r="E16" s="11"/>
      <c r="F16" s="11"/>
      <c r="G16" s="11"/>
      <c r="H16" s="11"/>
      <c r="J16" s="11" t="s">
        <v>72</v>
      </c>
      <c r="K16" s="11"/>
      <c r="L16" s="11"/>
      <c r="M16" s="11"/>
      <c r="N16" s="11"/>
    </row>
    <row r="18" spans="4:14" x14ac:dyDescent="0.3">
      <c r="D18" t="s">
        <v>8</v>
      </c>
      <c r="E18">
        <f>((ABS(A2-B12))+(ABS(B2-B12))+(ABS(C2-B12))+(ABS(D2-B12))+(ABS(E2-B12))+(ABS(F2-B12))+(ABS(G2-B12))+(ABS(H2-B12))+(ABS(I2-B12))+(ABS(J2-B12))+(ABS(K2-B12))+(ABS(L2-B12)))/SQRT(11*((A2-B12)^2)+((B2-B12)^2)+((C2-B12)^2)+((D2-B12)^2)+((E2-B12)^2)+((F2-B12)^2)+((G2-B12)^2)+((H2-B12)^2)+((I2-B12)^2)+((J2-B12)^2)+((K2-B12)^2)+((L2-B12)^2))</f>
        <v>1.9366421938295224</v>
      </c>
      <c r="G18" t="s">
        <v>74</v>
      </c>
      <c r="H18">
        <f>2.33*B15</f>
        <v>13.470847203078529</v>
      </c>
      <c r="J18" t="s">
        <v>76</v>
      </c>
      <c r="K18">
        <f>(B12*10^-3)/(B13*10^-6)</f>
        <v>2622.5135623869805</v>
      </c>
      <c r="M18" t="s">
        <v>77</v>
      </c>
      <c r="N18">
        <f>(K18/B12)*H18</f>
        <v>73.078737087225306</v>
      </c>
    </row>
    <row r="19" spans="4:14" x14ac:dyDescent="0.3">
      <c r="D19" t="s">
        <v>73</v>
      </c>
      <c r="E19">
        <f>((ABS(A5-B13))+(ABS(B5-B13))+(ABS(C5-B13))+(ABS(D5-B13))+(ABS(E5-B13))+(ABS(F5-B13))+(ABS(G5-B13))+(ABS(H5-B13))+(ABS(I5-B13))+(ABS(J5-B13))+(ABS(K5-B13))+(ABS(L5-B13)))/SQRT(11*((A5-B13)^2)+((B5-B13)^2)+((C5-B13)^2)+((D5-B13)^2)+((E5-B13)^2)+((F5-B13)^2)+((G5-B13)^2)+((H5-B13)^2)+((I5-B13)^2)+((J5-B13)^2)+((K5-B13)^2)+((L5-B13)^2))</f>
        <v>1.7896762770039154</v>
      </c>
      <c r="G19" t="s">
        <v>75</v>
      </c>
      <c r="H19">
        <f>2.33*B16</f>
        <v>12.413420970949993</v>
      </c>
      <c r="M19" t="s">
        <v>78</v>
      </c>
      <c r="N19">
        <f>(K18/B13)*H19</f>
        <v>176.60595760543569</v>
      </c>
    </row>
    <row r="21" spans="4:14" x14ac:dyDescent="0.3">
      <c r="M21" t="s">
        <v>79</v>
      </c>
      <c r="N21">
        <f>SQRT(N18^2+N19^2)</f>
        <v>191.12866366925905</v>
      </c>
    </row>
    <row r="23" spans="4:14" x14ac:dyDescent="0.3">
      <c r="K23" t="s">
        <v>21</v>
      </c>
    </row>
    <row r="24" spans="4:14" x14ac:dyDescent="0.3">
      <c r="K24" t="s">
        <v>80</v>
      </c>
    </row>
    <row r="25" spans="4:14" x14ac:dyDescent="0.3">
      <c r="K25" t="s">
        <v>81</v>
      </c>
    </row>
    <row r="26" spans="4:14" x14ac:dyDescent="0.3">
      <c r="K26" t="s">
        <v>82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0BB-A044-4DB2-854D-8A38F8DDD733}">
  <dimension ref="A1:X27"/>
  <sheetViews>
    <sheetView zoomScale="85" zoomScaleNormal="85" workbookViewId="0">
      <selection activeCell="M24" sqref="M24"/>
    </sheetView>
  </sheetViews>
  <sheetFormatPr defaultRowHeight="14.4" x14ac:dyDescent="0.3"/>
  <cols>
    <col min="10" max="10" width="8.88671875" customWidth="1"/>
  </cols>
  <sheetData>
    <row r="1" spans="1:24" x14ac:dyDescent="0.3">
      <c r="A1" t="s">
        <v>83</v>
      </c>
    </row>
    <row r="2" spans="1:24" x14ac:dyDescent="0.3">
      <c r="A2" s="2" t="s">
        <v>24</v>
      </c>
      <c r="B2" s="2" t="s">
        <v>17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</row>
    <row r="3" spans="1:24" x14ac:dyDescent="0.3">
      <c r="A3" s="1">
        <v>482</v>
      </c>
      <c r="B3" s="1">
        <v>483</v>
      </c>
      <c r="C3" s="1">
        <v>484</v>
      </c>
      <c r="D3" s="1">
        <v>481</v>
      </c>
      <c r="E3" s="1">
        <v>483</v>
      </c>
      <c r="F3" s="1">
        <v>482</v>
      </c>
      <c r="G3" s="1">
        <v>484</v>
      </c>
      <c r="H3" s="1">
        <v>484</v>
      </c>
      <c r="I3" s="1">
        <v>483</v>
      </c>
      <c r="J3" s="1">
        <v>482</v>
      </c>
      <c r="K3" s="1">
        <v>480</v>
      </c>
      <c r="L3" s="13">
        <v>493</v>
      </c>
    </row>
    <row r="4" spans="1:24" x14ac:dyDescent="0.3">
      <c r="A4" t="s">
        <v>84</v>
      </c>
    </row>
    <row r="5" spans="1:24" x14ac:dyDescent="0.3">
      <c r="A5" s="2" t="s">
        <v>24</v>
      </c>
      <c r="B5" s="2" t="s">
        <v>17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24" x14ac:dyDescent="0.3">
      <c r="A6" s="1">
        <v>481</v>
      </c>
      <c r="B6" s="1">
        <v>482</v>
      </c>
      <c r="C6" s="1">
        <v>482</v>
      </c>
      <c r="D6" s="1">
        <v>481</v>
      </c>
      <c r="E6" s="1">
        <v>482</v>
      </c>
      <c r="F6" s="1">
        <v>485</v>
      </c>
      <c r="G6" s="1">
        <v>484</v>
      </c>
      <c r="H6" s="1">
        <v>483</v>
      </c>
      <c r="I6" s="1">
        <v>483</v>
      </c>
      <c r="J6" s="1">
        <v>482</v>
      </c>
      <c r="K6" s="1">
        <v>483</v>
      </c>
      <c r="L6" s="13">
        <v>492</v>
      </c>
    </row>
    <row r="7" spans="1:24" x14ac:dyDescent="0.3">
      <c r="N7" t="s">
        <v>85</v>
      </c>
    </row>
    <row r="8" spans="1:24" x14ac:dyDescent="0.3">
      <c r="A8" t="s">
        <v>92</v>
      </c>
      <c r="N8" t="s">
        <v>16</v>
      </c>
      <c r="O8">
        <f>A3+B3+C3+D3+E3+F3+G3+H3+I3+J3+K3+L3</f>
        <v>5801</v>
      </c>
    </row>
    <row r="9" spans="1:24" x14ac:dyDescent="0.3">
      <c r="A9" s="12" t="s">
        <v>24</v>
      </c>
      <c r="B9" s="10">
        <f>O8/12</f>
        <v>483.41666666666669</v>
      </c>
      <c r="C9" s="10"/>
      <c r="D9" s="12" t="s">
        <v>86</v>
      </c>
      <c r="E9" s="10">
        <f>SQRT(SUM(M13:X13)/11)</f>
        <v>3.2601821849074444</v>
      </c>
      <c r="N9" t="s">
        <v>18</v>
      </c>
      <c r="O9">
        <f>A6+B6+C6+D6+E6+F6+G6+H6+I6+J6+K6+L6</f>
        <v>5800</v>
      </c>
    </row>
    <row r="10" spans="1:24" x14ac:dyDescent="0.3">
      <c r="A10" s="12" t="s">
        <v>17</v>
      </c>
      <c r="B10" s="10">
        <f>O9/12</f>
        <v>483.33333333333331</v>
      </c>
      <c r="C10" s="10"/>
      <c r="D10" s="12" t="s">
        <v>87</v>
      </c>
      <c r="E10" s="10">
        <f>SQRT(SUM(M14:X14)/11)</f>
        <v>2.9644356609443876</v>
      </c>
    </row>
    <row r="11" spans="1:24" x14ac:dyDescent="0.3">
      <c r="A11" s="10"/>
      <c r="B11" s="10"/>
      <c r="C11" s="10"/>
      <c r="D11" s="12" t="s">
        <v>90</v>
      </c>
      <c r="E11" s="10">
        <f>(L3-B9)/E9</f>
        <v>2.9395085273755592</v>
      </c>
    </row>
    <row r="12" spans="1:24" x14ac:dyDescent="0.3">
      <c r="A12" s="15"/>
      <c r="B12" s="15"/>
      <c r="C12" s="15"/>
      <c r="D12" s="15" t="s">
        <v>91</v>
      </c>
      <c r="E12" s="15"/>
      <c r="F12" s="15"/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10</v>
      </c>
      <c r="W12">
        <v>11</v>
      </c>
      <c r="X12">
        <v>12</v>
      </c>
    </row>
    <row r="13" spans="1:24" x14ac:dyDescent="0.3">
      <c r="A13" t="s">
        <v>93</v>
      </c>
      <c r="L13" t="s">
        <v>88</v>
      </c>
      <c r="M13">
        <f>(A3-B9)^2</f>
        <v>2.0069444444444979</v>
      </c>
      <c r="N13">
        <f>(B3-B9)^2</f>
        <v>0.1736111111111269</v>
      </c>
      <c r="O13">
        <f>(C3-B9)^2</f>
        <v>0.3402777777777557</v>
      </c>
      <c r="P13">
        <f>(D3-B9)^2</f>
        <v>5.8402777777778692</v>
      </c>
      <c r="Q13">
        <f>(E3-B9)^2</f>
        <v>0.1736111111111269</v>
      </c>
      <c r="R13">
        <f>(F3-B9)^2</f>
        <v>2.0069444444444979</v>
      </c>
      <c r="S13">
        <f>(G3-B9)^2</f>
        <v>0.3402777777777557</v>
      </c>
      <c r="T13">
        <f>(H3-B9)^2</f>
        <v>0.3402777777777557</v>
      </c>
      <c r="U13">
        <f>(I3-B9)^2</f>
        <v>0.1736111111111269</v>
      </c>
      <c r="V13">
        <f>(J3-B9)^2</f>
        <v>2.0069444444444979</v>
      </c>
      <c r="W13">
        <f>(K3-B9)^2</f>
        <v>11.67361111111124</v>
      </c>
      <c r="X13" s="14">
        <f>(L3-B9)^2</f>
        <v>91.840277777777416</v>
      </c>
    </row>
    <row r="14" spans="1:24" x14ac:dyDescent="0.3">
      <c r="A14" s="12" t="s">
        <v>24</v>
      </c>
      <c r="B14" s="10">
        <f>SUM(A3:K3)/11</f>
        <v>482.54545454545456</v>
      </c>
      <c r="C14" s="10"/>
      <c r="D14" s="12" t="s">
        <v>86</v>
      </c>
      <c r="E14" s="10">
        <f>SQRT(SUM(M13:W13)/10)</f>
        <v>1.5835526163942026</v>
      </c>
      <c r="L14" t="s">
        <v>89</v>
      </c>
      <c r="M14">
        <f>(A6-B10)^2</f>
        <v>5.4444444444443558</v>
      </c>
      <c r="N14">
        <f>(B6-B10)^2</f>
        <v>1.7777777777777273</v>
      </c>
      <c r="O14">
        <f>(C6-B10)^2</f>
        <v>1.7777777777777273</v>
      </c>
      <c r="P14">
        <f>(D6-B10)^2</f>
        <v>5.4444444444443558</v>
      </c>
      <c r="Q14">
        <f>(E6-B10)^2</f>
        <v>1.7777777777777273</v>
      </c>
      <c r="R14">
        <f>(F6-B10)^2</f>
        <v>2.7777777777778407</v>
      </c>
      <c r="S14">
        <f>(G6-B10)^2</f>
        <v>0.44444444444446973</v>
      </c>
      <c r="T14">
        <f>(H6-B10)^2</f>
        <v>0.11111111111109848</v>
      </c>
      <c r="U14">
        <f>(I6-B10)^2</f>
        <v>0.11111111111109848</v>
      </c>
      <c r="V14">
        <f>(J6-B10)^2</f>
        <v>1.7777777777777273</v>
      </c>
      <c r="W14">
        <f>(K6-B10)^2</f>
        <v>0.11111111111109848</v>
      </c>
      <c r="X14" s="14">
        <f>(L6-B10)^2</f>
        <v>75.111111111111441</v>
      </c>
    </row>
    <row r="15" spans="1:24" x14ac:dyDescent="0.3">
      <c r="A15" s="10"/>
      <c r="B15" s="10"/>
      <c r="C15" s="10"/>
      <c r="D15" s="12" t="s">
        <v>90</v>
      </c>
      <c r="E15" s="10">
        <f>(MAX(A3:K3)-B14)/E14</f>
        <v>0.91853307524285688</v>
      </c>
    </row>
    <row r="16" spans="1:24" x14ac:dyDescent="0.3">
      <c r="D16" t="s">
        <v>95</v>
      </c>
      <c r="I16" t="s">
        <v>101</v>
      </c>
    </row>
    <row r="17" spans="1:24" x14ac:dyDescent="0.3">
      <c r="A17" t="s">
        <v>94</v>
      </c>
      <c r="H17" t="s">
        <v>115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 t="s">
        <v>112</v>
      </c>
    </row>
    <row r="18" spans="1:24" x14ac:dyDescent="0.3">
      <c r="D18" s="12" t="s">
        <v>96</v>
      </c>
      <c r="E18" s="12">
        <f>(L6-B10)/E10</f>
        <v>2.9235468932072299</v>
      </c>
      <c r="H18">
        <v>2.33</v>
      </c>
      <c r="I18">
        <f>(0.545)/SQRT(11*SUM(M13:W13))</f>
        <v>3.2814641317197107E-2</v>
      </c>
      <c r="J18">
        <f>(1.545)/SQRT(11*SUM(M14:W14))</f>
        <v>0.10033501754163304</v>
      </c>
      <c r="K18">
        <f>H18*E14</f>
        <v>3.6896775961984924</v>
      </c>
      <c r="L18">
        <f>H18*E21</f>
        <v>3.4208618147413357</v>
      </c>
      <c r="M18">
        <f>B14-B21</f>
        <v>0</v>
      </c>
      <c r="N18">
        <f>SQRT((E14^2/11)+(E21^2/11))</f>
        <v>0.65109658859248221</v>
      </c>
      <c r="O18">
        <f>E14^2/E21^2</f>
        <v>1.1633376288660131</v>
      </c>
      <c r="P18">
        <f>((11*B14)+(11*B21))/(22)</f>
        <v>482.54545454545456</v>
      </c>
      <c r="Q18">
        <f>SQRT(1/(22*21)*46)</f>
        <v>0.31554254795050946</v>
      </c>
      <c r="R18">
        <f>4/((11-1)^-1+(11-1)^-1)</f>
        <v>20</v>
      </c>
      <c r="S18">
        <f>H18*Q18</f>
        <v>0.73521413672468705</v>
      </c>
    </row>
    <row r="19" spans="1:24" x14ac:dyDescent="0.3">
      <c r="A19" s="15"/>
      <c r="B19" s="15"/>
      <c r="C19" s="15"/>
      <c r="D19" s="15" t="s">
        <v>97</v>
      </c>
      <c r="E19" s="15"/>
    </row>
    <row r="20" spans="1:24" x14ac:dyDescent="0.3">
      <c r="A20" t="s">
        <v>98</v>
      </c>
    </row>
    <row r="21" spans="1:24" x14ac:dyDescent="0.3">
      <c r="A21" s="12" t="s">
        <v>17</v>
      </c>
      <c r="B21" s="10">
        <f>SUM(A6:K6)/11</f>
        <v>482.54545454545456</v>
      </c>
      <c r="C21" s="10"/>
      <c r="D21" s="12" t="s">
        <v>87</v>
      </c>
      <c r="E21" s="10">
        <f>SQRT(SUM(M14:W14)/10)</f>
        <v>1.4681810363696719</v>
      </c>
    </row>
    <row r="22" spans="1:24" x14ac:dyDescent="0.3">
      <c r="A22" s="10"/>
      <c r="B22" s="10"/>
      <c r="C22" s="10"/>
      <c r="D22" s="12" t="s">
        <v>99</v>
      </c>
      <c r="E22" s="10" cm="1">
        <f t="array" ref="E22">MAX((A6:K6)-B21)/E21</f>
        <v>1.6718275156412055</v>
      </c>
    </row>
    <row r="23" spans="1:24" x14ac:dyDescent="0.3">
      <c r="D23" s="15" t="s">
        <v>100</v>
      </c>
      <c r="E23" s="15"/>
      <c r="M23">
        <v>1</v>
      </c>
      <c r="N23">
        <v>2</v>
      </c>
      <c r="O23">
        <v>3</v>
      </c>
      <c r="P23">
        <v>4</v>
      </c>
      <c r="Q23">
        <v>5</v>
      </c>
      <c r="R23">
        <v>6</v>
      </c>
      <c r="S23">
        <v>7</v>
      </c>
      <c r="T23">
        <v>8</v>
      </c>
      <c r="U23">
        <v>9</v>
      </c>
      <c r="V23">
        <v>10</v>
      </c>
      <c r="W23">
        <v>11</v>
      </c>
      <c r="X23">
        <v>12</v>
      </c>
    </row>
    <row r="24" spans="1:24" x14ac:dyDescent="0.3">
      <c r="L24" t="s">
        <v>113</v>
      </c>
      <c r="M24">
        <f>(A3-B14)</f>
        <v>-0.54545454545456096</v>
      </c>
      <c r="N24">
        <f>(B3-B14)</f>
        <v>0.45454545454543904</v>
      </c>
      <c r="O24">
        <f>(C3-B14)</f>
        <v>1.454545454545439</v>
      </c>
      <c r="P24">
        <f>(D3-B14)</f>
        <v>-1.545454545454561</v>
      </c>
      <c r="Q24">
        <f>(E3-B14)</f>
        <v>0.45454545454543904</v>
      </c>
      <c r="R24">
        <f>(F3-B14)</f>
        <v>-0.54545454545456096</v>
      </c>
      <c r="S24">
        <f>(G3-B14)</f>
        <v>1.454545454545439</v>
      </c>
      <c r="T24">
        <f>(H3-B14)</f>
        <v>1.454545454545439</v>
      </c>
      <c r="U24">
        <f>(I3-B14)</f>
        <v>0.45454545454543904</v>
      </c>
      <c r="V24">
        <f>(J3-B14)</f>
        <v>-0.54545454545456096</v>
      </c>
      <c r="W24">
        <f>(K3-B14)</f>
        <v>-2.545454545454561</v>
      </c>
      <c r="X24">
        <f>(L3-B14)</f>
        <v>10.454545454545439</v>
      </c>
    </row>
    <row r="25" spans="1:24" x14ac:dyDescent="0.3">
      <c r="L25" t="s">
        <v>114</v>
      </c>
      <c r="M25">
        <f>(A6-B10)</f>
        <v>-2.3333333333333144</v>
      </c>
      <c r="N25">
        <f>(B6-B10)</f>
        <v>-1.3333333333333144</v>
      </c>
      <c r="O25">
        <f>(C6-B10)</f>
        <v>-1.3333333333333144</v>
      </c>
      <c r="P25">
        <f>(D6-B10)</f>
        <v>-2.3333333333333144</v>
      </c>
      <c r="Q25">
        <f>(E6-B10)</f>
        <v>-1.3333333333333144</v>
      </c>
      <c r="R25">
        <f>(F6-B10)</f>
        <v>1.6666666666666856</v>
      </c>
      <c r="S25">
        <f>(G6-B10)</f>
        <v>0.66666666666668561</v>
      </c>
      <c r="T25">
        <f>(H6-B10)</f>
        <v>-0.33333333333331439</v>
      </c>
      <c r="U25">
        <f>(I6-B10)</f>
        <v>-0.33333333333331439</v>
      </c>
      <c r="V25">
        <f>(J6-B10)</f>
        <v>-1.3333333333333144</v>
      </c>
      <c r="W25">
        <f>(K6-B10)</f>
        <v>-0.33333333333331439</v>
      </c>
      <c r="X25">
        <f>(L6-B10)</f>
        <v>8.6666666666666856</v>
      </c>
    </row>
    <row r="26" spans="1:24" x14ac:dyDescent="0.3">
      <c r="A26" s="16" t="s">
        <v>116</v>
      </c>
      <c r="B26" s="16"/>
      <c r="C26" s="16"/>
    </row>
    <row r="27" spans="1:24" x14ac:dyDescent="0.3">
      <c r="A27" s="16" t="s">
        <v>117</v>
      </c>
      <c r="B27" s="16"/>
      <c r="C27" s="16"/>
    </row>
  </sheetData>
  <phoneticPr fontId="8" type="noConversion"/>
  <pageMargins left="0.7" right="0.7" top="0.75" bottom="0.75" header="0.3" footer="0.3"/>
  <ignoredErrors>
    <ignoredError sqref="B14 E15 B21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D9A9-65F8-42A8-8311-420459DDB787}">
  <dimension ref="A1:T24"/>
  <sheetViews>
    <sheetView tabSelected="1" zoomScaleNormal="100" workbookViewId="0">
      <selection activeCell="M24" sqref="M24"/>
    </sheetView>
  </sheetViews>
  <sheetFormatPr defaultRowHeight="14.4" x14ac:dyDescent="0.3"/>
  <sheetData>
    <row r="1" spans="1:20" x14ac:dyDescent="0.3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0" x14ac:dyDescent="0.3">
      <c r="A2" s="10" t="s">
        <v>24</v>
      </c>
      <c r="B2" s="10" t="s">
        <v>17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</row>
    <row r="3" spans="1:20" x14ac:dyDescent="0.3">
      <c r="A3" s="2">
        <v>482</v>
      </c>
      <c r="B3" s="2">
        <v>483</v>
      </c>
      <c r="C3" s="2">
        <v>484</v>
      </c>
      <c r="D3" s="2">
        <v>481</v>
      </c>
      <c r="E3" s="2">
        <v>483</v>
      </c>
      <c r="F3" s="2">
        <v>482</v>
      </c>
      <c r="G3" s="2">
        <v>484</v>
      </c>
      <c r="H3" s="2">
        <v>484</v>
      </c>
      <c r="I3" s="2">
        <v>483</v>
      </c>
      <c r="J3" s="2">
        <v>482</v>
      </c>
      <c r="K3" s="2">
        <v>480</v>
      </c>
      <c r="L3" s="17">
        <v>493</v>
      </c>
    </row>
    <row r="6" spans="1:20" x14ac:dyDescent="0.3">
      <c r="A6" s="10" t="s">
        <v>84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20" x14ac:dyDescent="0.3">
      <c r="A7" s="10" t="s">
        <v>24</v>
      </c>
      <c r="B7" s="10" t="s">
        <v>17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0" t="s">
        <v>33</v>
      </c>
      <c r="L7" s="10" t="s">
        <v>34</v>
      </c>
    </row>
    <row r="8" spans="1:20" x14ac:dyDescent="0.3">
      <c r="A8" s="2">
        <v>483.01</v>
      </c>
      <c r="B8" s="2">
        <v>483.02</v>
      </c>
      <c r="C8" s="2">
        <v>483.02</v>
      </c>
      <c r="D8" s="2">
        <v>483.01</v>
      </c>
      <c r="E8" s="2">
        <v>483.02</v>
      </c>
      <c r="F8" s="2">
        <v>483.05</v>
      </c>
      <c r="G8" s="2">
        <v>483.04</v>
      </c>
      <c r="H8" s="2">
        <v>483.03</v>
      </c>
      <c r="I8" s="2">
        <v>483.03</v>
      </c>
      <c r="J8" s="2">
        <v>483.02</v>
      </c>
      <c r="K8" s="2">
        <v>483.03</v>
      </c>
      <c r="L8" s="17">
        <v>492.02</v>
      </c>
    </row>
    <row r="10" spans="1:20" ht="15" thickBot="1" x14ac:dyDescent="0.35">
      <c r="A10" s="10" t="s">
        <v>92</v>
      </c>
      <c r="B10" s="10"/>
      <c r="C10" s="10"/>
      <c r="D10" s="10"/>
      <c r="E10" s="10"/>
      <c r="L10" s="12" t="s">
        <v>118</v>
      </c>
      <c r="M10" s="12">
        <f>A3+B3+C3+D3+E3+F3+G3+H3+I3+J3+K3+L3</f>
        <v>5801</v>
      </c>
    </row>
    <row r="11" spans="1:20" ht="15.6" thickTop="1" thickBot="1" x14ac:dyDescent="0.35">
      <c r="A11" s="18" t="s">
        <v>16</v>
      </c>
      <c r="B11" s="2">
        <f>M10/12</f>
        <v>483.41666666666669</v>
      </c>
      <c r="C11" s="10"/>
      <c r="D11" s="18" t="s">
        <v>120</v>
      </c>
      <c r="E11" s="2" cm="1">
        <f t="array" ref="E11">MAX((A3:L3)-B11)/B13</f>
        <v>2.9395085273755592</v>
      </c>
      <c r="L11" s="12" t="s">
        <v>119</v>
      </c>
      <c r="M11" s="12">
        <f>A8+B8+C8+D8+E8+F8+G8+H8+I8+J8+K8+L8</f>
        <v>5805.2999999999993</v>
      </c>
    </row>
    <row r="12" spans="1:20" ht="15.6" thickTop="1" thickBot="1" x14ac:dyDescent="0.35">
      <c r="A12" s="18" t="s">
        <v>18</v>
      </c>
      <c r="B12" s="2">
        <f>M11/12</f>
        <v>483.77499999999992</v>
      </c>
      <c r="C12" s="10"/>
      <c r="D12" s="18" t="s">
        <v>121</v>
      </c>
      <c r="E12" s="10"/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</row>
    <row r="13" spans="1:20" ht="15.6" thickTop="1" thickBot="1" x14ac:dyDescent="0.35">
      <c r="A13" s="18" t="s">
        <v>86</v>
      </c>
      <c r="B13" s="2">
        <f>SQRT(SUM(I13:T13)/11)</f>
        <v>3.2601821849074444</v>
      </c>
      <c r="C13" s="10"/>
      <c r="D13" s="10"/>
      <c r="E13" s="10"/>
      <c r="H13" s="2" t="s">
        <v>88</v>
      </c>
      <c r="I13" s="10">
        <f>(A3-B11)^2</f>
        <v>2.0069444444444979</v>
      </c>
      <c r="J13" s="10">
        <f>(B3-B11)^2</f>
        <v>0.1736111111111269</v>
      </c>
      <c r="K13" s="10">
        <f>(C3-B11)^2</f>
        <v>0.3402777777777557</v>
      </c>
      <c r="L13" s="10">
        <f>(D3-B11)^2</f>
        <v>5.8402777777778692</v>
      </c>
      <c r="M13" s="10">
        <f>(E3-B11)^2</f>
        <v>0.1736111111111269</v>
      </c>
      <c r="N13" s="10">
        <f>(F3-B11)^2</f>
        <v>2.0069444444444979</v>
      </c>
      <c r="O13" s="10">
        <f>(G3-B11)^2</f>
        <v>0.3402777777777557</v>
      </c>
      <c r="P13" s="10">
        <f>(H3-B11)^2</f>
        <v>0.3402777777777557</v>
      </c>
      <c r="Q13" s="10">
        <f>(I3-B11)^2</f>
        <v>0.1736111111111269</v>
      </c>
      <c r="R13" s="10">
        <f>(J3-B11)^2</f>
        <v>2.0069444444444979</v>
      </c>
      <c r="S13" s="10">
        <f>(K3-B11)^2</f>
        <v>11.67361111111124</v>
      </c>
      <c r="T13" s="14">
        <f>(L3-B11)^2</f>
        <v>91.840277777777416</v>
      </c>
    </row>
    <row r="14" spans="1:20" ht="15.6" thickTop="1" thickBot="1" x14ac:dyDescent="0.35">
      <c r="A14" s="18" t="s">
        <v>87</v>
      </c>
      <c r="B14" s="2">
        <f>SQRT(SUM(I14:T14)/11)</f>
        <v>2.5965274012523989</v>
      </c>
      <c r="C14" s="10"/>
      <c r="D14" s="10"/>
      <c r="E14" s="10"/>
      <c r="H14" s="2" t="s">
        <v>89</v>
      </c>
      <c r="I14" s="10">
        <f>(A8-B12)^2</f>
        <v>0.58522499999989219</v>
      </c>
      <c r="J14" s="10">
        <f>(B8-B12)^2</f>
        <v>0.5700249999999073</v>
      </c>
      <c r="K14" s="10">
        <f>(C8-B12)^2</f>
        <v>0.5700249999999073</v>
      </c>
      <c r="L14" s="10">
        <f>(D8-B12)^2</f>
        <v>0.58522499999989219</v>
      </c>
      <c r="M14" s="10">
        <f>(E8-B12)^2</f>
        <v>0.5700249999999073</v>
      </c>
      <c r="N14" s="10">
        <f>(F8-B12)^2</f>
        <v>0.52562499999986811</v>
      </c>
      <c r="O14" s="10">
        <f>(G8-B12)^2</f>
        <v>0.54022499999985296</v>
      </c>
      <c r="P14" s="10">
        <f>(H8-B12)^2</f>
        <v>0.55502499999992205</v>
      </c>
      <c r="Q14" s="10">
        <f>(I8-B12)^2</f>
        <v>0.55502499999992205</v>
      </c>
      <c r="R14" s="10">
        <f>(J8-B12)^2</f>
        <v>0.5700249999999073</v>
      </c>
      <c r="S14" s="10">
        <f>(K8-B12)^2</f>
        <v>0.55502499999992205</v>
      </c>
      <c r="T14" s="14">
        <f>(L8-B12)^2</f>
        <v>67.980025000001007</v>
      </c>
    </row>
    <row r="15" spans="1:20" ht="15.6" thickTop="1" thickBot="1" x14ac:dyDescent="0.35">
      <c r="A15" t="s">
        <v>93</v>
      </c>
      <c r="H15" s="2" t="s">
        <v>113</v>
      </c>
      <c r="I15" s="10">
        <f>A3-B16</f>
        <v>-0.54545454545456096</v>
      </c>
      <c r="J15" s="10">
        <f>B3-B16</f>
        <v>0.45454545454543904</v>
      </c>
      <c r="K15" s="10">
        <f>C3-B16</f>
        <v>1.454545454545439</v>
      </c>
      <c r="L15" s="10">
        <f>D3-B16</f>
        <v>-1.545454545454561</v>
      </c>
      <c r="M15" s="10">
        <f>E3-B16</f>
        <v>0.45454545454543904</v>
      </c>
      <c r="N15" s="10">
        <f>F3-B16</f>
        <v>-0.54545454545456096</v>
      </c>
      <c r="O15" s="10">
        <f>G3-B16</f>
        <v>1.454545454545439</v>
      </c>
      <c r="P15" s="10">
        <f>H3-B16</f>
        <v>1.454545454545439</v>
      </c>
      <c r="Q15" s="10">
        <f>I3-B16</f>
        <v>0.45454545454543904</v>
      </c>
      <c r="R15" s="10">
        <f>J3-B16</f>
        <v>-0.54545454545456096</v>
      </c>
      <c r="S15" s="10">
        <f>K3-B16</f>
        <v>-2.545454545454561</v>
      </c>
      <c r="T15" s="14">
        <f>L3-B16</f>
        <v>10.454545454545439</v>
      </c>
    </row>
    <row r="16" spans="1:20" ht="15.6" thickTop="1" thickBot="1" x14ac:dyDescent="0.35">
      <c r="A16" s="18" t="s">
        <v>16</v>
      </c>
      <c r="B16" s="2">
        <f>SUM(A3:K3)/11</f>
        <v>482.54545454545456</v>
      </c>
      <c r="C16" s="10"/>
      <c r="D16" s="18" t="s">
        <v>120</v>
      </c>
      <c r="E16" s="2" cm="1">
        <f t="array" ref="E16">MAX((A3:K3)-B16)/B17</f>
        <v>0.91853307524285688</v>
      </c>
      <c r="H16" s="2" t="s">
        <v>114</v>
      </c>
      <c r="I16" s="10">
        <f>A8-B20</f>
        <v>-1.5454545454531399E-2</v>
      </c>
      <c r="J16" s="10">
        <f>B8-B20</f>
        <v>-5.4545454545404937E-3</v>
      </c>
      <c r="K16" s="10">
        <f>C8-B20</f>
        <v>-5.4545454545404937E-3</v>
      </c>
      <c r="L16" s="10">
        <f>D8-B20</f>
        <v>-1.5454545454531399E-2</v>
      </c>
      <c r="M16" s="10">
        <f>E8-B20</f>
        <v>-5.4545454545404937E-3</v>
      </c>
      <c r="N16" s="10">
        <f>F8-B20</f>
        <v>2.4545454545489065E-2</v>
      </c>
      <c r="O16" s="10">
        <f>G8-B20</f>
        <v>1.454545454549816E-2</v>
      </c>
      <c r="P16" s="10">
        <f>H8-B20</f>
        <v>4.5454545454504114E-3</v>
      </c>
      <c r="Q16" s="10">
        <f>I8-B20</f>
        <v>4.5454545454504114E-3</v>
      </c>
      <c r="R16" s="10">
        <f>J8-B20</f>
        <v>-5.4545454545404937E-3</v>
      </c>
      <c r="S16" s="10">
        <f>K8-B20</f>
        <v>4.5454545454504114E-3</v>
      </c>
      <c r="T16" s="14">
        <f>L8-B20</f>
        <v>8.9945454545454595</v>
      </c>
    </row>
    <row r="17" spans="1:19" ht="15.6" thickTop="1" thickBot="1" x14ac:dyDescent="0.35">
      <c r="A17" s="18" t="s">
        <v>86</v>
      </c>
      <c r="B17" s="2">
        <f>SQRT(SUM(I13:S13)/10)</f>
        <v>1.5835526163942026</v>
      </c>
      <c r="C17" s="10"/>
      <c r="D17" s="18" t="s">
        <v>99</v>
      </c>
      <c r="E17" s="2" cm="1">
        <f t="array" ref="E17">MAX((A8:L8)-B12)/B14</f>
        <v>3.1753949509730575</v>
      </c>
    </row>
    <row r="18" spans="1:19" ht="15.6" thickTop="1" thickBot="1" x14ac:dyDescent="0.35">
      <c r="A18" s="10"/>
      <c r="B18" s="10"/>
      <c r="C18" s="10"/>
      <c r="D18" s="18" t="s">
        <v>122</v>
      </c>
      <c r="E18" s="10"/>
      <c r="I18">
        <f>(ABS(J16))+(ABS(K16))+(ABS(L16))+(ABS(M16))+(ABS(N16))+(ABS(O16))+(ABS(P16))+(ABS(Q16))+(ABS(R16))+(ABS(S16))+(ABS(I16))</f>
        <v>0.10545454545456323</v>
      </c>
    </row>
    <row r="19" spans="1:19" ht="15.6" thickTop="1" thickBot="1" x14ac:dyDescent="0.35">
      <c r="A19" t="s">
        <v>94</v>
      </c>
      <c r="G19" t="s">
        <v>115</v>
      </c>
      <c r="H19" t="s">
        <v>102</v>
      </c>
      <c r="I19" t="s">
        <v>103</v>
      </c>
      <c r="J19" t="s">
        <v>123</v>
      </c>
      <c r="K19" t="s">
        <v>124</v>
      </c>
      <c r="L19" t="s">
        <v>125</v>
      </c>
      <c r="M19" t="s">
        <v>107</v>
      </c>
      <c r="N19" t="s">
        <v>126</v>
      </c>
      <c r="O19" t="s">
        <v>127</v>
      </c>
      <c r="P19" t="s">
        <v>128</v>
      </c>
      <c r="Q19" t="s">
        <v>129</v>
      </c>
      <c r="R19" t="s">
        <v>110</v>
      </c>
      <c r="S19" t="s">
        <v>130</v>
      </c>
    </row>
    <row r="20" spans="1:19" ht="15.6" thickTop="1" thickBot="1" x14ac:dyDescent="0.35">
      <c r="A20" s="18" t="s">
        <v>18</v>
      </c>
      <c r="B20" s="2">
        <f>SUM(A8:K8)/11</f>
        <v>483.02545454545452</v>
      </c>
      <c r="C20" s="10"/>
      <c r="D20" s="18" t="s">
        <v>99</v>
      </c>
      <c r="E20" s="2" cm="1">
        <f t="array" ref="E20">MAX((A8:K8)-B20)/B21</f>
        <v>3.1219433660156989E-2</v>
      </c>
      <c r="G20" s="19">
        <v>2.33</v>
      </c>
      <c r="H20" s="19">
        <f>0.545/SQRT(11*SUM(I13:S13))</f>
        <v>3.2814641317197107E-2</v>
      </c>
      <c r="I20" s="19">
        <f>I18/SQRT(11*SUM(I14:S14))</f>
        <v>1.2788597029901714E-2</v>
      </c>
      <c r="J20" s="19">
        <f>G20*B17</f>
        <v>3.6896775961984924</v>
      </c>
      <c r="K20" s="19">
        <f>G20*B21</f>
        <v>1.8319009151014156</v>
      </c>
      <c r="L20" s="19">
        <f>B16-B20</f>
        <v>-0.47999999999996135</v>
      </c>
      <c r="M20" s="19">
        <f>SQRT((B17^2/11)+(B21^2/11))</f>
        <v>0.53306885014029126</v>
      </c>
      <c r="N20" s="19">
        <f>B17^2/B21^2</f>
        <v>4.0566998797040679</v>
      </c>
      <c r="O20" s="19">
        <f>0.58^2/B17^2</f>
        <v>0.13415009692605734</v>
      </c>
      <c r="P20" s="19">
        <f>0.78622^2/B21^2</f>
        <v>0.99999092190797489</v>
      </c>
      <c r="Q20" s="19">
        <f>(O20*B16+P20*B20)/(O20+P20)</f>
        <v>482.96867849604348</v>
      </c>
      <c r="R20" s="19">
        <f>SQRT(O20*(B16-Q20)^2+P20*(B20-Q20)^2)</f>
        <v>0.16508257423665335</v>
      </c>
      <c r="S20" s="19">
        <f>R20/SQRT(O20+P20)</f>
        <v>0.15501285085631628</v>
      </c>
    </row>
    <row r="21" spans="1:19" ht="15.6" thickTop="1" thickBot="1" x14ac:dyDescent="0.35">
      <c r="A21" s="18" t="s">
        <v>87</v>
      </c>
      <c r="B21" s="2">
        <f>SQRT(SUM(I14:S14)/10)</f>
        <v>0.78622356871305388</v>
      </c>
      <c r="C21" s="10"/>
      <c r="D21" s="10"/>
      <c r="E21" s="10"/>
    </row>
    <row r="22" spans="1:19" ht="15" thickTop="1" x14ac:dyDescent="0.3"/>
    <row r="23" spans="1:19" x14ac:dyDescent="0.3">
      <c r="A23" s="16" t="s">
        <v>21</v>
      </c>
      <c r="B23" s="16"/>
      <c r="C23" s="16"/>
    </row>
    <row r="24" spans="1:19" x14ac:dyDescent="0.3">
      <c r="A24" s="16" t="s">
        <v>131</v>
      </c>
      <c r="B24" s="16"/>
      <c r="C24" s="16"/>
    </row>
  </sheetData>
  <phoneticPr fontId="8" type="noConversion"/>
  <pageMargins left="0.7" right="0.7" top="0.75" bottom="0.75" header="0.3" footer="0.3"/>
  <ignoredErrors>
    <ignoredError sqref="E16 B16 E20 B2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практ 1</vt:lpstr>
      <vt:lpstr>прак 2</vt:lpstr>
      <vt:lpstr>прак 3</vt:lpstr>
      <vt:lpstr>прак 4</vt:lpstr>
      <vt:lpstr>прак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Панов</dc:creator>
  <cp:lastModifiedBy>Кирилл Панов</cp:lastModifiedBy>
  <dcterms:created xsi:type="dcterms:W3CDTF">2015-06-05T18:19:34Z</dcterms:created>
  <dcterms:modified xsi:type="dcterms:W3CDTF">2023-11-26T09:21:03Z</dcterms:modified>
</cp:coreProperties>
</file>