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phglobal-my.sharepoint.com/personal/kwest_sinclairpharma_com/Documents/"/>
    </mc:Choice>
  </mc:AlternateContent>
  <xr:revisionPtr revIDLastSave="0" documentId="8_{C48E6186-D665-4045-88E3-75DB2138049E}" xr6:coauthVersionLast="47" xr6:coauthVersionMax="47" xr10:uidLastSave="{00000000-0000-0000-0000-000000000000}"/>
  <bookViews>
    <workbookView xWindow="3260" yWindow="600" windowWidth="15940" windowHeight="9600" xr2:uid="{00000000-000D-0000-FFFF-FFFF00000000}"/>
  </bookViews>
  <sheets>
    <sheet name="Category Statistics" sheetId="2" r:id="rId1"/>
    <sheet name="Theater Outcomes by Launch Date" sheetId="18" r:id="rId2"/>
    <sheet name="Outcomes Based on Goals" sheetId="19" r:id="rId3"/>
    <sheet name="Kickstarter" sheetId="1" r:id="rId4"/>
    <sheet name="Subcategory Statistics" sheetId="3" r:id="rId5"/>
  </sheets>
  <definedNames>
    <definedName name="_xlnm._FilterDatabase" localSheetId="3" hidden="1">Kickstarter!$A$1:$T$4117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9" l="1"/>
  <c r="E2" i="19"/>
  <c r="B3" i="19"/>
  <c r="B2" i="19"/>
  <c r="E3" i="19"/>
  <c r="H3" i="19"/>
  <c r="H4" i="19"/>
  <c r="H5" i="19"/>
  <c r="H6" i="19"/>
  <c r="H7" i="19"/>
  <c r="H8" i="19"/>
  <c r="H9" i="19"/>
  <c r="H10" i="19"/>
  <c r="H11" i="19"/>
  <c r="H12" i="19"/>
  <c r="H13" i="19"/>
  <c r="H2" i="19"/>
  <c r="C3" i="19"/>
  <c r="D3" i="19"/>
  <c r="G3" i="19"/>
  <c r="C4" i="19"/>
  <c r="B4" i="19"/>
  <c r="D4" i="19"/>
  <c r="E4" i="19"/>
  <c r="G4" i="19"/>
  <c r="C5" i="19"/>
  <c r="B5" i="19"/>
  <c r="D5" i="19"/>
  <c r="E5" i="19"/>
  <c r="G5" i="19"/>
  <c r="C6" i="19"/>
  <c r="B6" i="19"/>
  <c r="D6" i="19"/>
  <c r="E6" i="19"/>
  <c r="G6" i="19"/>
  <c r="C7" i="19"/>
  <c r="B7" i="19"/>
  <c r="D7" i="19"/>
  <c r="E7" i="19"/>
  <c r="G7" i="19"/>
  <c r="C8" i="19"/>
  <c r="B8" i="19"/>
  <c r="D8" i="19"/>
  <c r="E8" i="19"/>
  <c r="G8" i="19"/>
  <c r="C9" i="19"/>
  <c r="B9" i="19"/>
  <c r="D9" i="19"/>
  <c r="E9" i="19"/>
  <c r="G9" i="19"/>
  <c r="C10" i="19"/>
  <c r="B10" i="19"/>
  <c r="D10" i="19"/>
  <c r="E10" i="19"/>
  <c r="G10" i="19"/>
  <c r="C11" i="19"/>
  <c r="B11" i="19"/>
  <c r="D11" i="19"/>
  <c r="E11" i="19"/>
  <c r="G11" i="19"/>
  <c r="C12" i="19"/>
  <c r="B12" i="19"/>
  <c r="D12" i="19"/>
  <c r="E12" i="19"/>
  <c r="G12" i="19"/>
  <c r="C13" i="19"/>
  <c r="B13" i="19"/>
  <c r="D13" i="19"/>
  <c r="E13" i="19"/>
  <c r="G13" i="19"/>
  <c r="C2" i="19"/>
  <c r="D2" i="19"/>
  <c r="G2" i="19"/>
  <c r="F3" i="19"/>
  <c r="F4" i="19"/>
  <c r="F5" i="19"/>
  <c r="F6" i="19"/>
  <c r="F7" i="19"/>
  <c r="F8" i="19"/>
  <c r="F9" i="19"/>
  <c r="F10" i="19"/>
  <c r="F11" i="19"/>
  <c r="F12" i="19"/>
  <c r="F13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<sst xmlns="http://schemas.openxmlformats.org/spreadsheetml/2006/main" count="33009" uniqueCount="8401">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</sst>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964446083981021"/>
          <c:y val="0.110384188553612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3-4222-B46C-222156D705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3-4222-B46C-222156D705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3-4222-B46C-222156D705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3-4222-B46C-222156D7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0733504"/>
        <c:axId val="1850737248"/>
      </c:barChart>
      <c:catAx>
        <c:axId val="18507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37248"/>
        <c:crosses val="autoZero"/>
        <c:auto val="1"/>
        <c:lblAlgn val="ctr"/>
        <c:lblOffset val="100"/>
        <c:noMultiLvlLbl val="0"/>
      </c:catAx>
      <c:valAx>
        <c:axId val="18507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(1).xlsx]Theater Outcomes by Launch Date!PivotTable1</c:name>
    <c:fmtId val="3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436-9BCD-40E3A2C382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436-9BCD-40E3A2C382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436-9BCD-40E3A2C3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06383"/>
        <c:axId val="1203685167"/>
      </c:lineChart>
      <c:catAx>
        <c:axId val="120370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85167"/>
        <c:crosses val="autoZero"/>
        <c:auto val="1"/>
        <c:lblAlgn val="ctr"/>
        <c:lblOffset val="100"/>
        <c:noMultiLvlLbl val="0"/>
      </c:catAx>
      <c:valAx>
        <c:axId val="120368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0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4-47CD-B7BA-6F0699C5ED4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4-47CD-B7BA-6F0699C5ED4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64-47CD-B7BA-6F0699C5ED43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Goals'!$E$2:$E$13</c:f>
              <c:numCache>
                <c:formatCode>General</c:formatCode>
                <c:ptCount val="12"/>
                <c:pt idx="0">
                  <c:v>141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64-47CD-B7BA-6F0699C5ED43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</c:formatCode>
                <c:ptCount val="12"/>
                <c:pt idx="0">
                  <c:v>100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64-47CD-B7BA-6F0699C5ED4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</c:formatCode>
                <c:ptCount val="12"/>
                <c:pt idx="0">
                  <c:v>31.914893617021278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64-47CD-B7BA-6F0699C5ED4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64-47CD-B7BA-6F0699C5E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385279"/>
        <c:axId val="1305388191"/>
      </c:lineChart>
      <c:catAx>
        <c:axId val="1305385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88191"/>
        <c:crosses val="autoZero"/>
        <c:auto val="1"/>
        <c:lblAlgn val="ctr"/>
        <c:lblOffset val="100"/>
        <c:noMultiLvlLbl val="0"/>
      </c:catAx>
      <c:valAx>
        <c:axId val="13053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775050913629832E-2"/>
          <c:y val="0.22404905064734806"/>
          <c:w val="0.76201233189117157"/>
          <c:h val="0.566457240353646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1-4B1D-B4E9-9464E560F0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1-4B1D-B4E9-9464E560F0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1-4B1D-B4E9-9464E560F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7785904"/>
        <c:axId val="1850118832"/>
      </c:barChart>
      <c:catAx>
        <c:axId val="17977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18832"/>
        <c:crosses val="autoZero"/>
        <c:auto val="1"/>
        <c:lblAlgn val="ctr"/>
        <c:lblOffset val="100"/>
        <c:noMultiLvlLbl val="0"/>
      </c:catAx>
      <c:valAx>
        <c:axId val="18501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8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92075</xdr:rowOff>
    </xdr:from>
    <xdr:to>
      <xdr:col>11</xdr:col>
      <xdr:colOff>558800</xdr:colOff>
      <xdr:row>14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9CA2-F5A1-4542-849B-574406FAB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85725</xdr:rowOff>
    </xdr:from>
    <xdr:to>
      <xdr:col>13</xdr:col>
      <xdr:colOff>177800</xdr:colOff>
      <xdr:row>14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2FBFF-CB8F-42EB-B53A-E69FE70EB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0.42775</cdr:x>
      <cdr:y>0.03008</cdr:y>
    </cdr:from>
    <cdr:to>
      <cdr:x>0.81831</cdr:x>
      <cdr:y>0.20578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C39DBC-882C-4AD9-9FAD-238F48325CD1}"/>
            </a:ext>
          </a:extLst>
        </cdr:cNvPr>
        <cdr:cNvSpPr txBox="1"/>
      </cdr:nvSpPr>
      <cdr:spPr>
        <a:xfrm xmlns:a="http://schemas.openxmlformats.org/drawingml/2006/main">
          <a:off x="1898650" y="79375"/>
          <a:ext cx="1733550" cy="46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Theater</a:t>
          </a:r>
          <a:r>
            <a:rPr lang="en-US" sz="1100" baseline="0"/>
            <a:t> Outcome Based on Lauch Date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320675</xdr:colOff>
      <xdr:row>13</xdr:row>
      <xdr:rowOff>123825</xdr:rowOff>
    </xdr:from>
    <xdr:to>
      <xdr:col>6</xdr:col>
      <xdr:colOff>708025</xdr:colOff>
      <xdr:row>28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80E0F6-39E5-4219-93D1-5514143F7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57150</xdr:rowOff>
    </xdr:from>
    <xdr:to>
      <xdr:col>13</xdr:col>
      <xdr:colOff>425450</xdr:colOff>
      <xdr:row>15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83898-C949-48B0-AB84-8D3CD707C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le West" refreshedDate="44658.573243865743" createdVersion="7" refreshedVersion="7" minRefreshableVersion="3" recordCount="4118" xr:uid="{1350486B-9E6E-4521-B7A7-63F175EDF1B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le West" refreshedDate="44668.521579398148" createdVersion="7" refreshedVersion="7" minRefreshableVersion="3" recordCount="4116" xr:uid="{8EECB9E7-8F92-474B-905D-800303A7C155}">
  <cacheSource type="worksheet">
    <worksheetSource ref="A1:U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 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s v=" 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n v="0"/>
    <x v="9"/>
    <m/>
    <x v="4114"/>
    <d v="1970-01-01T00:00:00"/>
    <x v="9"/>
  </r>
  <r>
    <m/>
    <m/>
    <m/>
    <m/>
    <m/>
    <x v="4"/>
    <m/>
    <m/>
    <m/>
    <x v="4114"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2C64F-C273-4D25-A88E-34DD0153F1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19156-8BBD-49EB-9769-BD8C1092962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EBC7C-B1AE-4D0F-A7E5-C603E4726A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DA1E6-9FA1-4D7D-9342-53E9FB972233}">
  <sheetPr codeName="Sheet1"/>
  <dimension ref="A1:F14"/>
  <sheetViews>
    <sheetView tabSelected="1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8364</v>
      </c>
      <c r="B3" s="13" t="s">
        <v>8363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8309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5">
      <c r="A6" s="14" t="s">
        <v>8335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5">
      <c r="A7" s="14" t="s">
        <v>8332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5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8324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5">
      <c r="A10" s="14" t="s">
        <v>8337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5">
      <c r="A11" s="14" t="s">
        <v>8321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5">
      <c r="A12" s="14" t="s">
        <v>8318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5">
      <c r="A13" s="14" t="s">
        <v>8316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5">
      <c r="A14" s="14" t="s">
        <v>8362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4B38E-6669-40C5-8CAB-368FD6A2E4AF}">
  <dimension ref="A1:E18"/>
  <sheetViews>
    <sheetView workbookViewId="0">
      <selection activeCell="F14" sqref="F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8359</v>
      </c>
      <c r="B1" t="s">
        <v>8316</v>
      </c>
    </row>
    <row r="2" spans="1:5" x14ac:dyDescent="0.35">
      <c r="A2" s="13" t="s">
        <v>8368</v>
      </c>
      <c r="B2" t="s">
        <v>8365</v>
      </c>
    </row>
    <row r="4" spans="1:5" x14ac:dyDescent="0.35">
      <c r="A4" s="13" t="s">
        <v>8364</v>
      </c>
      <c r="B4" s="13" t="s">
        <v>8363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8375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8" t="s">
        <v>8376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8" t="s">
        <v>8377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8" t="s">
        <v>8378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8" t="s">
        <v>8369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8" t="s">
        <v>8379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8" t="s">
        <v>8370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8" t="s">
        <v>8371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8" t="s">
        <v>8372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8" t="s">
        <v>8373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8" t="s">
        <v>8374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8" t="s">
        <v>8380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8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EADD-3189-488A-B0BA-631F32B3DB11}">
  <dimension ref="A1:H13"/>
  <sheetViews>
    <sheetView topLeftCell="B1" workbookViewId="0">
      <selection activeCell="D4" sqref="D4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7" bestFit="1" customWidth="1"/>
    <col min="7" max="7" width="15.453125" style="17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7" t="s">
        <v>8386</v>
      </c>
      <c r="G1" s="17" t="s">
        <v>8387</v>
      </c>
      <c r="H1" t="s">
        <v>8388</v>
      </c>
    </row>
    <row r="2" spans="1:8" x14ac:dyDescent="0.35">
      <c r="A2" t="s">
        <v>8389</v>
      </c>
      <c r="B2">
        <f>COUNTIFS(Kickstarter!$D:$D,"&lt;1000",Kickstarter!$F:$F,"Successful", 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>B2+D2</f>
        <v>141</v>
      </c>
      <c r="F2" s="17">
        <f>B2/E2*100</f>
        <v>100</v>
      </c>
      <c r="G2" s="17">
        <f>C2/E2*100</f>
        <v>31.914893617021278</v>
      </c>
      <c r="H2">
        <f>D2/E2*100</f>
        <v>0</v>
      </c>
    </row>
    <row r="3" spans="1:8" x14ac:dyDescent="0.35">
      <c r="A3" t="s">
        <v>8390</v>
      </c>
      <c r="B3">
        <f>COUNTIFS(Kickstarter!$D:$D,"&gt;999",Kickstarter!$D:$D,"&lt;5000",Kickstarter!$F:$F,"Successful",Kickstarter!$R:$R,"Plays")</f>
        <v>388</v>
      </c>
      <c r="C3">
        <f>COUNTIFS(Kickstarter!$D:$D,"&gt;999",Kickstarter!$D:$D,"&lt;5000",Kickstarter!$F:$F,"Failed",Kickstarter!$R:$R,"Plays")</f>
        <v>146</v>
      </c>
      <c r="D3">
        <f>COUNTIFS(Kickstarter!$D:$D,"&gt;999",Kickstarter!$D:$D,"&lt;5000",Kickstarter!$F:$F,"Canceled",Kickstarter!$R:$R,"Plays")</f>
        <v>0</v>
      </c>
      <c r="E3">
        <f t="shared" ref="E3:E13" si="0">SUM(B3:D3)</f>
        <v>534</v>
      </c>
      <c r="F3" s="17">
        <f t="shared" ref="F3:F13" si="1">B3/E3*100</f>
        <v>72.659176029962552</v>
      </c>
      <c r="G3" s="17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8391</v>
      </c>
      <c r="B4">
        <f>COUNTIFS(Kickstarter!$D:$D,"&gt;4999",Kickstarter!$D:$D,"&lt;10000",Kickstarter!$F:$F,"Successful", Kickstarter!$R:$R,"Plays")</f>
        <v>93</v>
      </c>
      <c r="C4">
        <f>COUNTIFS(Kickstarter!$D:$D,"&gt;4999",Kickstarter!$D:$D,"&lt;10000",Kickstarter!$F:$F,"Failed", Kickstarter!$R:$R,"Plays")</f>
        <v>76</v>
      </c>
      <c r="D4">
        <f>COUNTIFS(Kickstarter!$D:$D,"&gt;4999",Kickstarter!$D:$D,"&lt;10000",Kickstarter!$F:$F,"Canceled", Kickstarter!$R:$R,"Plays")</f>
        <v>0</v>
      </c>
      <c r="E4">
        <f t="shared" si="0"/>
        <v>169</v>
      </c>
      <c r="F4" s="17">
        <f t="shared" si="1"/>
        <v>55.029585798816569</v>
      </c>
      <c r="G4" s="17">
        <f t="shared" si="2"/>
        <v>44.970414201183431</v>
      </c>
      <c r="H4">
        <f t="shared" si="3"/>
        <v>0</v>
      </c>
    </row>
    <row r="5" spans="1:8" x14ac:dyDescent="0.35">
      <c r="A5" t="s">
        <v>8392</v>
      </c>
      <c r="B5">
        <f>COUNTIFS(Kickstarter!$D:$D,"&gt;9999",Kickstarter!$D:$D,"&lt;15000",Kickstarter!$F:$F,"Successful", Kickstarter!$R:$R,"Plays")</f>
        <v>39</v>
      </c>
      <c r="C5">
        <f>COUNTIFS(Kickstarter!$D:$D,"&gt;9999",Kickstarter!$D:$D,"&lt;15000",Kickstarter!$F:$F,"Failed", Kickstarter!$R:$R,"Plays")</f>
        <v>33</v>
      </c>
      <c r="D5">
        <f>COUNTIFS(Kickstarter!$D:$D,"&gt;9999",Kickstarter!$D:$D,"&lt;15000",Kickstarter!$F:$F,"Canceled", Kickstarter!$R:$R,"Plays")</f>
        <v>0</v>
      </c>
      <c r="E5">
        <f t="shared" si="0"/>
        <v>72</v>
      </c>
      <c r="F5" s="17">
        <f t="shared" si="1"/>
        <v>54.166666666666664</v>
      </c>
      <c r="G5" s="17">
        <f t="shared" si="2"/>
        <v>45.833333333333329</v>
      </c>
      <c r="H5">
        <f t="shared" si="3"/>
        <v>0</v>
      </c>
    </row>
    <row r="6" spans="1:8" x14ac:dyDescent="0.35">
      <c r="A6" t="s">
        <v>8393</v>
      </c>
      <c r="B6">
        <f>COUNTIFS(Kickstarter!$D:$D,"&gt;14999",Kickstarter!$D:$D,"&lt;20000",Kickstarter!$F:$F,"Successful", Kickstarter!$R:$R,"Plays")</f>
        <v>12</v>
      </c>
      <c r="C6">
        <f>COUNTIFS(Kickstarter!$D:$D,"&gt;14999",Kickstarter!$D:$D,"&lt;20000",Kickstarter!$F:$F,"Failed", Kickstarter!$R:$R,"Plays")</f>
        <v>12</v>
      </c>
      <c r="D6">
        <f>COUNTIFS(Kickstarter!$D:$D,"&gt;14999",Kickstarter!$D:$D,"&lt;20000",Kickstarter!$F:$F,"Canceled", Kickstarter!$R:$R,"Plays")</f>
        <v>0</v>
      </c>
      <c r="E6">
        <f t="shared" si="0"/>
        <v>24</v>
      </c>
      <c r="F6" s="17">
        <f t="shared" si="1"/>
        <v>50</v>
      </c>
      <c r="G6" s="17">
        <f t="shared" si="2"/>
        <v>50</v>
      </c>
      <c r="H6">
        <f t="shared" si="3"/>
        <v>0</v>
      </c>
    </row>
    <row r="7" spans="1:8" x14ac:dyDescent="0.35">
      <c r="A7" t="s">
        <v>8394</v>
      </c>
      <c r="B7">
        <f>COUNTIFS(Kickstarter!$D:$D,"&gt;19999",Kickstarter!$D:$D,"&lt;25000",Kickstarter!$F:$F,"Successful", Kickstarter!$R:$R,"Plays")</f>
        <v>9</v>
      </c>
      <c r="C7">
        <f>COUNTIFS(Kickstarter!$D:$D,"&gt;19999",Kickstarter!$D:$D,"&lt;25000",Kickstarter!$F:$F,"Failed", Kickstarter!$R:$R,"Plays")</f>
        <v>11</v>
      </c>
      <c r="D7">
        <f>COUNTIFS(Kickstarter!$D:$D,"&gt;19999",Kickstarter!$D:$D,"&lt;25000",Kickstarter!$F:$F,"Canceled", Kickstarter!$R:$R,"Plays")</f>
        <v>0</v>
      </c>
      <c r="E7">
        <f t="shared" si="0"/>
        <v>20</v>
      </c>
      <c r="F7" s="17">
        <f t="shared" si="1"/>
        <v>45</v>
      </c>
      <c r="G7" s="17">
        <f t="shared" si="2"/>
        <v>55.000000000000007</v>
      </c>
      <c r="H7">
        <f t="shared" si="3"/>
        <v>0</v>
      </c>
    </row>
    <row r="8" spans="1:8" x14ac:dyDescent="0.35">
      <c r="A8" t="s">
        <v>8395</v>
      </c>
      <c r="B8">
        <f>COUNTIFS(Kickstarter!$D:$D,"&gt;24999",Kickstarter!$D:$D,"&lt;30000",Kickstarter!$F:$F,"Successful", Kickstarter!$R:$R,"Plays")</f>
        <v>1</v>
      </c>
      <c r="C8">
        <f>COUNTIFS(Kickstarter!$D:$D,"&gt;24999",Kickstarter!$D:$D,"&lt;30000",Kickstarter!$F:$F,"Failed", Kickstarter!$R:$R,"Plays")</f>
        <v>4</v>
      </c>
      <c r="D8">
        <f>COUNTIFS(Kickstarter!$D:$D,"&gt;24999",Kickstarter!$D:$D,"&lt;30000",Kickstarter!$F:$F,"Canceled", Kickstarter!$R:$R,"Plays")</f>
        <v>0</v>
      </c>
      <c r="E8">
        <f t="shared" si="0"/>
        <v>5</v>
      </c>
      <c r="F8" s="17">
        <f t="shared" si="1"/>
        <v>20</v>
      </c>
      <c r="G8" s="17">
        <f t="shared" si="2"/>
        <v>80</v>
      </c>
      <c r="H8">
        <f t="shared" si="3"/>
        <v>0</v>
      </c>
    </row>
    <row r="9" spans="1:8" x14ac:dyDescent="0.35">
      <c r="A9" t="s">
        <v>8396</v>
      </c>
      <c r="B9">
        <f>COUNTIFS(Kickstarter!$D:$D,"&gt;29999",Kickstarter!$D:$D,"&lt;35000",Kickstarter!$F:$F,"Successful", Kickstarter!$R:$R,"Plays")</f>
        <v>3</v>
      </c>
      <c r="C9">
        <f>COUNTIFS(Kickstarter!$D:$D,"&gt;29999",Kickstarter!$D:$D,"&lt;35000",Kickstarter!$F:$F,"Failed", Kickstarter!$R:$R,"Plays")</f>
        <v>8</v>
      </c>
      <c r="D9">
        <f>COUNTIFS(Kickstarter!$D:$D,"&gt;29999",Kickstarter!$D:$D,"&lt;35000",Kickstarter!$F:$F,"Canceled", Kickstarter!$R:$R,"Plays")</f>
        <v>0</v>
      </c>
      <c r="E9">
        <f t="shared" si="0"/>
        <v>11</v>
      </c>
      <c r="F9" s="17">
        <f t="shared" si="1"/>
        <v>27.27272727272727</v>
      </c>
      <c r="G9" s="17">
        <f t="shared" si="2"/>
        <v>72.727272727272734</v>
      </c>
      <c r="H9">
        <f t="shared" si="3"/>
        <v>0</v>
      </c>
    </row>
    <row r="10" spans="1:8" x14ac:dyDescent="0.35">
      <c r="A10" t="s">
        <v>8397</v>
      </c>
      <c r="B10">
        <f>COUNTIFS(Kickstarter!$D:$D,"&gt;34999",Kickstarter!$D:$D,"&lt;40000",Kickstarter!$F:$F,"Successful", Kickstarter!$R:$R,"Plays")</f>
        <v>4</v>
      </c>
      <c r="C10">
        <f>COUNTIFS(Kickstarter!$D:$D,"&gt;34999",Kickstarter!$D:$D,"&lt;40000",Kickstarter!$F:$F,"Failed", Kickstarter!$R:$R,"Plays")</f>
        <v>2</v>
      </c>
      <c r="D10">
        <f>COUNTIFS(Kickstarter!$D:$D,"&gt;34999",Kickstarter!$D:$D,"&lt;40000",Kickstarter!$F:$F,"Canceled", Kickstarter!$R:$R,"Plays")</f>
        <v>0</v>
      </c>
      <c r="E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>
        <f t="shared" si="3"/>
        <v>0</v>
      </c>
    </row>
    <row r="11" spans="1:8" x14ac:dyDescent="0.35">
      <c r="A11" t="s">
        <v>8398</v>
      </c>
      <c r="B11">
        <f>COUNTIFS(Kickstarter!$D:$D,"&gt;39999",Kickstarter!$D:$D,"&lt;45000",Kickstarter!$F:$F,"Successful", Kickstarter!$R:$R,"Plays")</f>
        <v>2</v>
      </c>
      <c r="C11">
        <f>COUNTIFS(Kickstarter!$D:$D,"&gt;39999",Kickstarter!$D:$D,"&lt;45000",Kickstarter!$F:$F,"Failed", Kickstarter!$R:$R,"Plays")</f>
        <v>1</v>
      </c>
      <c r="D11">
        <f>COUNTIFS(Kickstarter!$D:$D,"&gt;39999",Kickstarter!$D:$D,"&lt;45000",Kickstarter!$F:$F,"Canceled", Kickstarter!$R:$R,"Plays")</f>
        <v>0</v>
      </c>
      <c r="E11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>
        <f t="shared" si="3"/>
        <v>0</v>
      </c>
    </row>
    <row r="12" spans="1:8" x14ac:dyDescent="0.35">
      <c r="A12" t="s">
        <v>8399</v>
      </c>
      <c r="B12">
        <f>COUNTIFS(Kickstarter!$D:$D,"&gt;44999",Kickstarter!$D:$D,"&lt;50000",Kickstarter!$F:$F,"Successful", Kickstarter!$R:$R,"Plays")</f>
        <v>0</v>
      </c>
      <c r="C12">
        <f>COUNTIFS(Kickstarter!$D:$D,"&gt;44999",Kickstarter!$D:$D,"&lt;50000",Kickstarter!$F:$F,"Failed", Kickstarter!$R:$R,"Plays")</f>
        <v>1</v>
      </c>
      <c r="D12">
        <f>COUNTIFS(Kickstarter!$D:$D,"&gt;44999",Kickstarter!$D:$D,"&lt;50000",Kickstarter!$F:$F,"Canceled", 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100</v>
      </c>
      <c r="H12">
        <f t="shared" si="3"/>
        <v>0</v>
      </c>
    </row>
    <row r="13" spans="1:8" x14ac:dyDescent="0.35">
      <c r="A13" t="s">
        <v>8400</v>
      </c>
      <c r="B13">
        <f>COUNTIFS(Kickstarter!$D:$D,"&gt;49999",Kickstarter!$F:$F,"Successful", Kickstarter!$R:$R,"Plays")</f>
        <v>2</v>
      </c>
      <c r="C13">
        <f>COUNTIFS(Kickstarter!$D:$D,"&gt;49999",Kickstarter!$F:$F,"Failed", Kickstarter!$R:$R,"Plays")</f>
        <v>14</v>
      </c>
      <c r="D13">
        <f>COUNTIFS(Kickstarter!$D:$D,"&gt;49999",Kickstarter!$F:$F,"Canceled", Kickstarter!$R:$R,"Plays")</f>
        <v>0</v>
      </c>
      <c r="E13">
        <f t="shared" si="0"/>
        <v>16</v>
      </c>
      <c r="F13" s="17">
        <f t="shared" si="1"/>
        <v>12.5</v>
      </c>
      <c r="G13" s="17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7"/>
  <sheetViews>
    <sheetView topLeftCell="O1" zoomScaleNormal="100" workbookViewId="0">
      <selection activeCell="S2" sqref="S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customWidth="1"/>
    <col min="16" max="16" width="15.7265625" customWidth="1"/>
    <col min="17" max="17" width="41.1796875" customWidth="1"/>
    <col min="18" max="18" width="13.36328125" customWidth="1"/>
    <col min="19" max="19" width="22.26953125" customWidth="1"/>
    <col min="20" max="20" width="20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8360</v>
      </c>
      <c r="S1" s="10" t="s">
        <v>8366</v>
      </c>
      <c r="T1" s="10" t="s">
        <v>8367</v>
      </c>
      <c r="U1" s="10" t="s">
        <v>8368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*100, 0)</f>
        <v>137</v>
      </c>
      <c r="P2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*100, 0)</f>
        <v>173</v>
      </c>
      <c r="P66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2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t="s">
        <v>8308</v>
      </c>
      <c r="Q125" s="12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 *100, 0)</f>
        <v>2</v>
      </c>
      <c r="P130">
        <f t="shared" si="6"/>
        <v>311.17</v>
      </c>
      <c r="Q130" s="12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 *100, 0)</f>
        <v>0</v>
      </c>
      <c r="P194">
        <f t="shared" si="11"/>
        <v>5.67</v>
      </c>
      <c r="Q194" s="12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 *100, 0)</f>
        <v>139</v>
      </c>
      <c r="P258">
        <f t="shared" si="16"/>
        <v>65.760000000000005</v>
      </c>
      <c r="Q258" s="12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 *100, 0)</f>
        <v>107</v>
      </c>
      <c r="P322">
        <f t="shared" si="21"/>
        <v>134.91</v>
      </c>
      <c r="Q322" s="12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 *100, 0)</f>
        <v>112</v>
      </c>
      <c r="P386">
        <f t="shared" si="26"/>
        <v>58.54</v>
      </c>
      <c r="Q386" s="12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 *100, 0)</f>
        <v>3</v>
      </c>
      <c r="P450">
        <f t="shared" si="31"/>
        <v>20.5</v>
      </c>
      <c r="Q450" s="12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 *100, 0)</f>
        <v>0</v>
      </c>
      <c r="P514">
        <f t="shared" si="36"/>
        <v>5.5</v>
      </c>
      <c r="Q514" s="12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 *100, 0)</f>
        <v>0</v>
      </c>
      <c r="P578">
        <f t="shared" si="41"/>
        <v>1</v>
      </c>
      <c r="Q578" s="12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 *100, 0)</f>
        <v>144</v>
      </c>
      <c r="P642">
        <f t="shared" si="46"/>
        <v>50.5</v>
      </c>
      <c r="Q642" s="12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 *100, 0)</f>
        <v>1</v>
      </c>
      <c r="P706">
        <f t="shared" si="51"/>
        <v>120.25</v>
      </c>
      <c r="Q706" s="12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 *100, 0)</f>
        <v>0</v>
      </c>
      <c r="P770">
        <f t="shared" si="56"/>
        <v>0</v>
      </c>
      <c r="Q770" s="12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 *100, 0)</f>
        <v>101</v>
      </c>
      <c r="P834">
        <f t="shared" si="61"/>
        <v>97.99</v>
      </c>
      <c r="Q834" s="12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 *100, 0)</f>
        <v>40</v>
      </c>
      <c r="P898">
        <f t="shared" si="66"/>
        <v>44.44</v>
      </c>
      <c r="Q898" s="12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 *100, 0)</f>
        <v>46</v>
      </c>
      <c r="P962">
        <f t="shared" si="71"/>
        <v>136.46</v>
      </c>
      <c r="Q962" s="12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 *100, 0)</f>
        <v>119</v>
      </c>
      <c r="P1026">
        <f t="shared" si="76"/>
        <v>388.98</v>
      </c>
      <c r="Q1026" s="12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 *100, 0)</f>
        <v>14</v>
      </c>
      <c r="P1090">
        <f t="shared" si="81"/>
        <v>43.42</v>
      </c>
      <c r="Q1090" s="12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 *100, 0)</f>
        <v>6</v>
      </c>
      <c r="P1154">
        <f t="shared" si="86"/>
        <v>60.73</v>
      </c>
      <c r="Q1154" s="12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 *100, 0)</f>
        <v>146</v>
      </c>
      <c r="P1218">
        <f t="shared" si="91"/>
        <v>91.88</v>
      </c>
      <c r="Q1218" s="12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 *100, 0)</f>
        <v>111</v>
      </c>
      <c r="P1282">
        <f t="shared" si="96"/>
        <v>127.98</v>
      </c>
      <c r="Q1282" s="12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 *100, 0)</f>
        <v>378</v>
      </c>
      <c r="P1346">
        <f t="shared" si="101"/>
        <v>40.76</v>
      </c>
      <c r="Q1346" s="12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 *100, 0)</f>
        <v>7</v>
      </c>
      <c r="P1410">
        <f t="shared" si="106"/>
        <v>12</v>
      </c>
      <c r="Q1410" s="12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 *100, 0)</f>
        <v>139</v>
      </c>
      <c r="P1474">
        <f t="shared" si="111"/>
        <v>103.2</v>
      </c>
      <c r="Q1474" s="12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 *100, 0)</f>
        <v>250</v>
      </c>
      <c r="P1538">
        <f t="shared" si="116"/>
        <v>66.02</v>
      </c>
      <c r="Q1538" s="12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 *100, 0)</f>
        <v>7</v>
      </c>
      <c r="P1602">
        <f t="shared" si="121"/>
        <v>40.78</v>
      </c>
      <c r="Q1602" s="12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 *100, 0)</f>
        <v>122</v>
      </c>
      <c r="P1666">
        <f t="shared" si="126"/>
        <v>34.380000000000003</v>
      </c>
      <c r="Q1666" s="12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 *100, 0)</f>
        <v>68</v>
      </c>
      <c r="P1730">
        <f t="shared" si="131"/>
        <v>122.14</v>
      </c>
      <c r="Q1730" s="12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 *100, 0)</f>
        <v>61</v>
      </c>
      <c r="P1794">
        <f t="shared" si="136"/>
        <v>109.94</v>
      </c>
      <c r="Q1794" s="12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 *100, 0)</f>
        <v>101</v>
      </c>
      <c r="P1858">
        <f t="shared" si="141"/>
        <v>53.29</v>
      </c>
      <c r="Q1858" s="12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 *100, 0)</f>
        <v>43</v>
      </c>
      <c r="P1922">
        <f t="shared" si="146"/>
        <v>40.98</v>
      </c>
      <c r="Q1922" s="12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 *100, 0)</f>
        <v>21</v>
      </c>
      <c r="P1986">
        <f t="shared" si="151"/>
        <v>453.14</v>
      </c>
      <c r="Q1986" s="12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 *100, 0)</f>
        <v>148</v>
      </c>
      <c r="P2050">
        <f t="shared" si="156"/>
        <v>91.83</v>
      </c>
      <c r="Q2050" s="12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 *100, 0)</f>
        <v>100</v>
      </c>
      <c r="P2114">
        <f t="shared" si="161"/>
        <v>27.27</v>
      </c>
      <c r="Q2114" s="12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 *100, 0)</f>
        <v>126</v>
      </c>
      <c r="P2178">
        <f t="shared" si="166"/>
        <v>88.75</v>
      </c>
      <c r="Q2178" s="12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 *100, 0)</f>
        <v>271</v>
      </c>
      <c r="P2242">
        <f t="shared" si="171"/>
        <v>140.97999999999999</v>
      </c>
      <c r="Q2242" s="12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 *100, 0)</f>
        <v>101</v>
      </c>
      <c r="P2306">
        <f t="shared" si="176"/>
        <v>53.47</v>
      </c>
      <c r="Q2306" s="12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 *100, 0)</f>
        <v>0</v>
      </c>
      <c r="P2370">
        <f t="shared" si="181"/>
        <v>50</v>
      </c>
      <c r="Q2370" s="12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 *100, 0)</f>
        <v>0</v>
      </c>
      <c r="P2434">
        <f t="shared" si="186"/>
        <v>1</v>
      </c>
      <c r="Q2434" s="12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 *100, 0)</f>
        <v>100</v>
      </c>
      <c r="P2498">
        <f t="shared" si="191"/>
        <v>600</v>
      </c>
      <c r="Q2498" s="12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 *100, 0)</f>
        <v>100</v>
      </c>
      <c r="P2562">
        <f t="shared" si="196"/>
        <v>143</v>
      </c>
      <c r="Q2562" s="12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 *100, 0)</f>
        <v>1379</v>
      </c>
      <c r="P2626">
        <f t="shared" si="201"/>
        <v>31.82</v>
      </c>
      <c r="Q2626" s="12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 *100, 0)</f>
        <v>0</v>
      </c>
      <c r="P2690">
        <f t="shared" si="206"/>
        <v>5.29</v>
      </c>
      <c r="Q2690" s="12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 *100, 0)</f>
        <v>11</v>
      </c>
      <c r="P2754">
        <f t="shared" si="211"/>
        <v>39.29</v>
      </c>
      <c r="Q2754" s="12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 *100, 0)</f>
        <v>142</v>
      </c>
      <c r="P2818">
        <f t="shared" si="216"/>
        <v>25.13</v>
      </c>
      <c r="Q2818" s="12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 *100, 0)</f>
        <v>23</v>
      </c>
      <c r="P2882">
        <f t="shared" si="221"/>
        <v>96.55</v>
      </c>
      <c r="Q2882" s="12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 *100, 0)</f>
        <v>1</v>
      </c>
      <c r="P2946">
        <f t="shared" si="226"/>
        <v>100</v>
      </c>
      <c r="Q2946" s="12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 *100, 0)</f>
        <v>101</v>
      </c>
      <c r="P3010">
        <f t="shared" si="231"/>
        <v>116.73</v>
      </c>
      <c r="Q3010" s="12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 *100, 0)</f>
        <v>0</v>
      </c>
      <c r="P3074">
        <f t="shared" si="236"/>
        <v>1</v>
      </c>
      <c r="Q3074" s="12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 *100, 0)</f>
        <v>128</v>
      </c>
      <c r="P3138">
        <f t="shared" si="241"/>
        <v>29.05</v>
      </c>
      <c r="Q3138" s="12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 *100, 0)</f>
        <v>0</v>
      </c>
      <c r="P3202">
        <f t="shared" si="246"/>
        <v>1</v>
      </c>
      <c r="Q3202" s="12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 *100, 0)</f>
        <v>103</v>
      </c>
      <c r="P3266">
        <f t="shared" si="251"/>
        <v>52.55</v>
      </c>
      <c r="Q3266" s="12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 *100, 0)</f>
        <v>146</v>
      </c>
      <c r="P3330">
        <f t="shared" si="256"/>
        <v>292.77999999999997</v>
      </c>
      <c r="Q3330" s="12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 *100, 0)</f>
        <v>100</v>
      </c>
      <c r="P3394">
        <f t="shared" si="261"/>
        <v>41.67</v>
      </c>
      <c r="Q3394" s="12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 *100, 0)</f>
        <v>191</v>
      </c>
      <c r="P3458">
        <f t="shared" si="266"/>
        <v>358.69</v>
      </c>
      <c r="Q3458" s="12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 *100, 0)</f>
        <v>101</v>
      </c>
      <c r="P3522">
        <f t="shared" si="271"/>
        <v>95.95</v>
      </c>
      <c r="Q3522" s="12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 *100, 0)</f>
        <v>116</v>
      </c>
      <c r="P3586">
        <f t="shared" si="276"/>
        <v>30.94</v>
      </c>
      <c r="Q3586" s="12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 *100, 0)</f>
        <v>100</v>
      </c>
      <c r="P3650">
        <f t="shared" si="281"/>
        <v>550.04</v>
      </c>
      <c r="Q3650" s="12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 *100, 0)</f>
        <v>154</v>
      </c>
      <c r="P3714">
        <f t="shared" si="286"/>
        <v>110.87</v>
      </c>
      <c r="Q3714" s="12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 *100, 0)</f>
        <v>107</v>
      </c>
      <c r="P3778">
        <f t="shared" si="291"/>
        <v>90.82</v>
      </c>
      <c r="Q3778" s="12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 *100, 0)</f>
        <v>6500</v>
      </c>
      <c r="P3842">
        <f t="shared" si="296"/>
        <v>21.67</v>
      </c>
      <c r="Q3842" s="12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 *100, 0)</f>
        <v>0</v>
      </c>
      <c r="P3906">
        <f t="shared" si="301"/>
        <v>1.5</v>
      </c>
      <c r="Q3906" s="12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 *100, 0)</f>
        <v>11</v>
      </c>
      <c r="P3970">
        <f t="shared" si="306"/>
        <v>47.91</v>
      </c>
      <c r="Q3970" s="12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 *100, 0)</f>
        <v>7</v>
      </c>
      <c r="P4034">
        <f t="shared" si="311"/>
        <v>59</v>
      </c>
      <c r="Q4034" s="12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 *100, 0)</f>
        <v>11</v>
      </c>
      <c r="P4098">
        <f t="shared" si="316"/>
        <v>80</v>
      </c>
      <c r="Q4098" s="12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7" si="321">IFERROR(ROUND(E4099/L4099,2),0)</f>
        <v>0</v>
      </c>
      <c r="Q4099" s="12" t="s">
        <v>8316</v>
      </c>
      <c r="R4099" t="s">
        <v>8317</v>
      </c>
      <c r="S4099" s="16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35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x14ac:dyDescent="0.35">
      <c r="P4117">
        <f t="shared" si="321"/>
        <v>0</v>
      </c>
      <c r="S4117" s="16">
        <f t="shared" si="322"/>
        <v>25569</v>
      </c>
      <c r="T4117" s="16">
        <f t="shared" si="323"/>
        <v>25569</v>
      </c>
      <c r="U4117">
        <f t="shared" si="324"/>
        <v>1970</v>
      </c>
    </row>
  </sheetData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B97E-097E-4387-860D-C0E96151ED95}">
  <sheetPr codeName="Sheet12"/>
  <dimension ref="A1:E7"/>
  <sheetViews>
    <sheetView workbookViewId="0">
      <selection activeCell="F10" sqref="F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8359</v>
      </c>
      <c r="B2" t="s">
        <v>8365</v>
      </c>
    </row>
    <row r="4" spans="1:5" x14ac:dyDescent="0.35">
      <c r="A4" s="13" t="s">
        <v>8364</v>
      </c>
      <c r="B4" s="13" t="s">
        <v>8363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Theater Outcomes by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Krystle West</cp:lastModifiedBy>
  <dcterms:created xsi:type="dcterms:W3CDTF">2017-04-20T15:17:24Z</dcterms:created>
  <dcterms:modified xsi:type="dcterms:W3CDTF">2022-08-11T21:16:01Z</dcterms:modified>
</cp:coreProperties>
</file>