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ystofslama/Documents/ČZU/Užitá Matematika/"/>
    </mc:Choice>
  </mc:AlternateContent>
  <xr:revisionPtr revIDLastSave="0" documentId="13_ncr:1_{72ADE6C4-962E-C246-99EA-E0A6064D897D}" xr6:coauthVersionLast="47" xr6:coauthVersionMax="47" xr10:uidLastSave="{00000000-0000-0000-0000-000000000000}"/>
  <bookViews>
    <workbookView xWindow="11720" yWindow="740" windowWidth="18520" windowHeight="18900" activeTab="2" xr2:uid="{8010A012-2593-ED42-8656-ACF4D25B7B5F}"/>
  </bookViews>
  <sheets>
    <sheet name="Procvicovani" sheetId="7" r:id="rId1"/>
    <sheet name="VelkýZapočtový" sheetId="8" r:id="rId2"/>
    <sheet name="SelfTesty" sheetId="4" r:id="rId3"/>
    <sheet name="Cviceni1" sheetId="1" r:id="rId4"/>
    <sheet name="Cviceni2" sheetId="3" r:id="rId5"/>
    <sheet name="Cviceni3" sheetId="2" r:id="rId6"/>
    <sheet name="Cviceni4" sheetId="5" r:id="rId7"/>
    <sheet name="Cviceni5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" i="4" l="1" a="1"/>
  <c r="C178" i="4" s="1"/>
  <c r="C179" i="4" a="1"/>
  <c r="C179" i="4" s="1"/>
  <c r="C180" i="4" a="1"/>
  <c r="C180" i="4" s="1"/>
  <c r="C170" i="4" a="1"/>
  <c r="C170" i="4" s="1"/>
  <c r="C174" i="4" s="1" a="1"/>
  <c r="C174" i="4" s="1"/>
  <c r="C172" i="4" a="1"/>
  <c r="C172" i="4" s="1"/>
  <c r="C171" i="4" a="1"/>
  <c r="C171" i="4" s="1"/>
  <c r="K166" i="4" a="1"/>
  <c r="K166" i="4" s="1"/>
  <c r="U12" i="4"/>
  <c r="E32" i="4" a="1"/>
  <c r="E32" i="4" s="1"/>
  <c r="C138" i="4" a="1"/>
  <c r="C138" i="4" s="1"/>
  <c r="H4" i="4"/>
  <c r="G4" i="4"/>
  <c r="C7" i="4" s="1"/>
  <c r="C175" i="4" l="1" a="1"/>
  <c r="C175" i="4" s="1"/>
  <c r="C176" i="4" a="1"/>
  <c r="C176" i="4" s="1"/>
  <c r="AB54" i="8" a="1"/>
  <c r="AB54" i="8" s="1"/>
  <c r="BW24" i="4"/>
  <c r="BX24" i="4"/>
  <c r="BY24" i="4"/>
  <c r="BZ24" i="4"/>
  <c r="CA24" i="4"/>
  <c r="CB24" i="4"/>
  <c r="CC24" i="4"/>
  <c r="BV24" i="4"/>
  <c r="AY91" i="8" l="1" a="1"/>
  <c r="AY91" i="8" s="1"/>
  <c r="AY92" i="8" a="1"/>
  <c r="AY92" i="8" s="1"/>
  <c r="AY93" i="8" a="1"/>
  <c r="AY93" i="8" s="1"/>
  <c r="AZ90" i="8"/>
  <c r="BA90" i="8"/>
  <c r="BB90" i="8"/>
  <c r="BC90" i="8"/>
  <c r="BD90" i="8"/>
  <c r="BE90" i="8"/>
  <c r="BF90" i="8"/>
  <c r="AY90" i="8"/>
  <c r="AX93" i="8"/>
  <c r="AW93" i="8"/>
  <c r="AX92" i="8"/>
  <c r="AW92" i="8"/>
  <c r="AX91" i="8"/>
  <c r="AW91" i="8"/>
  <c r="BF89" i="8"/>
  <c r="BG89" i="8" s="1"/>
  <c r="BA89" i="8"/>
  <c r="AZ89" i="8"/>
  <c r="AY89" i="8"/>
  <c r="AX89" i="8"/>
  <c r="AW89" i="8"/>
  <c r="BG88" i="8"/>
  <c r="BF88" i="8"/>
  <c r="BA88" i="8"/>
  <c r="AZ88" i="8"/>
  <c r="AY88" i="8"/>
  <c r="AX88" i="8"/>
  <c r="AW88" i="8"/>
  <c r="BF87" i="8"/>
  <c r="BG87" i="8" s="1"/>
  <c r="BA87" i="8"/>
  <c r="AZ87" i="8"/>
  <c r="AY87" i="8"/>
  <c r="AX87" i="8"/>
  <c r="AW87" i="8"/>
  <c r="BA85" i="8"/>
  <c r="AZ85" i="8"/>
  <c r="AY85" i="8"/>
  <c r="AY94" i="8" l="1"/>
  <c r="AZ94" i="8"/>
  <c r="BD94" i="8"/>
  <c r="BF94" i="8"/>
  <c r="BA94" i="8"/>
  <c r="BB94" i="8"/>
  <c r="BC94" i="8"/>
  <c r="BE94" i="8"/>
  <c r="AY70" i="8" l="1"/>
  <c r="AZ70" i="8"/>
  <c r="BA70" i="8"/>
  <c r="BB70" i="8"/>
  <c r="BC70" i="8"/>
  <c r="BD70" i="8"/>
  <c r="BE70" i="8"/>
  <c r="BF70" i="8"/>
  <c r="AX70" i="8"/>
  <c r="BG66" i="8"/>
  <c r="AY63" i="8"/>
  <c r="AZ63" i="8"/>
  <c r="BA63" i="8"/>
  <c r="BB63" i="8"/>
  <c r="BC63" i="8"/>
  <c r="BD63" i="8"/>
  <c r="BE63" i="8"/>
  <c r="BF63" i="8"/>
  <c r="AX63" i="8"/>
  <c r="AX54" i="8" a="1"/>
  <c r="AX54" i="8" s="1"/>
  <c r="AX57" i="8" s="1"/>
  <c r="BF54" i="8" a="1"/>
  <c r="BF54" i="8" s="1"/>
  <c r="BC57" i="8"/>
  <c r="BB57" i="8"/>
  <c r="BA57" i="8"/>
  <c r="BG56" i="8"/>
  <c r="AY57" i="8"/>
  <c r="AW56" i="8"/>
  <c r="AV56" i="8"/>
  <c r="BG55" i="8"/>
  <c r="AZ57" i="8"/>
  <c r="AW55" i="8"/>
  <c r="AV55" i="8"/>
  <c r="AW54" i="8"/>
  <c r="AV54" i="8"/>
  <c r="BG28" i="8"/>
  <c r="BG60" i="8" l="1"/>
  <c r="BG54" i="8"/>
  <c r="BF57" i="8"/>
  <c r="AH15" i="8" l="1" a="1"/>
  <c r="AH15" i="8" s="1"/>
  <c r="AX23" i="8" a="1"/>
  <c r="AX23" i="8" s="1"/>
  <c r="BE17" i="8" a="1"/>
  <c r="BE17" i="8" s="1"/>
  <c r="AY20" i="8"/>
  <c r="AZ20" i="8"/>
  <c r="BA20" i="8"/>
  <c r="BB20" i="8"/>
  <c r="BC20" i="8"/>
  <c r="BD20" i="8"/>
  <c r="AX20" i="8"/>
  <c r="AB109" i="8" l="1"/>
  <c r="AK81" i="8" a="1"/>
  <c r="AK81" i="8" s="1"/>
  <c r="AH81" i="8" a="1"/>
  <c r="AH81" i="8" s="1"/>
  <c r="AC90" i="8" a="1"/>
  <c r="AC90" i="8" s="1"/>
  <c r="AC89" i="8" s="1"/>
  <c r="AF91" i="8"/>
  <c r="AE91" i="8"/>
  <c r="AD91" i="8"/>
  <c r="AF89" i="8"/>
  <c r="AE89" i="8"/>
  <c r="AD89" i="8"/>
  <c r="AC87" i="8"/>
  <c r="AC86" i="8"/>
  <c r="AF85" i="8"/>
  <c r="AF87" i="8" s="1"/>
  <c r="AE85" i="8"/>
  <c r="AE86" i="8" s="1"/>
  <c r="AD85" i="8"/>
  <c r="AD86" i="8" s="1"/>
  <c r="AC85" i="8"/>
  <c r="F27" i="8"/>
  <c r="E27" i="8"/>
  <c r="AB53" i="8" a="1"/>
  <c r="AE53" i="8" s="1"/>
  <c r="AB52" i="8" a="1"/>
  <c r="AC52" i="8" s="1"/>
  <c r="AC91" i="8" l="1"/>
  <c r="AD87" i="8"/>
  <c r="AE87" i="8"/>
  <c r="AF86" i="8"/>
  <c r="AF95" i="8"/>
  <c r="AF94" i="8" s="1"/>
  <c r="AD95" i="8"/>
  <c r="AE95" i="8"/>
  <c r="AE94" i="8" s="1"/>
  <c r="AD93" i="8"/>
  <c r="AE93" i="8"/>
  <c r="AD94" i="8"/>
  <c r="AF93" i="8"/>
  <c r="AD52" i="8"/>
  <c r="AE52" i="8"/>
  <c r="AB53" i="8"/>
  <c r="AC53" i="8"/>
  <c r="AD53" i="8"/>
  <c r="AB52" i="8"/>
  <c r="AC95" i="8" l="1"/>
  <c r="AC94" i="8" s="1"/>
  <c r="AB56" i="8" a="1"/>
  <c r="AB57" i="8" a="1"/>
  <c r="AC93" i="8" l="1"/>
  <c r="AC57" i="8"/>
  <c r="AB57" i="8"/>
  <c r="AE57" i="8"/>
  <c r="AD57" i="8"/>
  <c r="AE56" i="8"/>
  <c r="AB56" i="8"/>
  <c r="AD56" i="8"/>
  <c r="AC56" i="8"/>
  <c r="AB58" i="8" l="1" a="1"/>
  <c r="AE58" i="8" l="1"/>
  <c r="AD58" i="8"/>
  <c r="AC58" i="8"/>
  <c r="AB58" i="8"/>
  <c r="AB62" i="8" s="1" a="1"/>
  <c r="AE62" i="8" l="1"/>
  <c r="AD62" i="8"/>
  <c r="AC62" i="8"/>
  <c r="AB62" i="8"/>
  <c r="AB60" i="8" l="1" a="1"/>
  <c r="AB61" i="8" a="1"/>
  <c r="AD61" i="8" l="1"/>
  <c r="AC61" i="8"/>
  <c r="AB61" i="8"/>
  <c r="AE61" i="8"/>
  <c r="AD60" i="8"/>
  <c r="AC60" i="8"/>
  <c r="AE60" i="8"/>
  <c r="AB60" i="8"/>
  <c r="AA29" i="8" l="1" a="1"/>
  <c r="AA29" i="8" s="1"/>
  <c r="AA33" i="8" s="1" a="1"/>
  <c r="AA33" i="8" s="1"/>
  <c r="AA28" i="8" a="1"/>
  <c r="AA28" i="8" s="1"/>
  <c r="AI12" i="8"/>
  <c r="AF11" i="8"/>
  <c r="AA32" i="8" l="1" a="1"/>
  <c r="AA32" i="8" s="1"/>
  <c r="AA30" i="8" a="1"/>
  <c r="AA30" i="8" s="1"/>
  <c r="AA34" i="8" s="1" a="1"/>
  <c r="AA34" i="8" s="1"/>
  <c r="AA38" i="8" s="1" a="1"/>
  <c r="AA38" i="8" s="1"/>
  <c r="AA37" i="8" s="1" a="1"/>
  <c r="AA37" i="8" s="1"/>
  <c r="AA36" i="8" l="1" a="1"/>
  <c r="AA36" i="8" s="1"/>
  <c r="AJ44" i="7" l="1"/>
  <c r="AI44" i="7"/>
  <c r="AJ48" i="7"/>
  <c r="AJ49" i="7"/>
  <c r="AJ47" i="7"/>
  <c r="AI48" i="7"/>
  <c r="AI49" i="7"/>
  <c r="AI47" i="7"/>
  <c r="AC33" i="7" a="1"/>
  <c r="AC33" i="7" s="1"/>
  <c r="AC32" i="7" a="1"/>
  <c r="AC32" i="7" s="1"/>
  <c r="AC34" i="7" s="1"/>
  <c r="AC31" i="7" a="1"/>
  <c r="AC31" i="7" s="1"/>
  <c r="AC30" i="7"/>
  <c r="AC28" i="7" a="1"/>
  <c r="AC28" i="7" s="1"/>
  <c r="AJ28" i="7" s="1"/>
  <c r="AJ29" i="7"/>
  <c r="AJ27" i="7"/>
  <c r="AC27" i="7" a="1"/>
  <c r="AC27" i="7" s="1"/>
  <c r="AJ24" i="7"/>
  <c r="AJ25" i="7"/>
  <c r="AJ23" i="7"/>
  <c r="AC26" i="7"/>
  <c r="W18" i="2" a="1"/>
  <c r="W18" i="2" s="1"/>
  <c r="AG34" i="7" l="1"/>
  <c r="AF34" i="7"/>
  <c r="AH34" i="7"/>
  <c r="AE34" i="7"/>
  <c r="AI34" i="7"/>
  <c r="AD34" i="7"/>
  <c r="AI26" i="7"/>
  <c r="AD26" i="7"/>
  <c r="AE26" i="7"/>
  <c r="AF26" i="7"/>
  <c r="AG26" i="7"/>
  <c r="AH26" i="7"/>
  <c r="AC29" i="7" l="1" a="1"/>
  <c r="AC29" i="7" s="1"/>
  <c r="AG30" i="7" l="1"/>
  <c r="AD30" i="7"/>
  <c r="AI30" i="7"/>
  <c r="AF30" i="7"/>
  <c r="AE30" i="7"/>
  <c r="AH30" i="7"/>
  <c r="AD53" i="7" l="1" a="1"/>
  <c r="AD53" i="7" s="1"/>
  <c r="AC53" i="7" a="1"/>
  <c r="AC53" i="7" s="1"/>
  <c r="Q86" i="4" a="1"/>
  <c r="Q86" i="4" s="1"/>
  <c r="Q89" i="4" s="1" a="1"/>
  <c r="Q89" i="4" s="1"/>
  <c r="U71" i="4" a="1"/>
  <c r="U71" i="4" s="1"/>
  <c r="U62" i="4" a="1"/>
  <c r="U62" i="4" s="1"/>
  <c r="Q57" i="4"/>
  <c r="Q32" i="4" a="1"/>
  <c r="Q32" i="4" s="1"/>
  <c r="Q33" i="4" s="1" a="1"/>
  <c r="Q33" i="4" s="1"/>
  <c r="Q19" i="4" a="1"/>
  <c r="Q19" i="4" s="1"/>
  <c r="K32" i="7"/>
  <c r="K31" i="7"/>
  <c r="K30" i="7"/>
  <c r="K34" i="7" s="1"/>
  <c r="C32" i="7" a="1"/>
  <c r="C32" i="7" s="1"/>
  <c r="C33" i="7" s="1" a="1"/>
  <c r="C33" i="7" s="1"/>
  <c r="C39" i="7" s="1" a="1"/>
  <c r="C39" i="7" s="1"/>
  <c r="C82" i="7" a="1"/>
  <c r="C82" i="7" s="1"/>
  <c r="C83" i="7" s="1" a="1"/>
  <c r="C83" i="7" s="1"/>
  <c r="C88" i="7" s="1" a="1"/>
  <c r="C88" i="7" s="1"/>
  <c r="C93" i="7" s="1" a="1"/>
  <c r="C93" i="7" s="1"/>
  <c r="C84" i="7" l="1" a="1"/>
  <c r="C84" i="7" s="1"/>
  <c r="C89" i="7" s="1" a="1"/>
  <c r="C89" i="7" s="1"/>
  <c r="C94" i="7" s="1" a="1"/>
  <c r="C94" i="7" s="1"/>
  <c r="C87" i="7" a="1"/>
  <c r="C87" i="7" s="1"/>
  <c r="Q87" i="4" a="1"/>
  <c r="Q87" i="4" s="1"/>
  <c r="Q88" i="4" a="1"/>
  <c r="Q88" i="4" s="1"/>
  <c r="Q94" i="4" s="1" a="1"/>
  <c r="Q94" i="4" s="1"/>
  <c r="Q99" i="4" s="1" a="1"/>
  <c r="Q99" i="4" s="1"/>
  <c r="C34" i="7" a="1"/>
  <c r="C34" i="7" s="1"/>
  <c r="C40" i="7" s="1" a="1"/>
  <c r="C40" i="7" s="1"/>
  <c r="C46" i="7" s="1" a="1"/>
  <c r="C46" i="7" s="1"/>
  <c r="C45" i="7" s="1" a="1"/>
  <c r="C45" i="7" s="1"/>
  <c r="C38" i="7" a="1"/>
  <c r="C38" i="7" s="1"/>
  <c r="C92" i="7" l="1" a="1"/>
  <c r="C92" i="7" s="1"/>
  <c r="Q93" i="4" a="1"/>
  <c r="Q93" i="4" s="1"/>
  <c r="Q100" i="4" s="1" a="1"/>
  <c r="Q100" i="4" s="1"/>
  <c r="Q106" i="4" s="1" a="1"/>
  <c r="Q106" i="4" s="1"/>
  <c r="Q92" i="4" a="1"/>
  <c r="Q92" i="4" s="1"/>
  <c r="Q98" i="4" s="1" a="1"/>
  <c r="Q98" i="4" s="1"/>
  <c r="Q104" i="4" s="1" a="1"/>
  <c r="Q104" i="4" s="1"/>
  <c r="Q110" i="4" s="1" a="1"/>
  <c r="Q110" i="4" s="1"/>
  <c r="Q95" i="4" a="1"/>
  <c r="Q95" i="4" s="1"/>
  <c r="Q101" i="4" s="1" a="1"/>
  <c r="Q101" i="4" s="1"/>
  <c r="Q107" i="4" s="1" a="1"/>
  <c r="Q107" i="4" s="1"/>
  <c r="Q113" i="4" s="1" a="1"/>
  <c r="Q113" i="4" s="1"/>
  <c r="C44" i="7" a="1"/>
  <c r="C44" i="7" s="1"/>
  <c r="Q112" i="4" l="1" a="1"/>
  <c r="Q112" i="4" s="1"/>
  <c r="Q105" i="4" a="1"/>
  <c r="Q105" i="4" s="1"/>
  <c r="Q111" i="4" s="1" a="1"/>
  <c r="Q111" i="4" s="1"/>
  <c r="W16" i="2" l="1"/>
  <c r="C13" i="3" l="1" a="1"/>
  <c r="C13" i="3" s="1"/>
  <c r="C12" i="3" a="1"/>
  <c r="C12" i="3" s="1"/>
  <c r="AP59" i="4" l="1" a="1"/>
  <c r="AP59" i="4" s="1"/>
  <c r="AP57" i="4" s="1" a="1"/>
  <c r="AZ52" i="4" a="1"/>
  <c r="AZ52" i="4" s="1"/>
  <c r="AQ56" i="4"/>
  <c r="AR56" i="4"/>
  <c r="AS56" i="4"/>
  <c r="AT56" i="4"/>
  <c r="AU56" i="4"/>
  <c r="AV56" i="4"/>
  <c r="AW56" i="4"/>
  <c r="AX56" i="4"/>
  <c r="AY56" i="4"/>
  <c r="AP56" i="4"/>
  <c r="AP32" i="4" a="1"/>
  <c r="AP32" i="4" s="1"/>
  <c r="AP33" i="4" s="1" a="1"/>
  <c r="AP33" i="4" s="1"/>
  <c r="AZ25" i="4" a="1"/>
  <c r="AZ25" i="4" s="1"/>
  <c r="AY17" i="4"/>
  <c r="AW17" i="4"/>
  <c r="AX17" i="4"/>
  <c r="AQ17" i="4"/>
  <c r="AR17" i="4"/>
  <c r="AS17" i="4"/>
  <c r="AT17" i="4"/>
  <c r="AU17" i="4"/>
  <c r="AV17" i="4"/>
  <c r="AP17" i="4"/>
  <c r="T25" i="6"/>
  <c r="AD21" i="6" a="1"/>
  <c r="AD21" i="6" s="1"/>
  <c r="AC25" i="6"/>
  <c r="U25" i="6"/>
  <c r="V25" i="6"/>
  <c r="W25" i="6"/>
  <c r="X25" i="6"/>
  <c r="Y25" i="6"/>
  <c r="Z25" i="6"/>
  <c r="AA25" i="6"/>
  <c r="AB25" i="6"/>
  <c r="F28" i="6"/>
  <c r="N21" i="6" a="1"/>
  <c r="N21" i="6" s="1"/>
  <c r="G28" i="6"/>
  <c r="H28" i="6"/>
  <c r="I28" i="6"/>
  <c r="J28" i="6"/>
  <c r="K28" i="6"/>
  <c r="L28" i="6"/>
  <c r="M28" i="6"/>
  <c r="F25" i="6" a="1"/>
  <c r="F25" i="6" s="1"/>
  <c r="F26" i="6" a="1"/>
  <c r="F26" i="6" s="1"/>
  <c r="F27" i="6" a="1"/>
  <c r="F27" i="6" s="1"/>
  <c r="F24" i="6"/>
  <c r="K15" i="5" a="1"/>
  <c r="K15" i="5" s="1"/>
  <c r="G24" i="6"/>
  <c r="H24" i="6"/>
  <c r="I24" i="6"/>
  <c r="J24" i="6"/>
  <c r="K24" i="6"/>
  <c r="L24" i="6"/>
  <c r="M24" i="6"/>
  <c r="D59" i="5" a="1"/>
  <c r="D59" i="5" s="1"/>
  <c r="C59" i="5" a="1"/>
  <c r="C59" i="5" s="1"/>
  <c r="D53" i="5" a="1"/>
  <c r="D53" i="5" s="1"/>
  <c r="D54" i="5" s="1" a="1"/>
  <c r="D54" i="5" s="1"/>
  <c r="K48" i="5" a="1"/>
  <c r="K48" i="5" s="1"/>
  <c r="B48" i="5" a="1"/>
  <c r="B48" i="5" s="1"/>
  <c r="F40" i="5" a="1"/>
  <c r="F40" i="5" s="1"/>
  <c r="E40" i="5" a="1"/>
  <c r="E40" i="5" s="1"/>
  <c r="D40" i="5" a="1"/>
  <c r="D40" i="5" s="1"/>
  <c r="D19" i="5" a="1"/>
  <c r="D19" i="5" s="1"/>
  <c r="D23" i="5" s="1" a="1"/>
  <c r="D23" i="5" s="1"/>
  <c r="D24" i="5" s="1" a="1"/>
  <c r="D24" i="5" s="1"/>
  <c r="D20" i="5" a="1"/>
  <c r="D20" i="5" s="1"/>
  <c r="D21" i="5" a="1"/>
  <c r="D21" i="5" s="1"/>
  <c r="AD13" i="2" a="1"/>
  <c r="AD13" i="2" s="1"/>
  <c r="E18" i="5"/>
  <c r="F18" i="5"/>
  <c r="G18" i="5"/>
  <c r="H18" i="5"/>
  <c r="I18" i="5"/>
  <c r="J18" i="5"/>
  <c r="D18" i="5"/>
  <c r="AP57" i="4" l="1"/>
  <c r="AP60" i="4" a="1"/>
  <c r="AP60" i="4" s="1"/>
  <c r="AP31" i="4" a="1"/>
  <c r="AP31" i="4" s="1"/>
  <c r="AP30" i="4" a="1"/>
  <c r="AP58" i="4" a="1"/>
  <c r="AP58" i="4" s="1"/>
  <c r="D52" i="5" a="1"/>
  <c r="D25" i="5" a="1"/>
  <c r="D25" i="5" s="1"/>
  <c r="J26" i="5"/>
  <c r="K19" i="5" a="1"/>
  <c r="K19" i="5" s="1"/>
  <c r="I22" i="5"/>
  <c r="J22" i="5"/>
  <c r="D26" i="5"/>
  <c r="E22" i="5"/>
  <c r="H26" i="5"/>
  <c r="H22" i="5"/>
  <c r="G22" i="5"/>
  <c r="F22" i="5"/>
  <c r="I26" i="5"/>
  <c r="D22" i="5"/>
  <c r="B98" i="4" a="1"/>
  <c r="B98" i="4" s="1"/>
  <c r="B100" i="4" s="1" a="1"/>
  <c r="B100" i="4" s="1"/>
  <c r="F68" i="4" a="1"/>
  <c r="F68" i="4" s="1"/>
  <c r="F70" i="4" s="1" a="1"/>
  <c r="F70" i="4" s="1"/>
  <c r="B68" i="4" a="1"/>
  <c r="B68" i="4" s="1"/>
  <c r="B48" i="4" a="1"/>
  <c r="B48" i="4" s="1"/>
  <c r="B51" i="4" s="1" a="1"/>
  <c r="B51" i="4" s="1"/>
  <c r="B23" i="4" a="1"/>
  <c r="B23" i="4" s="1"/>
  <c r="J57" i="3" a="1"/>
  <c r="J57" i="3" s="1"/>
  <c r="C60" i="3" a="1"/>
  <c r="C60" i="3" s="1"/>
  <c r="C59" i="3" a="1"/>
  <c r="C59" i="3" s="1"/>
  <c r="C57" i="3" a="1"/>
  <c r="C57" i="3" s="1"/>
  <c r="C58" i="3" a="1"/>
  <c r="C58" i="3" s="1"/>
  <c r="C55" i="3" a="1"/>
  <c r="C55" i="3" s="1"/>
  <c r="C53" i="3" a="1"/>
  <c r="C53" i="3" s="1"/>
  <c r="C52" i="3" a="1"/>
  <c r="C52" i="3" s="1"/>
  <c r="C54" i="3" a="1"/>
  <c r="C54" i="3" s="1"/>
  <c r="C49" i="3" a="1"/>
  <c r="C49" i="3" s="1"/>
  <c r="C48" i="3" a="1"/>
  <c r="C48" i="3" s="1"/>
  <c r="C47" i="3" a="1"/>
  <c r="C47" i="3" s="1"/>
  <c r="C50" i="3" a="1"/>
  <c r="C50" i="3" s="1"/>
  <c r="C45" i="3" a="1"/>
  <c r="C45" i="3" s="1"/>
  <c r="C42" i="3" a="1"/>
  <c r="C42" i="3" s="1"/>
  <c r="C44" i="3" s="1" a="1"/>
  <c r="C44" i="3" s="1"/>
  <c r="C28" i="3" a="1"/>
  <c r="C28" i="3" s="1"/>
  <c r="C30" i="3" s="1" a="1"/>
  <c r="C30" i="3" s="1"/>
  <c r="AL16" i="1" a="1"/>
  <c r="AL16" i="1" s="1"/>
  <c r="AL14" i="1" a="1"/>
  <c r="AL14" i="1" s="1"/>
  <c r="AL12" i="1" a="1"/>
  <c r="AL12" i="1" s="1"/>
  <c r="T32" i="1" a="1"/>
  <c r="T32" i="1" s="1"/>
  <c r="T26" i="1" a="1"/>
  <c r="T26" i="1" s="1"/>
  <c r="T23" i="1" a="1"/>
  <c r="T23" i="1" s="1"/>
  <c r="X15" i="1" a="1"/>
  <c r="X15" i="1" s="1"/>
  <c r="T15" i="1" a="1"/>
  <c r="T15" i="1" s="1"/>
  <c r="B18" i="1" a="1"/>
  <c r="B18" i="1" s="1"/>
  <c r="F69" i="4" l="1" a="1"/>
  <c r="F69" i="4" s="1"/>
  <c r="F73" i="4" s="1" a="1"/>
  <c r="F73" i="4" s="1"/>
  <c r="B101" i="4" a="1"/>
  <c r="B101" i="4" s="1"/>
  <c r="AW61" i="4"/>
  <c r="B49" i="4" a="1"/>
  <c r="B49" i="4" s="1"/>
  <c r="B54" i="4" s="1" a="1"/>
  <c r="B54" i="4" s="1"/>
  <c r="B50" i="4" a="1"/>
  <c r="B50" i="4" s="1"/>
  <c r="AT61" i="4"/>
  <c r="AQ61" i="4"/>
  <c r="B99" i="4" a="1"/>
  <c r="B99" i="4" s="1"/>
  <c r="B104" i="4" s="1" a="1"/>
  <c r="B104" i="4" s="1"/>
  <c r="AZ57" i="4" a="1"/>
  <c r="AZ57" i="4" s="1"/>
  <c r="AV61" i="4"/>
  <c r="AU61" i="4"/>
  <c r="AS61" i="4"/>
  <c r="AP30" i="4"/>
  <c r="AP34" i="4" s="1"/>
  <c r="AU34" i="4"/>
  <c r="AQ34" i="4"/>
  <c r="AV34" i="4"/>
  <c r="AY34" i="4"/>
  <c r="AW34" i="4"/>
  <c r="AX34" i="4"/>
  <c r="AR34" i="4"/>
  <c r="AS34" i="4"/>
  <c r="AT34" i="4"/>
  <c r="AR61" i="4"/>
  <c r="AX61" i="4"/>
  <c r="AY61" i="4"/>
  <c r="AP61" i="4"/>
  <c r="D52" i="5"/>
  <c r="D55" i="5" s="1"/>
  <c r="E55" i="5"/>
  <c r="F55" i="5"/>
  <c r="H55" i="5"/>
  <c r="I55" i="5"/>
  <c r="J55" i="5"/>
  <c r="G55" i="5"/>
  <c r="F26" i="5"/>
  <c r="E26" i="5"/>
  <c r="G26" i="5"/>
  <c r="C29" i="3" a="1"/>
  <c r="C29" i="3" s="1"/>
  <c r="C43" i="3" a="1"/>
  <c r="C43" i="3" s="1"/>
  <c r="C16" i="3" a="1"/>
  <c r="C16" i="3" s="1"/>
  <c r="C11" i="3" a="1"/>
  <c r="C11" i="3" s="1"/>
  <c r="F8" i="3"/>
  <c r="E8" i="3"/>
  <c r="B55" i="4" l="1" a="1"/>
  <c r="B55" i="4" s="1"/>
  <c r="B53" i="4" a="1"/>
  <c r="B53" i="4" s="1"/>
  <c r="B56" i="4" a="1"/>
  <c r="B56" i="4" s="1"/>
  <c r="B105" i="4" a="1"/>
  <c r="B105" i="4" s="1"/>
  <c r="B106" i="4" a="1"/>
  <c r="B106" i="4" s="1"/>
  <c r="B103" i="4" a="1"/>
  <c r="B103" i="4" s="1"/>
  <c r="F74" i="4" a="1"/>
  <c r="F74" i="4" s="1"/>
  <c r="F78" i="4" s="1" a="1"/>
  <c r="F78" i="4" s="1"/>
  <c r="F72" i="4" a="1"/>
  <c r="F72" i="4" s="1"/>
  <c r="C17" i="3" a="1"/>
  <c r="C17" i="3" s="1"/>
  <c r="C15" i="3" a="1"/>
  <c r="C15" i="3" s="1"/>
  <c r="F77" i="4" l="1" a="1"/>
  <c r="F77" i="4" s="1"/>
  <c r="F76" i="4" a="1"/>
  <c r="F76" i="4" s="1"/>
  <c r="L13" i="2" a="1"/>
  <c r="L13" i="2" s="1"/>
  <c r="M13" i="2" a="1"/>
  <c r="M13" i="2" s="1"/>
  <c r="W19" i="2" a="1"/>
  <c r="W19" i="2" s="1"/>
  <c r="W17" i="2" s="1" a="1"/>
  <c r="X16" i="2"/>
  <c r="Y16" i="2"/>
  <c r="Z16" i="2"/>
  <c r="AA16" i="2"/>
  <c r="AB16" i="2"/>
  <c r="W17" i="2" l="1"/>
  <c r="W21" i="2" s="1" a="1"/>
  <c r="W21" i="2" l="1"/>
  <c r="W22" i="2" a="1"/>
  <c r="AA20" i="2"/>
  <c r="Z20" i="2"/>
  <c r="W20" i="2"/>
  <c r="AC20" i="2"/>
  <c r="X20" i="2"/>
  <c r="AB20" i="2"/>
  <c r="Y20" i="2"/>
  <c r="AD17" i="2" a="1"/>
  <c r="AD17" i="2" s="1"/>
  <c r="W22" i="2" l="1"/>
  <c r="AB24" i="2"/>
  <c r="W23" i="2" a="1"/>
  <c r="W23" i="2" s="1"/>
  <c r="W24" i="2" s="1"/>
  <c r="AC24" i="2" l="1"/>
  <c r="Y24" i="2"/>
  <c r="AA24" i="2"/>
  <c r="X24" i="2"/>
  <c r="Z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F91" authorId="0" shapeId="0" xr:uid="{601FF6F4-0A63-6048-B406-E76564A61572}">
      <text>
        <r>
          <rPr>
            <b/>
            <sz val="9"/>
            <color rgb="FF000000"/>
            <rFont val="Tahoma"/>
            <family val="2"/>
            <charset val="238"/>
          </rPr>
          <t>ve vektoru pravé strany není žádná nulová honota, řešení tedy není degenerované</t>
        </r>
      </text>
    </comment>
    <comment ref="AY94" authorId="0" shapeId="0" xr:uid="{4E86710C-AE33-BC4A-99FB-30D513061303}">
      <text>
        <r>
          <rPr>
            <b/>
            <sz val="9"/>
            <color rgb="FF000000"/>
            <rFont val="Tahoma"/>
            <family val="2"/>
            <charset val="238"/>
          </rPr>
          <t>v kriteriálním řádku není nulová hodnota pod žádnou nebazickou proměnnou, neexistuje tedy alternativní optimální řešení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<sst xmlns="http://schemas.openxmlformats.org/spreadsheetml/2006/main" count="829" uniqueCount="359">
  <si>
    <t>rez.</t>
  </si>
  <si>
    <t>pouz.</t>
  </si>
  <si>
    <t>obvod</t>
  </si>
  <si>
    <t>A</t>
  </si>
  <si>
    <t>B</t>
  </si>
  <si>
    <t>C</t>
  </si>
  <si>
    <t>cena</t>
  </si>
  <si>
    <t>&lt;=</t>
  </si>
  <si>
    <t>omez1</t>
  </si>
  <si>
    <t>omez2</t>
  </si>
  <si>
    <t>omez3</t>
  </si>
  <si>
    <t>b</t>
  </si>
  <si>
    <t>typ</t>
  </si>
  <si>
    <t>pouzdra.</t>
  </si>
  <si>
    <t>obvody</t>
  </si>
  <si>
    <t>ks</t>
  </si>
  <si>
    <t>x1</t>
  </si>
  <si>
    <t>x2</t>
  </si>
  <si>
    <t>x3</t>
  </si>
  <si>
    <t>d1</t>
  </si>
  <si>
    <t>d2</t>
  </si>
  <si>
    <t>d3</t>
  </si>
  <si>
    <t>zj-cj</t>
  </si>
  <si>
    <t>omega</t>
  </si>
  <si>
    <t>x</t>
  </si>
  <si>
    <t>y</t>
  </si>
  <si>
    <t>ucel</t>
  </si>
  <si>
    <t>3. Simplexova tabulka</t>
  </si>
  <si>
    <t>sad B</t>
  </si>
  <si>
    <t>sad C</t>
  </si>
  <si>
    <t>prebytek</t>
  </si>
  <si>
    <t>Příklad 1</t>
  </si>
  <si>
    <t>A)</t>
  </si>
  <si>
    <t>Nekonečně mnoho řešení</t>
  </si>
  <si>
    <t>B)</t>
  </si>
  <si>
    <r>
      <t>a</t>
    </r>
    <r>
      <rPr>
        <sz val="12"/>
        <color theme="1"/>
        <rFont val="Times New Roman"/>
        <family val="1"/>
        <charset val="238"/>
      </rPr>
      <t xml:space="preserve"> = (5, 7, 2, 3), 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= (-1, -5, 4, 6),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= (2, -7, -4, 3),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= (1, 4, 3, 0)</t>
    </r>
  </si>
  <si>
    <r>
      <t>Určete vektor e</t>
    </r>
    <r>
      <rPr>
        <sz val="12"/>
        <color theme="1"/>
        <rFont val="Times New Roman"/>
        <family val="1"/>
        <charset val="238"/>
      </rPr>
      <t xml:space="preserve"> jako</t>
    </r>
  </si>
  <si>
    <r>
      <t xml:space="preserve">a)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= </t>
    </r>
    <r>
      <rPr>
        <b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+ 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- </t>
    </r>
    <r>
      <rPr>
        <b/>
        <sz val="12"/>
        <color theme="1"/>
        <rFont val="Times New Roman"/>
        <family val="1"/>
        <charset val="238"/>
      </rPr>
      <t>c</t>
    </r>
  </si>
  <si>
    <r>
      <t xml:space="preserve">b)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= 3</t>
    </r>
    <r>
      <rPr>
        <b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+ 2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- 4</t>
    </r>
    <r>
      <rPr>
        <b/>
        <sz val="12"/>
        <color theme="1"/>
        <rFont val="Times New Roman"/>
        <family val="1"/>
        <charset val="238"/>
      </rPr>
      <t>a</t>
    </r>
  </si>
  <si>
    <r>
      <t xml:space="preserve">c) lineární kombinaci vektorů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a </t>
    </r>
    <r>
      <rPr>
        <b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s koeficienty 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= -5 a 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= 4</t>
    </r>
  </si>
  <si>
    <r>
      <t xml:space="preserve">d) lineární konvexní kombinaci vektorů </t>
    </r>
    <r>
      <rPr>
        <b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a </t>
    </r>
    <r>
      <rPr>
        <b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 xml:space="preserve"> s koeficientem 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= 0,7 (</t>
    </r>
    <r>
      <rPr>
        <i/>
        <sz val="12"/>
        <color theme="1"/>
        <rFont val="Times New Roman"/>
        <family val="1"/>
        <charset val="238"/>
      </rPr>
      <t>l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dopočítejte)</t>
    </r>
  </si>
  <si>
    <t>a)</t>
  </si>
  <si>
    <t>a</t>
  </si>
  <si>
    <t>c</t>
  </si>
  <si>
    <t xml:space="preserve">e = </t>
  </si>
  <si>
    <t>Příklad 3</t>
  </si>
  <si>
    <t>3x3</t>
  </si>
  <si>
    <t>3x2</t>
  </si>
  <si>
    <t>2x3</t>
  </si>
  <si>
    <t>D = B*C</t>
  </si>
  <si>
    <t>D = C*B</t>
  </si>
  <si>
    <t>D = (C*A)*B</t>
  </si>
  <si>
    <t>D = A-1</t>
  </si>
  <si>
    <t>Příklad 4</t>
  </si>
  <si>
    <t>sada A</t>
  </si>
  <si>
    <t>sada B</t>
  </si>
  <si>
    <t>sada C</t>
  </si>
  <si>
    <t>1.a)</t>
  </si>
  <si>
    <t>d</t>
  </si>
  <si>
    <t>… jedná se o součet vektorů</t>
  </si>
  <si>
    <t>1.b)</t>
  </si>
  <si>
    <r>
      <t xml:space="preserve">… jedná se o rozdíl </t>
    </r>
    <r>
      <rPr>
        <b/>
        <sz val="11"/>
        <color theme="1"/>
        <rFont val="Aptos Narrow"/>
        <family val="2"/>
        <charset val="238"/>
        <scheme val="minor"/>
      </rPr>
      <t>c</t>
    </r>
    <r>
      <rPr>
        <sz val="12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charset val="238"/>
        <scheme val="minor"/>
      </rPr>
      <t>b</t>
    </r>
  </si>
  <si>
    <t>1.c)</t>
  </si>
  <si>
    <r>
      <t>… jedná se o součet vektorů násobených skalárem (</t>
    </r>
    <r>
      <rPr>
        <b/>
        <sz val="11"/>
        <color theme="1"/>
        <rFont val="Aptos Narrow"/>
        <family val="2"/>
        <charset val="238"/>
        <scheme val="minor"/>
      </rPr>
      <t>d</t>
    </r>
    <r>
      <rPr>
        <sz val="12"/>
        <color theme="1"/>
        <rFont val="Aptos Narrow"/>
        <family val="2"/>
        <scheme val="minor"/>
      </rPr>
      <t xml:space="preserve"> = </t>
    </r>
    <r>
      <rPr>
        <b/>
        <sz val="11"/>
        <color theme="1"/>
        <rFont val="Aptos Narrow"/>
        <family val="2"/>
        <charset val="238"/>
        <scheme val="minor"/>
      </rPr>
      <t>a</t>
    </r>
    <r>
      <rPr>
        <sz val="12"/>
        <color theme="1"/>
        <rFont val="Aptos Narrow"/>
        <family val="2"/>
        <scheme val="minor"/>
      </rPr>
      <t xml:space="preserve"> + 3</t>
    </r>
    <r>
      <rPr>
        <b/>
        <sz val="11"/>
        <color theme="1"/>
        <rFont val="Aptos Narrow"/>
        <family val="2"/>
        <charset val="238"/>
        <scheme val="minor"/>
      </rPr>
      <t>b</t>
    </r>
    <r>
      <rPr>
        <sz val="12"/>
        <color theme="1"/>
        <rFont val="Aptos Narrow"/>
        <family val="2"/>
        <scheme val="minor"/>
      </rPr>
      <t xml:space="preserve"> + 2</t>
    </r>
    <r>
      <rPr>
        <b/>
        <sz val="11"/>
        <color theme="1"/>
        <rFont val="Aptos Narrow"/>
        <family val="2"/>
        <charset val="238"/>
        <scheme val="minor"/>
      </rPr>
      <t>c</t>
    </r>
    <r>
      <rPr>
        <sz val="12"/>
        <color theme="1"/>
        <rFont val="Aptos Narrow"/>
        <family val="2"/>
        <scheme val="minor"/>
      </rPr>
      <t>)</t>
    </r>
  </si>
  <si>
    <t>Nelze</t>
  </si>
  <si>
    <t>C)</t>
  </si>
  <si>
    <t>1-</t>
  </si>
  <si>
    <t>2-</t>
  </si>
  <si>
    <t>3-</t>
  </si>
  <si>
    <t>4-</t>
  </si>
  <si>
    <t>x1 =</t>
  </si>
  <si>
    <t>x2 =</t>
  </si>
  <si>
    <t>x3 =</t>
  </si>
  <si>
    <t>x4 =</t>
  </si>
  <si>
    <t>1)</t>
  </si>
  <si>
    <t>2)</t>
  </si>
  <si>
    <t>3)</t>
  </si>
  <si>
    <t>4)</t>
  </si>
  <si>
    <t>5)</t>
  </si>
  <si>
    <t>Xb=</t>
  </si>
  <si>
    <t>Xpar</t>
  </si>
  <si>
    <t>b                      +</t>
  </si>
  <si>
    <t>nenulovy slpoupecky</t>
  </si>
  <si>
    <t>d1.             +</t>
  </si>
  <si>
    <t xml:space="preserve">x1                 +   </t>
  </si>
  <si>
    <t xml:space="preserve"> d3.             =</t>
  </si>
  <si>
    <t>Vektor parametrického řešní</t>
  </si>
  <si>
    <t>Vekto bazického řešení</t>
  </si>
  <si>
    <t>7)</t>
  </si>
  <si>
    <t>10)</t>
  </si>
  <si>
    <t>d1 *q</t>
  </si>
  <si>
    <t>=&gt; 0</t>
  </si>
  <si>
    <t>tranz</t>
  </si>
  <si>
    <t>&gt;=</t>
  </si>
  <si>
    <t>p1</t>
  </si>
  <si>
    <t>min(40*x1 + 45*x2 + 65*x3)</t>
  </si>
  <si>
    <t>20x1 + 12x2 + 12x3</t>
  </si>
  <si>
    <t>1x1+1x2+2x3</t>
  </si>
  <si>
    <t>90x1+100x2+150x3</t>
  </si>
  <si>
    <t>&gt;=( d3-&gt;-1)</t>
  </si>
  <si>
    <t>&lt;= (d2-&gt;1)</t>
  </si>
  <si>
    <t>&lt;= (d1-&gt;1)</t>
  </si>
  <si>
    <t>při minimalizaci je to opacne</t>
  </si>
  <si>
    <t>pro vysledek</t>
  </si>
  <si>
    <t>u zj-cj hledame nejvetsi pro pivota</t>
  </si>
  <si>
    <t>XB =</t>
  </si>
  <si>
    <t>Bazicke řešní</t>
  </si>
  <si>
    <t>(x1, x2, x3, d1, d2, d3, p1)</t>
  </si>
  <si>
    <t>(0, 0, 40, 520, 70, 0, 0)</t>
  </si>
  <si>
    <t>kusu sady A</t>
  </si>
  <si>
    <t>kusu sady B</t>
  </si>
  <si>
    <t>kusu sady C</t>
  </si>
  <si>
    <t>rezerva tranzistoru</t>
  </si>
  <si>
    <t>Parametricke reseni</t>
  </si>
  <si>
    <t>kc nedosazeni max. poz trzeb</t>
  </si>
  <si>
    <t>kc prekrocenych trzeb</t>
  </si>
  <si>
    <t>Rezervar IO</t>
  </si>
  <si>
    <t>Xp</t>
  </si>
  <si>
    <t>40-0.6x1-0.6ýx2</t>
  </si>
  <si>
    <t>520-12.8x1-4x2-1d1-0.08d3+0.08p1</t>
  </si>
  <si>
    <t>70+0.2x1+0.33x2-1…..)</t>
  </si>
  <si>
    <t>rez</t>
  </si>
  <si>
    <t>d4</t>
  </si>
  <si>
    <t>u zj-cj musime mit - nebo 0</t>
  </si>
  <si>
    <t>p3</t>
  </si>
  <si>
    <t>p4</t>
  </si>
  <si>
    <t>x9</t>
  </si>
  <si>
    <t>x8</t>
  </si>
  <si>
    <t>x7</t>
  </si>
  <si>
    <t>x6</t>
  </si>
  <si>
    <t>x5</t>
  </si>
  <si>
    <t>x4</t>
  </si>
  <si>
    <t>6)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</si>
  <si>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</si>
  <si>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</si>
  <si>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</si>
  <si>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</si>
  <si>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</si>
  <si>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</si>
  <si>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</si>
  <si>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</si>
  <si>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</si>
  <si>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Zj-Cj</t>
  </si>
  <si>
    <t>8)</t>
  </si>
  <si>
    <t>Soustava lin. Rovnic</t>
  </si>
  <si>
    <t>Rezis</t>
  </si>
  <si>
    <t>Tranz</t>
  </si>
  <si>
    <t>Obvod</t>
  </si>
  <si>
    <t>D</t>
  </si>
  <si>
    <t>Cena</t>
  </si>
  <si>
    <t>Zásoby</t>
  </si>
  <si>
    <t>Obvody</t>
  </si>
  <si>
    <t>Chteji vyrobit tolik sad aby dosahli ceny 4977 kč</t>
  </si>
  <si>
    <t>Jak jsem postupoval</t>
  </si>
  <si>
    <t>obv</t>
  </si>
  <si>
    <t>=</t>
  </si>
  <si>
    <t>vyrobime 2600 pouzder</t>
  </si>
  <si>
    <t>A= 17 - D</t>
  </si>
  <si>
    <t>B= 23 - 2D</t>
  </si>
  <si>
    <t>C= 19 - 2D</t>
  </si>
  <si>
    <t>2 Úloha)</t>
  </si>
  <si>
    <t>5742 sad</t>
  </si>
  <si>
    <t>Praha</t>
  </si>
  <si>
    <t>Liberec</t>
  </si>
  <si>
    <t>Hradec Kralove</t>
  </si>
  <si>
    <t>L o 90% vice než (P+H)</t>
  </si>
  <si>
    <t>V H o 20% min nez P</t>
  </si>
  <si>
    <t>P</t>
  </si>
  <si>
    <t>L</t>
  </si>
  <si>
    <t>H</t>
  </si>
  <si>
    <t>Jord. Eliminace</t>
  </si>
  <si>
    <t>Jordanova Eliminace</t>
  </si>
  <si>
    <t>Omez</t>
  </si>
  <si>
    <t>Výdělek</t>
  </si>
  <si>
    <t>17*62</t>
  </si>
  <si>
    <t>PRO A</t>
  </si>
  <si>
    <t>PRO B</t>
  </si>
  <si>
    <t>PRO C</t>
  </si>
  <si>
    <t>23 *78</t>
  </si>
  <si>
    <t>19*112</t>
  </si>
  <si>
    <t>PRO D</t>
  </si>
  <si>
    <t>0*442</t>
  </si>
  <si>
    <t>===</t>
  </si>
  <si>
    <t>Nemá řešní nedoahne výdělku</t>
  </si>
  <si>
    <t>Inverze nelze determinant 0</t>
  </si>
  <si>
    <t>w</t>
  </si>
  <si>
    <t>A-1</t>
  </si>
  <si>
    <t>*</t>
  </si>
  <si>
    <t>1 - 1.Pokus</t>
  </si>
  <si>
    <t>1 - 2.Pokus</t>
  </si>
  <si>
    <t>2 - 1.Pokus</t>
  </si>
  <si>
    <t>Lineárně optimalizační model graf. řešení</t>
  </si>
  <si>
    <t>REZ</t>
  </si>
  <si>
    <t>TRAN</t>
  </si>
  <si>
    <t>OBVOD</t>
  </si>
  <si>
    <t>CENA</t>
  </si>
  <si>
    <t>Zasoby</t>
  </si>
  <si>
    <t>1) Simplexový algoritmus</t>
  </si>
  <si>
    <t>=&gt;</t>
  </si>
  <si>
    <t>sad A</t>
  </si>
  <si>
    <t>prebytetk  tran</t>
  </si>
  <si>
    <t>prebytek obvo</t>
  </si>
  <si>
    <t>2) Grafické řešení</t>
  </si>
  <si>
    <t>Max</t>
  </si>
  <si>
    <t>Obsah</t>
  </si>
  <si>
    <t>1. Lineární algebra</t>
  </si>
  <si>
    <t>2. Soustava linearních rovnic</t>
  </si>
  <si>
    <t>3. Linearní optimalizační model</t>
  </si>
  <si>
    <t>4. Dopravní úloha</t>
  </si>
  <si>
    <t>5. Dopravní okružní problemy</t>
  </si>
  <si>
    <t>1. Linearní algebra</t>
  </si>
  <si>
    <t>- sčítání, odečítaní, násobení vektorů</t>
  </si>
  <si>
    <t>- nasobení matic</t>
  </si>
  <si>
    <t>- inverzní matice</t>
  </si>
  <si>
    <t>součet čísel na daných pozicích</t>
  </si>
  <si>
    <t>Sčítaní / Odčítaní</t>
  </si>
  <si>
    <t>Násobení dvou vektorů</t>
  </si>
  <si>
    <t>EN=SUMPRODUCT(array1, array2);   CZ=SOUČIN.SKLÁRNÍ(matice1, matice2)</t>
  </si>
  <si>
    <t>=(5*-1)+(7*-5)+(2*4)+(3*6)</t>
  </si>
  <si>
    <t>Skalární součin -(nasobeni čísel na prvnim indexu mezi sebou) + na dalšim indexu, atd</t>
  </si>
  <si>
    <t>Inverzní matice</t>
  </si>
  <si>
    <t>EN=MINVERSE(array1);    CZ=INVERZE(matice)</t>
  </si>
  <si>
    <t>Jordanova eliminační metoda</t>
  </si>
  <si>
    <t>INVERZE</t>
  </si>
  <si>
    <t xml:space="preserve">   - Postupne chceme dostat jednotkouvou matici na druhou stranu</t>
  </si>
  <si>
    <t>Kroky</t>
  </si>
  <si>
    <t xml:space="preserve">    - Celej řádek vydělíme hodnotou, kde chceme mít 1</t>
  </si>
  <si>
    <t xml:space="preserve">   - Už 0 je =&gt; pouze opíšem</t>
  </si>
  <si>
    <r>
      <t xml:space="preserve">   - Od </t>
    </r>
    <r>
      <rPr>
        <sz val="12"/>
        <color theme="9" tint="0.39997558519241921"/>
        <rFont val="Aptos Narrow (Body)"/>
      </rPr>
      <t>řádku</t>
    </r>
    <r>
      <rPr>
        <sz val="12"/>
        <color theme="1"/>
        <rFont val="Aptos Narrow"/>
        <family val="2"/>
        <scheme val="minor"/>
      </rPr>
      <t xml:space="preserve"> odečteme číslo kde chceme mít </t>
    </r>
    <r>
      <rPr>
        <sz val="12"/>
        <color rgb="FFFF0000"/>
        <rFont val="Aptos Narrow (Body)"/>
      </rPr>
      <t>0(-1)</t>
    </r>
    <r>
      <rPr>
        <sz val="12"/>
        <color theme="1"/>
        <rFont val="Aptos Narrow"/>
        <family val="2"/>
        <scheme val="minor"/>
      </rPr>
      <t xml:space="preserve"> a vynásobíme </t>
    </r>
    <r>
      <rPr>
        <sz val="12"/>
        <color theme="5" tint="0.39997558519241921"/>
        <rFont val="Aptos Narrow"/>
        <family val="2"/>
        <scheme val="minor"/>
      </rPr>
      <t>jednotkovym řádkem</t>
    </r>
    <r>
      <rPr>
        <sz val="12"/>
        <color theme="5" tint="0.39997558519241921"/>
        <rFont val="Aptos Narrow (Body)"/>
      </rPr>
      <t>(M27#)</t>
    </r>
  </si>
  <si>
    <t>=M24:R24-M24*M27#</t>
  </si>
  <si>
    <t xml:space="preserve">    - Od řádku odečteme číslo kde chceme mít nulu a vnyasobíme jedontkovym řádkem</t>
  </si>
  <si>
    <t>=B16:E16+G16:J16-L16:O16</t>
  </si>
  <si>
    <t>vybrat celou matice plus celou matici</t>
  </si>
  <si>
    <t>Soustava lineárních rovnic</t>
  </si>
  <si>
    <t>2. Soustava lineárních rovnic</t>
  </si>
  <si>
    <t xml:space="preserve">     1. Linearní algebra</t>
  </si>
  <si>
    <t xml:space="preserve">     2. Jordánova Eliminační metoda pro inverzi matice</t>
  </si>
  <si>
    <t xml:space="preserve">     1. Jordánova eliminace soustavy rovnic</t>
  </si>
  <si>
    <t xml:space="preserve">     2. Ulohy jako</t>
  </si>
  <si>
    <t>- Kolik se kde vrábí</t>
  </si>
  <si>
    <t>- Spotřeba všech součástek</t>
  </si>
  <si>
    <t xml:space="preserve"> - Přepíšeme rovnice do maticového tvaru a uděláme Jord. elim.</t>
  </si>
  <si>
    <t>=&gt; Soustava má nekonečně mnoho řešení</t>
  </si>
  <si>
    <t>nebo</t>
  </si>
  <si>
    <t>=&gt; Lze</t>
  </si>
  <si>
    <t>x1= 2</t>
  </si>
  <si>
    <t>x3 = 1</t>
  </si>
  <si>
    <t>x4 = 0</t>
  </si>
  <si>
    <t>x2 = 0</t>
  </si>
  <si>
    <t>=&gt; Nelze, neplatí frobeniova věta</t>
  </si>
  <si>
    <t>Obecný znalosti</t>
  </si>
  <si>
    <t>Soustava lineárních algebraických rovnic má řešení v případě, že hodnost matice soustavy h(A) je rovna hodnosti rozšířené matice soustavy h(A|b).</t>
  </si>
  <si>
    <t xml:space="preserve">     x) Frobéniova věta</t>
  </si>
  <si>
    <t>h(A)</t>
  </si>
  <si>
    <t>U vysledku jordana spocteme nenulový řádky, bez b</t>
  </si>
  <si>
    <t>h(A|b)</t>
  </si>
  <si>
    <t>U vysledku jordana spočteme nenulový řádky s b</t>
  </si>
  <si>
    <t>Je reálná</t>
  </si>
  <si>
    <t>3 = 3</t>
  </si>
  <si>
    <t>h(A) = h(A|B)</t>
  </si>
  <si>
    <t>2. Jordanova eliminační metoda pro inverzi</t>
  </si>
  <si>
    <t>1) Jordánova eliminační metoda</t>
  </si>
  <si>
    <t>počet rezist pouzder</t>
  </si>
  <si>
    <t xml:space="preserve"> =</t>
  </si>
  <si>
    <t>počet tranzist pouzder</t>
  </si>
  <si>
    <t>počet integrovaných obvodů</t>
  </si>
  <si>
    <t>Jordanova elmininace</t>
  </si>
  <si>
    <t>Sad A</t>
  </si>
  <si>
    <t>Sad B</t>
  </si>
  <si>
    <t>Sad C</t>
  </si>
  <si>
    <t xml:space="preserve"> - pomoci inverze a součinnu matic s b</t>
  </si>
  <si>
    <t>2.1) Spotřeba všech součástek</t>
  </si>
  <si>
    <t>2.2) Kde se kolik vyrábí</t>
  </si>
  <si>
    <t>Celkem vyrobí firma dohromady 420 výukových sad. Výrobna Praha vyrobí o 50 % více sad než je celková výroba v Liberci a Hradci Králové dohromady a výroba v Liberci je o 10 % vyšší než v Hradci Králové.</t>
  </si>
  <si>
    <t>HK</t>
  </si>
  <si>
    <t>Jordánova eliminace …</t>
  </si>
  <si>
    <t>- celkem</t>
  </si>
  <si>
    <t>- Praha má víc tak dostane mínus L a HK 1.5 (50% víc)</t>
  </si>
  <si>
    <t>- Praha 0 není součástí podmínky</t>
  </si>
  <si>
    <t>3. Lineárně optimalizační modely</t>
  </si>
  <si>
    <t xml:space="preserve">    1. Simplexový algoritmus</t>
  </si>
  <si>
    <t>1 - Začít s Zj-CJ a vybrat sloupec s nejnižší hodnotou z x1-3</t>
  </si>
  <si>
    <t>4 - Dopočítam další jako jordan. Eli.</t>
  </si>
  <si>
    <t>3 - Do další části celej vybranej řádek dělim podle pivota</t>
  </si>
  <si>
    <r>
      <t xml:space="preserve">2 - Udelat omegu a vybrat řádek s nejnižší hodnotou = </t>
    </r>
    <r>
      <rPr>
        <sz val="12"/>
        <color rgb="FFFF0000"/>
        <rFont val="Aptos Narrow (Body)"/>
      </rPr>
      <t>pivot</t>
    </r>
  </si>
  <si>
    <t>5 - Opakuju</t>
  </si>
  <si>
    <t>6 - Abych mohl ukončit musí být v zj-cj 0 nebo + čísla</t>
  </si>
  <si>
    <t>x2 = Sady B</t>
  </si>
  <si>
    <t>x3 = Sady C</t>
  </si>
  <si>
    <t>= 10</t>
  </si>
  <si>
    <t>= 70</t>
  </si>
  <si>
    <t>d2 = prebytek tranz.</t>
  </si>
  <si>
    <t>= 40</t>
  </si>
  <si>
    <t>5 - doleva doplnim hodnoty kde jsou jednotkovy sloupce( 1 a samy 0)</t>
  </si>
  <si>
    <t xml:space="preserve">     3. Postoptimalizační</t>
  </si>
  <si>
    <t xml:space="preserve">     2. Grafické řešení</t>
  </si>
  <si>
    <t>- alternativní řešení</t>
  </si>
  <si>
    <t>-optimální řešení</t>
  </si>
  <si>
    <t xml:space="preserve">Výdělek </t>
  </si>
  <si>
    <t>Alternativní řešení</t>
  </si>
  <si>
    <t xml:space="preserve">      - dopočítáváme dál simplexová algoritmus</t>
  </si>
  <si>
    <t>- další podmínka</t>
  </si>
  <si>
    <t>Další podmínka</t>
  </si>
  <si>
    <t>cena - tržby</t>
  </si>
  <si>
    <t>UF</t>
  </si>
  <si>
    <t xml:space="preserve"> &lt;=</t>
  </si>
  <si>
    <t>požadavek na sadu B</t>
  </si>
  <si>
    <t>omez4</t>
  </si>
  <si>
    <t xml:space="preserve"> &gt;=</t>
  </si>
  <si>
    <t>- u d4 dáváme -1 a potřebujem doplnkovou promenou p</t>
  </si>
  <si>
    <t xml:space="preserve">    - klasicky vypocitame simplex bez d4 a p4</t>
  </si>
  <si>
    <t xml:space="preserve"> ---</t>
  </si>
  <si>
    <t xml:space="preserve"> - po vvýpočtu doplníme d4 ap4</t>
  </si>
  <si>
    <t xml:space="preserve"> - udelama znova zj-cj s novym radkem</t>
  </si>
  <si>
    <t>- a dopocitame</t>
  </si>
  <si>
    <t>- dál Dolni/Horni meze</t>
  </si>
  <si>
    <t xml:space="preserve">     x) bázická</t>
  </si>
  <si>
    <t>Jiný podmínky</t>
  </si>
  <si>
    <t>Spotřebu rezist pouzder (ks)</t>
  </si>
  <si>
    <t>požadovaný minimální zisk</t>
  </si>
  <si>
    <t>Kč</t>
  </si>
  <si>
    <t>Řešení simplexovým algoritmem</t>
  </si>
  <si>
    <t>báze</t>
  </si>
  <si>
    <t xml:space="preserve"> </t>
  </si>
  <si>
    <t xml:space="preserve"> - Výdělěk aspon 6000</t>
  </si>
  <si>
    <t xml:space="preserve"> - rezistory vlastni</t>
  </si>
  <si>
    <t xml:space="preserve"> - v zj-cj chceme 0 nebo - hodnoty</t>
  </si>
  <si>
    <t xml:space="preserve"> - a hledame nejvetsi pro pivota u zj-cj</t>
  </si>
  <si>
    <t>4. Dopravní úlohy</t>
  </si>
  <si>
    <t>3 - 1. Pokus</t>
  </si>
  <si>
    <t xml:space="preserve">Jednotek suroviny </t>
  </si>
  <si>
    <t>Produkční kapacita</t>
  </si>
  <si>
    <t>Technologie</t>
  </si>
  <si>
    <t>spotřeba</t>
  </si>
  <si>
    <t>produkce</t>
  </si>
  <si>
    <t>Kapacita zam.</t>
  </si>
  <si>
    <t>Kap. Zam.</t>
  </si>
  <si>
    <t>Naklady</t>
  </si>
  <si>
    <t>&lt;= 314</t>
  </si>
  <si>
    <t>&gt;= 364.5</t>
  </si>
  <si>
    <t>= 417.5</t>
  </si>
  <si>
    <t>Otázky</t>
  </si>
  <si>
    <t>-2,9x+-0,1y+-7,9z=26,2</t>
  </si>
  <si>
    <t>7,2x+-3,5y+-7,8z=17,5</t>
  </si>
  <si>
    <t>1) Najděte všechny bázická řešení soustavy lin. Rovnic</t>
  </si>
  <si>
    <t>Součin Matic</t>
  </si>
  <si>
    <t>EN =MMULT().   CZ=SOUČIN.MATIC()</t>
  </si>
  <si>
    <t>Body</t>
  </si>
  <si>
    <t>SelfTest1</t>
  </si>
  <si>
    <t>SelfTest2</t>
  </si>
  <si>
    <t>SelfTest3</t>
  </si>
  <si>
    <t>SelfTest4</t>
  </si>
  <si>
    <t>SelfTest5</t>
  </si>
  <si>
    <t>SelfTest6</t>
  </si>
  <si>
    <t>ZapočtTest</t>
  </si>
  <si>
    <t>Potřeba</t>
  </si>
  <si>
    <t>Prumer</t>
  </si>
  <si>
    <t>Zápočet:</t>
  </si>
  <si>
    <t>1 - 3. Pokus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</si>
</sst>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3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 (Body)"/>
    </font>
    <font>
      <b/>
      <sz val="16"/>
      <color theme="1"/>
      <name val="Aptos Narrow (Body)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b/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sz val="15"/>
      <color rgb="FF001A1E"/>
      <name val="Helvetica Neue"/>
      <family val="2"/>
    </font>
    <font>
      <sz val="20"/>
      <color theme="1"/>
      <name val="Aptos Narrow"/>
      <family val="2"/>
      <scheme val="minor"/>
    </font>
    <font>
      <b/>
      <u/>
      <sz val="26"/>
      <color theme="1"/>
      <name val="Aptos Narrow"/>
      <scheme val="minor"/>
    </font>
    <font>
      <sz val="2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8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u/>
      <sz val="28"/>
      <color theme="1"/>
      <name val="Aptos Narrow"/>
      <scheme val="minor"/>
    </font>
    <font>
      <sz val="24"/>
      <color theme="1"/>
      <name val="Aptos Narrow"/>
      <scheme val="minor"/>
    </font>
    <font>
      <sz val="12"/>
      <color rgb="FFFF0000"/>
      <name val="Aptos Narrow (Body)"/>
    </font>
    <font>
      <sz val="12"/>
      <color theme="5" tint="0.39997558519241921"/>
      <name val="Aptos Narrow"/>
      <family val="2"/>
      <scheme val="minor"/>
    </font>
    <font>
      <sz val="12"/>
      <color theme="5" tint="0.39997558519241921"/>
      <name val="Aptos Narrow (Body)"/>
    </font>
    <font>
      <sz val="12"/>
      <color theme="9" tint="0.39997558519241921"/>
      <name val="Aptos Narrow (Body)"/>
    </font>
    <font>
      <sz val="11"/>
      <color rgb="FF000000"/>
      <name val="Calibri"/>
      <family val="2"/>
      <charset val="238"/>
    </font>
    <font>
      <sz val="12"/>
      <color theme="1"/>
      <name val="Times New Roman"/>
      <family val="1"/>
    </font>
    <font>
      <sz val="12"/>
      <color rgb="FF000000"/>
      <name val="Aptos Narrow"/>
      <family val="2"/>
      <scheme val="minor"/>
    </font>
    <font>
      <b/>
      <sz val="9"/>
      <color rgb="FF000000"/>
      <name val="Tahoma"/>
      <family val="2"/>
      <charset val="238"/>
    </font>
    <font>
      <sz val="24"/>
      <color theme="1"/>
      <name val="Aptos Narrow"/>
      <family val="2"/>
      <scheme val="minor"/>
    </font>
    <font>
      <sz val="16"/>
      <color rgb="FF001A1E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0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3" fontId="0" fillId="4" borderId="16" xfId="0" applyNumberFormat="1" applyFill="1" applyBorder="1" applyAlignment="1">
      <alignment vertical="center"/>
    </xf>
    <xf numFmtId="13" fontId="0" fillId="4" borderId="17" xfId="0" applyNumberFormat="1" applyFill="1" applyBorder="1" applyAlignment="1">
      <alignment vertical="center"/>
    </xf>
    <xf numFmtId="13" fontId="0" fillId="4" borderId="18" xfId="0" applyNumberFormat="1" applyFill="1" applyBorder="1" applyAlignment="1">
      <alignment vertical="center"/>
    </xf>
    <xf numFmtId="13" fontId="0" fillId="4" borderId="19" xfId="0" applyNumberFormat="1" applyFill="1" applyBorder="1" applyAlignment="1">
      <alignment vertical="center"/>
    </xf>
    <xf numFmtId="13" fontId="0" fillId="4" borderId="0" xfId="0" applyNumberFormat="1" applyFill="1" applyAlignment="1">
      <alignment vertical="center"/>
    </xf>
    <xf numFmtId="13" fontId="0" fillId="4" borderId="20" xfId="0" applyNumberFormat="1" applyFill="1" applyBorder="1" applyAlignment="1">
      <alignment vertical="center"/>
    </xf>
    <xf numFmtId="13" fontId="0" fillId="4" borderId="21" xfId="0" applyNumberFormat="1" applyFill="1" applyBorder="1" applyAlignment="1">
      <alignment vertical="center"/>
    </xf>
    <xf numFmtId="13" fontId="0" fillId="4" borderId="12" xfId="0" applyNumberFormat="1" applyFill="1" applyBorder="1" applyAlignment="1">
      <alignment vertical="center"/>
    </xf>
    <xf numFmtId="13" fontId="0" fillId="4" borderId="22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13" fontId="0" fillId="0" borderId="0" xfId="0" applyNumberFormat="1"/>
    <xf numFmtId="12" fontId="0" fillId="4" borderId="16" xfId="0" applyNumberFormat="1" applyFill="1" applyBorder="1" applyAlignment="1">
      <alignment vertical="center"/>
    </xf>
    <xf numFmtId="12" fontId="0" fillId="4" borderId="17" xfId="0" applyNumberFormat="1" applyFill="1" applyBorder="1" applyAlignment="1">
      <alignment vertical="center"/>
    </xf>
    <xf numFmtId="12" fontId="0" fillId="4" borderId="18" xfId="0" applyNumberFormat="1" applyFill="1" applyBorder="1" applyAlignment="1">
      <alignment vertical="center"/>
    </xf>
    <xf numFmtId="12" fontId="0" fillId="4" borderId="19" xfId="0" applyNumberFormat="1" applyFill="1" applyBorder="1" applyAlignment="1">
      <alignment vertical="center"/>
    </xf>
    <xf numFmtId="12" fontId="0" fillId="4" borderId="0" xfId="0" applyNumberFormat="1" applyFill="1" applyAlignment="1">
      <alignment vertical="center"/>
    </xf>
    <xf numFmtId="12" fontId="0" fillId="4" borderId="20" xfId="0" applyNumberFormat="1" applyFill="1" applyBorder="1" applyAlignment="1">
      <alignment vertical="center"/>
    </xf>
    <xf numFmtId="12" fontId="0" fillId="4" borderId="21" xfId="0" applyNumberFormat="1" applyFill="1" applyBorder="1" applyAlignment="1">
      <alignment vertical="center"/>
    </xf>
    <xf numFmtId="12" fontId="0" fillId="4" borderId="12" xfId="0" applyNumberFormat="1" applyFill="1" applyBorder="1" applyAlignment="1">
      <alignment vertical="center"/>
    </xf>
    <xf numFmtId="12" fontId="0" fillId="4" borderId="22" xfId="0" applyNumberFormat="1" applyFill="1" applyBorder="1" applyAlignment="1">
      <alignment vertical="center"/>
    </xf>
    <xf numFmtId="12" fontId="0" fillId="0" borderId="0" xfId="0" applyNumberFormat="1"/>
    <xf numFmtId="12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11" fillId="0" borderId="0" xfId="0" applyFont="1"/>
    <xf numFmtId="13" fontId="12" fillId="4" borderId="16" xfId="1" applyNumberFormat="1" applyFill="1" applyBorder="1"/>
    <xf numFmtId="13" fontId="12" fillId="4" borderId="17" xfId="1" applyNumberFormat="1" applyFill="1" applyBorder="1"/>
    <xf numFmtId="13" fontId="12" fillId="4" borderId="24" xfId="1" applyNumberFormat="1" applyFill="1" applyBorder="1"/>
    <xf numFmtId="13" fontId="12" fillId="4" borderId="19" xfId="1" applyNumberFormat="1" applyFill="1" applyBorder="1"/>
    <xf numFmtId="13" fontId="12" fillId="4" borderId="0" xfId="1" applyNumberFormat="1" applyFill="1"/>
    <xf numFmtId="13" fontId="12" fillId="4" borderId="23" xfId="1" applyNumberFormat="1" applyFill="1" applyBorder="1"/>
    <xf numFmtId="13" fontId="12" fillId="4" borderId="21" xfId="1" applyNumberFormat="1" applyFill="1" applyBorder="1"/>
    <xf numFmtId="13" fontId="12" fillId="4" borderId="12" xfId="1" applyNumberFormat="1" applyFill="1" applyBorder="1"/>
    <xf numFmtId="13" fontId="12" fillId="4" borderId="25" xfId="1" applyNumberFormat="1" applyFill="1" applyBorder="1"/>
    <xf numFmtId="0" fontId="0" fillId="4" borderId="26" xfId="0" applyFill="1" applyBorder="1" applyAlignment="1">
      <alignment horizontal="center" vertical="center"/>
    </xf>
    <xf numFmtId="13" fontId="0" fillId="4" borderId="26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30" xfId="0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0" borderId="31" xfId="0" applyBorder="1"/>
    <xf numFmtId="0" fontId="0" fillId="3" borderId="0" xfId="0" applyFill="1" applyAlignment="1">
      <alignment horizontal="center"/>
    </xf>
    <xf numFmtId="0" fontId="0" fillId="0" borderId="30" xfId="0" applyBorder="1"/>
    <xf numFmtId="0" fontId="0" fillId="0" borderId="32" xfId="0" applyBorder="1"/>
    <xf numFmtId="0" fontId="13" fillId="0" borderId="30" xfId="0" applyFont="1" applyBorder="1"/>
    <xf numFmtId="0" fontId="13" fillId="0" borderId="31" xfId="0" applyFont="1" applyBorder="1"/>
    <xf numFmtId="0" fontId="13" fillId="0" borderId="32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16" fillId="0" borderId="0" xfId="0" applyFont="1" applyAlignment="1">
      <alignment vertical="center"/>
    </xf>
    <xf numFmtId="0" fontId="0" fillId="0" borderId="1" xfId="0" applyBorder="1"/>
    <xf numFmtId="0" fontId="14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quotePrefix="1" applyAlignment="1">
      <alignment horizontal="center"/>
    </xf>
    <xf numFmtId="0" fontId="0" fillId="3" borderId="0" xfId="0" applyFill="1"/>
    <xf numFmtId="0" fontId="17" fillId="0" borderId="0" xfId="0" applyFont="1" applyAlignment="1">
      <alignment vertical="center"/>
    </xf>
    <xf numFmtId="0" fontId="13" fillId="0" borderId="0" xfId="0" applyFont="1"/>
    <xf numFmtId="0" fontId="13" fillId="3" borderId="0" xfId="0" applyFont="1" applyFill="1"/>
    <xf numFmtId="0" fontId="0" fillId="2" borderId="1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23" fillId="0" borderId="0" xfId="0" applyFont="1"/>
    <xf numFmtId="0" fontId="0" fillId="0" borderId="4" xfId="0" applyBorder="1" applyAlignment="1">
      <alignment horizontal="left"/>
    </xf>
    <xf numFmtId="13" fontId="26" fillId="7" borderId="21" xfId="0" applyNumberFormat="1" applyFont="1" applyFill="1" applyBorder="1" applyAlignment="1">
      <alignment vertical="center"/>
    </xf>
    <xf numFmtId="13" fontId="26" fillId="7" borderId="12" xfId="0" applyNumberFormat="1" applyFont="1" applyFill="1" applyBorder="1" applyAlignment="1">
      <alignment vertical="center"/>
    </xf>
    <xf numFmtId="13" fontId="26" fillId="7" borderId="22" xfId="0" applyNumberFormat="1" applyFont="1" applyFill="1" applyBorder="1" applyAlignment="1">
      <alignment vertical="center"/>
    </xf>
    <xf numFmtId="13" fontId="26" fillId="7" borderId="16" xfId="0" applyNumberFormat="1" applyFont="1" applyFill="1" applyBorder="1" applyAlignment="1">
      <alignment vertical="center"/>
    </xf>
    <xf numFmtId="13" fontId="26" fillId="7" borderId="17" xfId="0" applyNumberFormat="1" applyFont="1" applyFill="1" applyBorder="1" applyAlignment="1">
      <alignment vertical="center"/>
    </xf>
    <xf numFmtId="13" fontId="26" fillId="7" borderId="18" xfId="0" applyNumberFormat="1" applyFont="1" applyFill="1" applyBorder="1" applyAlignment="1">
      <alignment vertical="center"/>
    </xf>
    <xf numFmtId="13" fontId="26" fillId="7" borderId="19" xfId="0" applyNumberFormat="1" applyFont="1" applyFill="1" applyBorder="1" applyAlignment="1">
      <alignment vertical="center"/>
    </xf>
    <xf numFmtId="13" fontId="26" fillId="7" borderId="20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13" fontId="0" fillId="0" borderId="18" xfId="0" applyNumberFormat="1" applyBorder="1" applyAlignment="1">
      <alignment horizontal="center"/>
    </xf>
    <xf numFmtId="13" fontId="0" fillId="0" borderId="20" xfId="0" applyNumberFormat="1" applyBorder="1" applyAlignment="1">
      <alignment horizontal="center"/>
    </xf>
    <xf numFmtId="13" fontId="0" fillId="0" borderId="22" xfId="0" applyNumberFormat="1" applyBorder="1" applyAlignment="1">
      <alignment horizontal="center"/>
    </xf>
    <xf numFmtId="13" fontId="0" fillId="0" borderId="16" xfId="0" applyNumberFormat="1" applyBorder="1" applyAlignment="1">
      <alignment horizontal="center"/>
    </xf>
    <xf numFmtId="13" fontId="0" fillId="0" borderId="17" xfId="0" applyNumberFormat="1" applyBorder="1" applyAlignment="1">
      <alignment horizontal="center"/>
    </xf>
    <xf numFmtId="13" fontId="0" fillId="0" borderId="24" xfId="0" applyNumberFormat="1" applyBorder="1" applyAlignment="1">
      <alignment horizontal="center"/>
    </xf>
    <xf numFmtId="13" fontId="0" fillId="0" borderId="18" xfId="0" applyNumberFormat="1" applyBorder="1" applyAlignment="1">
      <alignment horizontal="right"/>
    </xf>
    <xf numFmtId="13" fontId="0" fillId="0" borderId="19" xfId="0" applyNumberFormat="1" applyBorder="1" applyAlignment="1">
      <alignment horizontal="center"/>
    </xf>
    <xf numFmtId="13" fontId="0" fillId="0" borderId="23" xfId="0" applyNumberFormat="1" applyBorder="1" applyAlignment="1">
      <alignment horizontal="center"/>
    </xf>
    <xf numFmtId="13" fontId="0" fillId="0" borderId="20" xfId="0" applyNumberFormat="1" applyBorder="1" applyAlignment="1">
      <alignment horizontal="right"/>
    </xf>
    <xf numFmtId="13" fontId="0" fillId="0" borderId="21" xfId="0" applyNumberFormat="1" applyBorder="1" applyAlignment="1">
      <alignment horizontal="center"/>
    </xf>
    <xf numFmtId="13" fontId="0" fillId="0" borderId="12" xfId="0" applyNumberFormat="1" applyBorder="1" applyAlignment="1">
      <alignment horizontal="center"/>
    </xf>
    <xf numFmtId="13" fontId="0" fillId="0" borderId="25" xfId="0" applyNumberFormat="1" applyBorder="1" applyAlignment="1">
      <alignment horizontal="center"/>
    </xf>
    <xf numFmtId="13" fontId="0" fillId="0" borderId="22" xfId="0" applyNumberFormat="1" applyBorder="1" applyAlignment="1">
      <alignment horizontal="right"/>
    </xf>
    <xf numFmtId="13" fontId="26" fillId="7" borderId="0" xfId="0" applyNumberFormat="1" applyFont="1" applyFill="1" applyAlignment="1">
      <alignment vertical="center"/>
    </xf>
    <xf numFmtId="0" fontId="27" fillId="0" borderId="0" xfId="0" applyFont="1" applyAlignment="1">
      <alignment wrapText="1"/>
    </xf>
    <xf numFmtId="13" fontId="0" fillId="0" borderId="0" xfId="0" applyNumberFormat="1" applyAlignment="1">
      <alignment horizontal="center"/>
    </xf>
    <xf numFmtId="0" fontId="28" fillId="0" borderId="1" xfId="0" applyFont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8" borderId="5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28" fillId="9" borderId="15" xfId="0" applyFont="1" applyFill="1" applyBorder="1" applyAlignment="1">
      <alignment horizontal="center" vertical="center"/>
    </xf>
    <xf numFmtId="0" fontId="28" fillId="8" borderId="12" xfId="0" applyFont="1" applyFill="1" applyBorder="1" applyAlignment="1">
      <alignment horizontal="center" vertical="center"/>
    </xf>
    <xf numFmtId="0" fontId="28" fillId="9" borderId="14" xfId="0" applyFont="1" applyFill="1" applyBorder="1" applyAlignment="1">
      <alignment horizontal="center" vertical="center"/>
    </xf>
    <xf numFmtId="0" fontId="28" fillId="9" borderId="6" xfId="0" applyFont="1" applyFill="1" applyBorder="1" applyAlignment="1">
      <alignment horizontal="center" vertical="center"/>
    </xf>
    <xf numFmtId="0" fontId="28" fillId="9" borderId="7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19" fillId="8" borderId="5" xfId="0" applyFont="1" applyFill="1" applyBorder="1" applyAlignment="1">
      <alignment horizontal="center" vertical="center"/>
    </xf>
    <xf numFmtId="0" fontId="28" fillId="8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4" xfId="0" applyBorder="1"/>
    <xf numFmtId="0" fontId="0" fillId="0" borderId="19" xfId="0" applyBorder="1"/>
    <xf numFmtId="0" fontId="0" fillId="0" borderId="23" xfId="0" applyBorder="1"/>
    <xf numFmtId="0" fontId="0" fillId="0" borderId="21" xfId="0" applyBorder="1"/>
    <xf numFmtId="0" fontId="0" fillId="0" borderId="12" xfId="0" quotePrefix="1" applyBorder="1"/>
    <xf numFmtId="0" fontId="0" fillId="0" borderId="12" xfId="0" applyBorder="1"/>
    <xf numFmtId="0" fontId="0" fillId="0" borderId="25" xfId="0" applyBorder="1"/>
    <xf numFmtId="0" fontId="0" fillId="0" borderId="19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27" fillId="0" borderId="19" xfId="0" applyFont="1" applyBorder="1" applyAlignment="1">
      <alignment wrapText="1"/>
    </xf>
    <xf numFmtId="0" fontId="11" fillId="0" borderId="19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6" xfId="0" applyBorder="1"/>
    <xf numFmtId="0" fontId="28" fillId="10" borderId="4" xfId="0" applyFont="1" applyFill="1" applyBorder="1" applyAlignment="1">
      <alignment horizontal="center" vertical="center"/>
    </xf>
    <xf numFmtId="0" fontId="28" fillId="10" borderId="5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7" xfId="0" applyFill="1" applyBorder="1" applyAlignment="1">
      <alignment horizontal="center"/>
    </xf>
    <xf numFmtId="13" fontId="0" fillId="0" borderId="7" xfId="0" applyNumberFormat="1" applyBorder="1" applyAlignment="1">
      <alignment horizontal="center"/>
    </xf>
    <xf numFmtId="13" fontId="0" fillId="3" borderId="0" xfId="0" applyNumberFormat="1" applyFill="1" applyAlignment="1">
      <alignment horizontal="center"/>
    </xf>
    <xf numFmtId="13" fontId="0" fillId="3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9" fillId="0" borderId="7" xfId="0" applyFont="1" applyBorder="1"/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8" borderId="0" xfId="0" applyFont="1" applyFill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0" fillId="0" borderId="0" xfId="0" quotePrefix="1" applyAlignment="1">
      <alignment horizontal="left"/>
    </xf>
    <xf numFmtId="0" fontId="28" fillId="9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30" fillId="0" borderId="4" xfId="0" applyFont="1" applyBorder="1"/>
    <xf numFmtId="0" fontId="30" fillId="0" borderId="0" xfId="0" applyFont="1"/>
    <xf numFmtId="0" fontId="31" fillId="0" borderId="0" xfId="0" applyFont="1"/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5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27" fillId="0" borderId="19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7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ální 3" xfId="1" xr:uid="{A3350EBF-8CBA-AE42-B57B-AB5E323A9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Procvicovani!$AF$53</c:f>
              <c:strCache>
                <c:ptCount val="1"/>
                <c:pt idx="0">
                  <c:v>omez1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Procvicovani!$AG$53:$AH$53</c:f>
              <c:numCache>
                <c:formatCode>General</c:formatCode>
                <c:ptCount val="2"/>
                <c:pt idx="0">
                  <c:v>25.83</c:v>
                </c:pt>
                <c:pt idx="1">
                  <c:v>0</c:v>
                </c:pt>
              </c:numCache>
            </c:numRef>
          </c:xVal>
          <c:yVal>
            <c:numRef>
              <c:f>Procvicovani!$AG$54:$AH$54</c:f>
              <c:numCache>
                <c:formatCode>General</c:formatCode>
                <c:ptCount val="2"/>
                <c:pt idx="0">
                  <c:v>0</c:v>
                </c:pt>
                <c:pt idx="1">
                  <c:v>12.92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0-4340-973A-C40BE459D071}"/>
            </c:ext>
          </c:extLst>
        </c:ser>
        <c:ser>
          <c:idx val="1"/>
          <c:order val="1"/>
          <c:tx>
            <c:strRef>
              <c:f>Procvicovani!$AF$55</c:f>
              <c:strCache>
                <c:ptCount val="1"/>
                <c:pt idx="0">
                  <c:v>omez2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Procvicovani!$AG$55:$AH$55</c:f>
              <c:numCache>
                <c:formatCode>General</c:formatCode>
                <c:ptCount val="2"/>
                <c:pt idx="0">
                  <c:v>26.33</c:v>
                </c:pt>
                <c:pt idx="1">
                  <c:v>0</c:v>
                </c:pt>
              </c:numCache>
            </c:numRef>
          </c:xVal>
          <c:yVal>
            <c:numRef>
              <c:f>Procvicovani!$AG$56:$AH$56</c:f>
              <c:numCache>
                <c:formatCode>General</c:formatCode>
                <c:ptCount val="2"/>
                <c:pt idx="0">
                  <c:v>0</c:v>
                </c:pt>
                <c:pt idx="1">
                  <c:v>23.24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90-4340-973A-C40BE459D071}"/>
            </c:ext>
          </c:extLst>
        </c:ser>
        <c:ser>
          <c:idx val="2"/>
          <c:order val="2"/>
          <c:tx>
            <c:strRef>
              <c:f>Procvicovani!$AF$57</c:f>
              <c:strCache>
                <c:ptCount val="1"/>
                <c:pt idx="0">
                  <c:v>omez3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Procvicovani!$AG$57:$AH$57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xVal>
          <c:yVal>
            <c:numRef>
              <c:f>Procvicovani!$AG$58:$AH$58</c:f>
              <c:numCache>
                <c:formatCode>General</c:formatCode>
                <c:ptCount val="2"/>
                <c:pt idx="0">
                  <c:v>0</c:v>
                </c:pt>
                <c:pt idx="1">
                  <c:v>21.43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90-4340-973A-C40BE459D071}"/>
            </c:ext>
          </c:extLst>
        </c:ser>
        <c:ser>
          <c:idx val="3"/>
          <c:order val="3"/>
          <c:tx>
            <c:strRef>
              <c:f>Procvicovani!$AF$59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Procvicovani!$AG$59:$AH$59</c:f>
              <c:numCache>
                <c:formatCode>General</c:formatCode>
                <c:ptCount val="2"/>
                <c:pt idx="0">
                  <c:v>25.83</c:v>
                </c:pt>
                <c:pt idx="1">
                  <c:v>0</c:v>
                </c:pt>
              </c:numCache>
            </c:numRef>
          </c:xVal>
          <c:yVal>
            <c:numRef>
              <c:f>Procvicovani!$AG$60:$AH$60</c:f>
              <c:numCache>
                <c:formatCode>General</c:formatCode>
                <c:ptCount val="2"/>
                <c:pt idx="0">
                  <c:v>0</c:v>
                </c:pt>
                <c:pt idx="1">
                  <c:v>22.23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90-4340-973A-C40BE459D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9711"/>
        <c:axId val="215388991"/>
      </c:scatterChart>
      <c:valAx>
        <c:axId val="21546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88991"/>
        <c:crosses val="autoZero"/>
        <c:crossBetween val="midCat"/>
      </c:valAx>
      <c:valAx>
        <c:axId val="2153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9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722046</xdr:colOff>
      <xdr:row>44</xdr:row>
      <xdr:rowOff>73178</xdr:rowOff>
    </xdr:from>
    <xdr:to>
      <xdr:col>43</xdr:col>
      <xdr:colOff>450884</xdr:colOff>
      <xdr:row>61</xdr:row>
      <xdr:rowOff>11624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6D9516-A7A8-A539-E9EE-77D91DD8B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0208-021A-BD4E-BBD8-9FB224E0F496}">
  <dimension ref="A1:AL98"/>
  <sheetViews>
    <sheetView topLeftCell="T13" zoomScaleNormal="90" workbookViewId="0">
      <selection activeCell="C33" sqref="C33"/>
    </sheetView>
  </sheetViews>
  <sheetFormatPr baseColWidth="10" defaultRowHeight="16" x14ac:dyDescent="0.2"/>
  <sheetData>
    <row r="1" spans="1:33" ht="17" thickBot="1" x14ac:dyDescent="0.25"/>
    <row r="2" spans="1:33" x14ac:dyDescent="0.2">
      <c r="A2" s="104"/>
      <c r="B2" s="225" t="s">
        <v>144</v>
      </c>
      <c r="C2" s="225"/>
      <c r="D2" s="225"/>
      <c r="E2" s="225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7"/>
      <c r="Z2" s="228" t="s">
        <v>191</v>
      </c>
      <c r="AA2" s="228"/>
      <c r="AB2" s="228"/>
      <c r="AC2" s="228"/>
      <c r="AD2" s="228"/>
      <c r="AE2" s="228"/>
      <c r="AF2" s="228"/>
      <c r="AG2" s="228"/>
    </row>
    <row r="3" spans="1:33" x14ac:dyDescent="0.2">
      <c r="A3" s="99"/>
      <c r="B3" s="226"/>
      <c r="C3" s="226"/>
      <c r="D3" s="226"/>
      <c r="E3" s="226"/>
      <c r="U3" s="98"/>
      <c r="Z3" s="228"/>
      <c r="AA3" s="228"/>
      <c r="AB3" s="228"/>
      <c r="AC3" s="228"/>
      <c r="AD3" s="228"/>
      <c r="AE3" s="228"/>
      <c r="AF3" s="228"/>
      <c r="AG3" s="228"/>
    </row>
    <row r="4" spans="1:33" x14ac:dyDescent="0.2">
      <c r="A4" s="99"/>
      <c r="U4" s="98"/>
    </row>
    <row r="5" spans="1:33" x14ac:dyDescent="0.2">
      <c r="A5" s="99"/>
      <c r="U5" s="98"/>
    </row>
    <row r="6" spans="1:33" x14ac:dyDescent="0.2">
      <c r="A6" s="99"/>
      <c r="U6" s="98"/>
    </row>
    <row r="7" spans="1:33" x14ac:dyDescent="0.2">
      <c r="A7" s="99"/>
      <c r="U7" s="98"/>
    </row>
    <row r="8" spans="1:33" x14ac:dyDescent="0.2">
      <c r="A8" s="99"/>
      <c r="B8" t="s">
        <v>149</v>
      </c>
      <c r="C8">
        <v>62</v>
      </c>
      <c r="D8">
        <v>78</v>
      </c>
      <c r="E8">
        <v>112</v>
      </c>
      <c r="F8">
        <v>442</v>
      </c>
      <c r="H8" t="s">
        <v>150</v>
      </c>
      <c r="K8" t="s">
        <v>152</v>
      </c>
      <c r="U8" s="98"/>
      <c r="AA8" t="s">
        <v>195</v>
      </c>
      <c r="AB8">
        <v>142</v>
      </c>
      <c r="AC8">
        <v>97</v>
      </c>
      <c r="AD8">
        <v>165</v>
      </c>
    </row>
    <row r="9" spans="1:33" x14ac:dyDescent="0.2">
      <c r="A9" s="99"/>
      <c r="C9" t="s">
        <v>3</v>
      </c>
      <c r="D9" t="s">
        <v>4</v>
      </c>
      <c r="E9" t="s">
        <v>5</v>
      </c>
      <c r="F9" t="s">
        <v>148</v>
      </c>
      <c r="U9" s="98"/>
      <c r="AB9" t="s">
        <v>3</v>
      </c>
      <c r="AC9" t="s">
        <v>4</v>
      </c>
      <c r="AD9" t="s">
        <v>5</v>
      </c>
      <c r="AF9" t="s">
        <v>196</v>
      </c>
    </row>
    <row r="10" spans="1:33" x14ac:dyDescent="0.2">
      <c r="A10" s="99"/>
      <c r="B10" t="s">
        <v>145</v>
      </c>
      <c r="C10">
        <v>30</v>
      </c>
      <c r="D10">
        <v>52</v>
      </c>
      <c r="E10">
        <v>70</v>
      </c>
      <c r="F10">
        <v>274</v>
      </c>
      <c r="H10" t="s">
        <v>145</v>
      </c>
      <c r="I10">
        <v>3036</v>
      </c>
      <c r="U10" s="98"/>
      <c r="AA10" t="s">
        <v>192</v>
      </c>
      <c r="AB10">
        <v>36</v>
      </c>
      <c r="AC10">
        <v>52</v>
      </c>
      <c r="AD10">
        <v>72</v>
      </c>
      <c r="AF10">
        <v>930</v>
      </c>
    </row>
    <row r="11" spans="1:33" x14ac:dyDescent="0.2">
      <c r="A11" s="99"/>
      <c r="B11" t="s">
        <v>146</v>
      </c>
      <c r="C11">
        <v>14</v>
      </c>
      <c r="D11">
        <v>9</v>
      </c>
      <c r="E11">
        <v>18</v>
      </c>
      <c r="F11">
        <v>68</v>
      </c>
      <c r="H11" t="s">
        <v>146</v>
      </c>
      <c r="I11">
        <v>787</v>
      </c>
      <c r="U11" s="98"/>
      <c r="AA11" t="s">
        <v>193</v>
      </c>
      <c r="AB11">
        <v>15</v>
      </c>
      <c r="AC11">
        <v>11</v>
      </c>
      <c r="AD11">
        <v>17</v>
      </c>
      <c r="AF11">
        <v>395</v>
      </c>
    </row>
    <row r="12" spans="1:33" x14ac:dyDescent="0.2">
      <c r="A12" s="99"/>
      <c r="B12" t="s">
        <v>147</v>
      </c>
      <c r="C12">
        <v>2</v>
      </c>
      <c r="D12">
        <v>4</v>
      </c>
      <c r="E12">
        <v>3</v>
      </c>
      <c r="F12">
        <v>16</v>
      </c>
      <c r="H12" t="s">
        <v>151</v>
      </c>
      <c r="I12">
        <v>183</v>
      </c>
      <c r="U12" s="98"/>
      <c r="AA12" t="s">
        <v>194</v>
      </c>
      <c r="AB12">
        <v>1</v>
      </c>
      <c r="AC12">
        <v>4</v>
      </c>
      <c r="AD12">
        <v>7</v>
      </c>
      <c r="AF12">
        <v>150</v>
      </c>
    </row>
    <row r="13" spans="1:33" x14ac:dyDescent="0.2">
      <c r="A13" s="99"/>
      <c r="U13" s="98"/>
    </row>
    <row r="14" spans="1:33" ht="16" customHeight="1" x14ac:dyDescent="0.2">
      <c r="A14" s="99"/>
      <c r="D14" s="105"/>
      <c r="E14" s="105"/>
      <c r="U14" s="98"/>
    </row>
    <row r="15" spans="1:33" ht="16" customHeight="1" x14ac:dyDescent="0.2">
      <c r="A15" s="99"/>
      <c r="B15" s="103"/>
      <c r="C15" s="103"/>
      <c r="D15" s="103"/>
      <c r="E15" s="103"/>
      <c r="K15" t="s">
        <v>149</v>
      </c>
      <c r="L15">
        <v>62</v>
      </c>
      <c r="M15">
        <v>78</v>
      </c>
      <c r="N15">
        <v>112</v>
      </c>
      <c r="O15">
        <v>442</v>
      </c>
      <c r="P15" t="s">
        <v>93</v>
      </c>
      <c r="Q15">
        <v>4977</v>
      </c>
      <c r="U15" s="98"/>
    </row>
    <row r="16" spans="1:33" ht="16" customHeight="1" x14ac:dyDescent="0.2">
      <c r="A16" s="99"/>
      <c r="B16" s="103"/>
      <c r="C16" s="103"/>
      <c r="D16" s="103"/>
      <c r="E16" s="103"/>
      <c r="L16" t="s">
        <v>3</v>
      </c>
      <c r="M16" t="s">
        <v>4</v>
      </c>
      <c r="N16" t="s">
        <v>5</v>
      </c>
      <c r="O16" t="s">
        <v>148</v>
      </c>
      <c r="U16" s="98"/>
    </row>
    <row r="17" spans="1:38" x14ac:dyDescent="0.2">
      <c r="A17" s="99"/>
      <c r="K17" t="s">
        <v>145</v>
      </c>
      <c r="L17">
        <v>30</v>
      </c>
      <c r="M17">
        <v>52</v>
      </c>
      <c r="N17">
        <v>70</v>
      </c>
      <c r="O17">
        <v>274</v>
      </c>
      <c r="P17" t="s">
        <v>155</v>
      </c>
      <c r="Q17">
        <v>3036</v>
      </c>
      <c r="U17" s="98"/>
    </row>
    <row r="18" spans="1:38" x14ac:dyDescent="0.2">
      <c r="A18" s="99"/>
      <c r="K18" t="s">
        <v>146</v>
      </c>
      <c r="L18">
        <v>14</v>
      </c>
      <c r="M18">
        <v>9</v>
      </c>
      <c r="N18">
        <v>18</v>
      </c>
      <c r="O18">
        <v>68</v>
      </c>
      <c r="P18" t="s">
        <v>155</v>
      </c>
      <c r="Q18">
        <v>787</v>
      </c>
      <c r="U18" s="98"/>
    </row>
    <row r="19" spans="1:38" x14ac:dyDescent="0.2">
      <c r="A19" s="99"/>
      <c r="K19" t="s">
        <v>147</v>
      </c>
      <c r="L19">
        <v>2</v>
      </c>
      <c r="M19">
        <v>4</v>
      </c>
      <c r="N19">
        <v>3</v>
      </c>
      <c r="O19">
        <v>16</v>
      </c>
      <c r="P19" t="s">
        <v>155</v>
      </c>
      <c r="Q19">
        <v>183</v>
      </c>
      <c r="U19" s="98"/>
      <c r="AA19" t="s">
        <v>197</v>
      </c>
    </row>
    <row r="20" spans="1:38" x14ac:dyDescent="0.2">
      <c r="A20" s="99"/>
      <c r="U20" s="98"/>
    </row>
    <row r="21" spans="1:38" ht="17" thickBot="1" x14ac:dyDescent="0.25">
      <c r="A21" s="227" t="s">
        <v>171</v>
      </c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U21" s="98"/>
      <c r="AA21" s="1"/>
      <c r="AB21" s="1"/>
      <c r="AC21" s="1">
        <v>142</v>
      </c>
      <c r="AD21" s="1">
        <v>97</v>
      </c>
      <c r="AE21" s="1">
        <v>165</v>
      </c>
      <c r="AF21" s="1">
        <v>0</v>
      </c>
      <c r="AG21" s="1">
        <v>0</v>
      </c>
      <c r="AH21" s="1">
        <v>0</v>
      </c>
      <c r="AI21" s="1"/>
      <c r="AJ21" s="1"/>
    </row>
    <row r="22" spans="1:38" x14ac:dyDescent="0.2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U22" s="98"/>
      <c r="AA22" s="1"/>
      <c r="AB22" s="1"/>
      <c r="AC22" s="1" t="s">
        <v>16</v>
      </c>
      <c r="AD22" s="1" t="s">
        <v>17</v>
      </c>
      <c r="AE22" s="1" t="s">
        <v>18</v>
      </c>
      <c r="AF22" s="1" t="s">
        <v>19</v>
      </c>
      <c r="AG22" s="1" t="s">
        <v>20</v>
      </c>
      <c r="AH22" s="1" t="s">
        <v>21</v>
      </c>
      <c r="AI22" s="1" t="s">
        <v>11</v>
      </c>
      <c r="AJ22" s="15" t="s">
        <v>23</v>
      </c>
    </row>
    <row r="23" spans="1:38" x14ac:dyDescent="0.2">
      <c r="A23" s="99"/>
      <c r="B23" s="71"/>
      <c r="C23" s="71"/>
      <c r="D23" s="71"/>
      <c r="E23" s="71"/>
      <c r="U23" s="98"/>
      <c r="AA23" s="1">
        <v>0</v>
      </c>
      <c r="AB23" s="1" t="s">
        <v>19</v>
      </c>
      <c r="AC23" s="3">
        <v>36</v>
      </c>
      <c r="AD23" s="3">
        <v>52</v>
      </c>
      <c r="AE23" s="3">
        <v>72</v>
      </c>
      <c r="AF23" s="3">
        <v>1</v>
      </c>
      <c r="AG23" s="3">
        <v>0</v>
      </c>
      <c r="AH23" s="3">
        <v>0</v>
      </c>
      <c r="AI23" s="3">
        <v>930</v>
      </c>
      <c r="AJ23" s="113">
        <f>AI23/AE23</f>
        <v>12.916666666666666</v>
      </c>
    </row>
    <row r="24" spans="1:38" x14ac:dyDescent="0.2">
      <c r="A24" s="99"/>
      <c r="B24" s="71"/>
      <c r="C24" s="71"/>
      <c r="D24" s="71"/>
      <c r="E24" s="71"/>
      <c r="U24" s="98"/>
      <c r="AA24" s="1">
        <v>0</v>
      </c>
      <c r="AB24" s="1" t="s">
        <v>20</v>
      </c>
      <c r="AC24" s="1">
        <v>15</v>
      </c>
      <c r="AD24" s="1">
        <v>11</v>
      </c>
      <c r="AE24" s="3">
        <v>17</v>
      </c>
      <c r="AF24" s="1">
        <v>0</v>
      </c>
      <c r="AG24" s="1">
        <v>1</v>
      </c>
      <c r="AH24" s="1">
        <v>0</v>
      </c>
      <c r="AI24" s="1">
        <v>395</v>
      </c>
      <c r="AJ24" s="16">
        <f t="shared" ref="AJ24:AJ25" si="0">AI24/AE24</f>
        <v>23.235294117647058</v>
      </c>
    </row>
    <row r="25" spans="1:38" ht="17" thickBot="1" x14ac:dyDescent="0.25">
      <c r="A25" s="99"/>
      <c r="B25" s="71"/>
      <c r="C25" s="71" t="s">
        <v>3</v>
      </c>
      <c r="D25" s="71" t="s">
        <v>4</v>
      </c>
      <c r="E25" s="71" t="s">
        <v>5</v>
      </c>
      <c r="F25" s="71" t="s">
        <v>148</v>
      </c>
      <c r="G25" s="71" t="s">
        <v>172</v>
      </c>
      <c r="U25" s="98"/>
      <c r="AA25" s="1">
        <v>0</v>
      </c>
      <c r="AB25" s="1" t="s">
        <v>21</v>
      </c>
      <c r="AC25" s="1">
        <v>1</v>
      </c>
      <c r="AD25" s="1">
        <v>4</v>
      </c>
      <c r="AE25" s="3">
        <v>7</v>
      </c>
      <c r="AF25" s="1">
        <v>0</v>
      </c>
      <c r="AG25" s="1">
        <v>0</v>
      </c>
      <c r="AH25" s="1">
        <v>1</v>
      </c>
      <c r="AI25" s="1">
        <v>150</v>
      </c>
      <c r="AJ25" s="16">
        <f t="shared" si="0"/>
        <v>21.428571428571427</v>
      </c>
    </row>
    <row r="26" spans="1:38" ht="17" thickBot="1" x14ac:dyDescent="0.25">
      <c r="B26" s="34"/>
      <c r="C26">
        <v>30</v>
      </c>
      <c r="D26">
        <v>52</v>
      </c>
      <c r="E26">
        <v>70</v>
      </c>
      <c r="F26">
        <v>274</v>
      </c>
      <c r="G26">
        <v>3036</v>
      </c>
      <c r="H26" s="34"/>
      <c r="I26" s="34"/>
      <c r="U26" s="98"/>
      <c r="AA26" s="1"/>
      <c r="AB26" s="114" t="s">
        <v>22</v>
      </c>
      <c r="AC26" s="115">
        <f>SUMPRODUCT(AC23:AC25,$AA$23:$AA$25)-AC21</f>
        <v>-142</v>
      </c>
      <c r="AD26" s="115">
        <f t="shared" ref="AD26:AI26" si="1">SUMPRODUCT(AD23:AD25,$AA$23:$AA$25)-AD21</f>
        <v>-97</v>
      </c>
      <c r="AE26" s="116">
        <f t="shared" si="1"/>
        <v>-165</v>
      </c>
      <c r="AF26" s="115">
        <f t="shared" si="1"/>
        <v>0</v>
      </c>
      <c r="AG26" s="115">
        <f t="shared" si="1"/>
        <v>0</v>
      </c>
      <c r="AH26" s="117">
        <f t="shared" si="1"/>
        <v>0</v>
      </c>
      <c r="AI26" s="117">
        <f t="shared" si="1"/>
        <v>0</v>
      </c>
      <c r="AJ26" s="16"/>
    </row>
    <row r="27" spans="1:38" x14ac:dyDescent="0.2">
      <c r="B27" s="34"/>
      <c r="C27">
        <v>14</v>
      </c>
      <c r="D27">
        <v>9</v>
      </c>
      <c r="E27">
        <v>18</v>
      </c>
      <c r="F27">
        <v>68</v>
      </c>
      <c r="G27">
        <v>787</v>
      </c>
      <c r="H27" s="34"/>
      <c r="U27" s="98"/>
      <c r="AA27" s="1">
        <v>165</v>
      </c>
      <c r="AB27" s="1" t="s">
        <v>18</v>
      </c>
      <c r="AC27" s="3" cm="1">
        <f t="array" ref="AC27:AI27">AC23:AI23/72</f>
        <v>0.5</v>
      </c>
      <c r="AD27" s="3">
        <v>0.72222222222222221</v>
      </c>
      <c r="AE27" s="3">
        <v>1</v>
      </c>
      <c r="AF27" s="3">
        <v>1.3888888888888888E-2</v>
      </c>
      <c r="AG27" s="3">
        <v>0</v>
      </c>
      <c r="AH27" s="3">
        <v>0</v>
      </c>
      <c r="AI27" s="3">
        <v>12.916666666666666</v>
      </c>
      <c r="AJ27" s="113">
        <f>AI27/AC27</f>
        <v>25.833333333333332</v>
      </c>
    </row>
    <row r="28" spans="1:38" x14ac:dyDescent="0.2">
      <c r="B28" s="34"/>
      <c r="C28">
        <v>2</v>
      </c>
      <c r="D28">
        <v>4</v>
      </c>
      <c r="E28">
        <v>3</v>
      </c>
      <c r="F28">
        <v>16</v>
      </c>
      <c r="G28">
        <v>183</v>
      </c>
      <c r="H28" s="34"/>
      <c r="J28" t="s">
        <v>173</v>
      </c>
      <c r="U28" s="98"/>
      <c r="AA28" s="1">
        <v>0</v>
      </c>
      <c r="AB28" s="1" t="s">
        <v>20</v>
      </c>
      <c r="AC28" s="3" cm="1">
        <f t="array" ref="AC28:AI28">AC24:AI24-$AE$24*_xlfn.ANCHORARRAY(AC27)</f>
        <v>6.5</v>
      </c>
      <c r="AD28" s="1">
        <v>-1.2777777777777768</v>
      </c>
      <c r="AE28" s="1">
        <v>0</v>
      </c>
      <c r="AF28" s="1">
        <v>-0.2361111111111111</v>
      </c>
      <c r="AG28" s="1">
        <v>1</v>
      </c>
      <c r="AH28" s="1">
        <v>0</v>
      </c>
      <c r="AI28" s="1">
        <v>175.41666666666669</v>
      </c>
      <c r="AJ28" s="16">
        <f t="shared" ref="AJ28:AJ29" si="2">AI28/AC28</f>
        <v>26.987179487179489</v>
      </c>
    </row>
    <row r="29" spans="1:38" ht="17" thickBot="1" x14ac:dyDescent="0.25">
      <c r="B29" s="34"/>
      <c r="C29" s="34"/>
      <c r="D29" s="34"/>
      <c r="E29" s="34"/>
      <c r="F29" s="34"/>
      <c r="H29" s="34"/>
      <c r="U29" s="98"/>
      <c r="AA29" s="1">
        <v>0</v>
      </c>
      <c r="AB29" s="1" t="s">
        <v>21</v>
      </c>
      <c r="AC29" s="3" cm="1">
        <f t="array" ref="AC29:AI29">AC25:AI25-AE25*_xlfn.ANCHORARRAY(AC27)</f>
        <v>-2.5</v>
      </c>
      <c r="AD29" s="1">
        <v>-1.0555555555555554</v>
      </c>
      <c r="AE29" s="1">
        <v>0</v>
      </c>
      <c r="AF29" s="1">
        <v>-9.722222222222221E-2</v>
      </c>
      <c r="AG29" s="1">
        <v>0</v>
      </c>
      <c r="AH29" s="1">
        <v>1</v>
      </c>
      <c r="AI29" s="1">
        <v>59.583333333333343</v>
      </c>
      <c r="AJ29" s="16">
        <f t="shared" si="2"/>
        <v>-23.833333333333336</v>
      </c>
    </row>
    <row r="30" spans="1:38" ht="17" thickBot="1" x14ac:dyDescent="0.25">
      <c r="B30" s="34"/>
      <c r="D30" s="34"/>
      <c r="E30" s="34"/>
      <c r="F30" s="34"/>
      <c r="G30" s="34"/>
      <c r="H30" s="34"/>
      <c r="I30" t="s">
        <v>175</v>
      </c>
      <c r="J30" t="s">
        <v>174</v>
      </c>
      <c r="K30">
        <f>17*62</f>
        <v>1054</v>
      </c>
      <c r="U30" s="98"/>
      <c r="AA30" s="1"/>
      <c r="AB30" s="114" t="s">
        <v>22</v>
      </c>
      <c r="AC30" s="116">
        <f t="shared" ref="AC30:AI30" si="3">SUMPRODUCT($AA$27:$AA$29,AC27:AC29)-AC21</f>
        <v>-59.5</v>
      </c>
      <c r="AD30" s="115">
        <f t="shared" si="3"/>
        <v>22.166666666666671</v>
      </c>
      <c r="AE30" s="115">
        <f t="shared" si="3"/>
        <v>0</v>
      </c>
      <c r="AF30" s="115">
        <f t="shared" si="3"/>
        <v>2.2916666666666665</v>
      </c>
      <c r="AG30" s="115">
        <f t="shared" si="3"/>
        <v>0</v>
      </c>
      <c r="AH30" s="115">
        <f t="shared" si="3"/>
        <v>0</v>
      </c>
      <c r="AI30" s="117">
        <f t="shared" si="3"/>
        <v>2131.25</v>
      </c>
      <c r="AJ30" s="16"/>
    </row>
    <row r="31" spans="1:38" ht="16" customHeight="1" x14ac:dyDescent="0.2">
      <c r="B31" s="34"/>
      <c r="C31" s="34"/>
      <c r="D31" s="34"/>
      <c r="E31" s="34"/>
      <c r="F31" s="34"/>
      <c r="G31" s="34"/>
      <c r="H31" s="34"/>
      <c r="I31" s="34" t="s">
        <v>176</v>
      </c>
      <c r="J31" t="s">
        <v>178</v>
      </c>
      <c r="K31">
        <f>23*78</f>
        <v>1794</v>
      </c>
      <c r="V31" s="99"/>
      <c r="AA31" s="1">
        <v>142</v>
      </c>
      <c r="AB31" s="1" t="s">
        <v>16</v>
      </c>
      <c r="AC31" s="1" cm="1">
        <f t="array" ref="AC31:AI31">_xlfn.ANCHORARRAY(AC27)/AC27</f>
        <v>1</v>
      </c>
      <c r="AD31" s="1">
        <v>1.4444444444444444</v>
      </c>
      <c r="AE31" s="1">
        <v>2</v>
      </c>
      <c r="AF31" s="1">
        <v>2.7777777777777776E-2</v>
      </c>
      <c r="AG31" s="1">
        <v>0</v>
      </c>
      <c r="AH31" s="1">
        <v>0</v>
      </c>
      <c r="AI31" s="1">
        <v>25.833333333333332</v>
      </c>
      <c r="AJ31" s="118" t="s">
        <v>198</v>
      </c>
      <c r="AK31" t="s">
        <v>199</v>
      </c>
      <c r="AL31">
        <v>25</v>
      </c>
    </row>
    <row r="32" spans="1:38" ht="16" customHeight="1" x14ac:dyDescent="0.2">
      <c r="B32" s="55" t="s">
        <v>66</v>
      </c>
      <c r="C32" s="34" cm="1">
        <f t="array" ref="C32:G32">C26:G26/30</f>
        <v>1</v>
      </c>
      <c r="D32" s="34">
        <v>1.7333333333333334</v>
      </c>
      <c r="E32" s="34">
        <v>2.3333333333333335</v>
      </c>
      <c r="F32" s="34">
        <v>9.1333333333333329</v>
      </c>
      <c r="G32" s="55">
        <v>101.2</v>
      </c>
      <c r="H32" s="34"/>
      <c r="I32" s="34" t="s">
        <v>177</v>
      </c>
      <c r="J32" t="s">
        <v>179</v>
      </c>
      <c r="K32">
        <f>19*112</f>
        <v>2128</v>
      </c>
      <c r="V32" s="99"/>
      <c r="AA32" s="1">
        <v>0</v>
      </c>
      <c r="AB32" s="1" t="s">
        <v>20</v>
      </c>
      <c r="AC32" cm="1">
        <f t="array" ref="AC32:AI32">_xlfn.ANCHORARRAY(AC28)-AC28*_xlfn.ANCHORARRAY(AC31)</f>
        <v>0</v>
      </c>
      <c r="AD32">
        <v>-10.666666666666666</v>
      </c>
      <c r="AE32">
        <v>-13</v>
      </c>
      <c r="AF32">
        <v>-0.41666666666666663</v>
      </c>
      <c r="AG32">
        <v>1</v>
      </c>
      <c r="AH32">
        <v>0</v>
      </c>
      <c r="AI32">
        <v>7.5000000000000284</v>
      </c>
      <c r="AJ32" s="118" t="s">
        <v>198</v>
      </c>
      <c r="AK32" t="s">
        <v>200</v>
      </c>
      <c r="AL32">
        <v>7.5</v>
      </c>
    </row>
    <row r="33" spans="1:38" ht="17" thickBot="1" x14ac:dyDescent="0.25">
      <c r="B33" s="55" t="s">
        <v>67</v>
      </c>
      <c r="C33" s="34" cm="1">
        <f t="array" ref="C33:G33">C27:G27-14*_xlfn.ANCHORARRAY(C32)</f>
        <v>0</v>
      </c>
      <c r="D33" s="34">
        <v>-15.266666666666666</v>
      </c>
      <c r="E33" s="34">
        <v>-14.666666666666671</v>
      </c>
      <c r="F33" s="34">
        <v>-59.86666666666666</v>
      </c>
      <c r="G33" s="55">
        <v>-629.79999999999995</v>
      </c>
      <c r="H33" s="34"/>
      <c r="I33" s="34" t="s">
        <v>180</v>
      </c>
      <c r="J33" s="34" t="s">
        <v>181</v>
      </c>
      <c r="K33" s="34">
        <v>0</v>
      </c>
      <c r="L33" s="34"/>
      <c r="M33" s="34"/>
      <c r="N33" s="34"/>
      <c r="O33" s="34"/>
      <c r="P33" s="34"/>
      <c r="Q33" s="34"/>
      <c r="R33" s="34"/>
      <c r="S33" s="34"/>
      <c r="T33" s="34"/>
      <c r="U33" s="106"/>
      <c r="AA33">
        <v>0</v>
      </c>
      <c r="AB33" s="1" t="s">
        <v>21</v>
      </c>
      <c r="AC33" cm="1">
        <f t="array" ref="AC33:AI33">_xlfn.ANCHORARRAY(AC29)-AC29*_xlfn.ANCHORARRAY(AC31)</f>
        <v>0</v>
      </c>
      <c r="AD33">
        <v>2.5555555555555558</v>
      </c>
      <c r="AE33">
        <v>5</v>
      </c>
      <c r="AF33">
        <v>-2.7777777777777762E-2</v>
      </c>
      <c r="AG33">
        <v>0</v>
      </c>
      <c r="AH33">
        <v>1</v>
      </c>
      <c r="AI33">
        <v>124.16666666666667</v>
      </c>
      <c r="AJ33" s="118" t="s">
        <v>198</v>
      </c>
      <c r="AK33" t="s">
        <v>201</v>
      </c>
      <c r="AL33">
        <v>124</v>
      </c>
    </row>
    <row r="34" spans="1:38" ht="17" thickBot="1" x14ac:dyDescent="0.25">
      <c r="B34" s="55" t="s">
        <v>68</v>
      </c>
      <c r="C34" s="34" cm="1">
        <f t="array" ref="C34:G34">C28:G28-2*_xlfn.ANCHORARRAY(C32)</f>
        <v>0</v>
      </c>
      <c r="D34" s="34">
        <v>0.53333333333333321</v>
      </c>
      <c r="E34" s="34">
        <v>-1.666666666666667</v>
      </c>
      <c r="F34" s="34">
        <v>-2.2666666666666657</v>
      </c>
      <c r="G34" s="55">
        <v>-19.400000000000006</v>
      </c>
      <c r="H34" s="34"/>
      <c r="I34" s="34"/>
      <c r="J34" s="34"/>
      <c r="K34" s="34">
        <f>SUM(K30:K33)</f>
        <v>4976</v>
      </c>
      <c r="L34" s="34"/>
      <c r="M34" s="108" t="s">
        <v>182</v>
      </c>
      <c r="N34" s="81" t="s">
        <v>183</v>
      </c>
      <c r="O34" s="34"/>
      <c r="P34" s="34"/>
      <c r="Q34" s="34"/>
      <c r="R34" s="34"/>
      <c r="S34" s="34"/>
      <c r="T34" s="34"/>
      <c r="U34" s="106"/>
      <c r="AB34" s="114" t="s">
        <v>22</v>
      </c>
      <c r="AC34" s="89">
        <f t="shared" ref="AC34:AI34" si="4">SUMPRODUCT($AA$31:$AA$33,AC31:AC33)-AC21</f>
        <v>0</v>
      </c>
      <c r="AD34" s="89">
        <f t="shared" si="4"/>
        <v>108.11111111111111</v>
      </c>
      <c r="AE34" s="89">
        <f t="shared" si="4"/>
        <v>119</v>
      </c>
      <c r="AF34" s="89">
        <f t="shared" si="4"/>
        <v>3.9444444444444442</v>
      </c>
      <c r="AG34" s="89">
        <f t="shared" si="4"/>
        <v>0</v>
      </c>
      <c r="AH34" s="89">
        <f t="shared" si="4"/>
        <v>0</v>
      </c>
      <c r="AI34" s="92">
        <f t="shared" si="4"/>
        <v>3668.333333333333</v>
      </c>
      <c r="AJ34" s="16"/>
    </row>
    <row r="35" spans="1:38" x14ac:dyDescent="0.2">
      <c r="B35" s="55"/>
      <c r="C35" s="34"/>
      <c r="D35" s="34"/>
      <c r="E35" s="34"/>
      <c r="F35" s="34"/>
      <c r="G35" s="55"/>
      <c r="H35" s="34"/>
      <c r="I35" s="34"/>
      <c r="J35" s="34"/>
      <c r="O35" s="34"/>
      <c r="P35" s="34"/>
      <c r="Q35" s="34"/>
      <c r="R35" s="34"/>
      <c r="S35" s="34"/>
      <c r="T35" s="34"/>
      <c r="U35" s="106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8" x14ac:dyDescent="0.2">
      <c r="B36" s="55"/>
      <c r="C36" s="34"/>
      <c r="D36" s="34"/>
      <c r="E36" s="34"/>
      <c r="F36" s="34"/>
      <c r="G36" s="55"/>
      <c r="H36" s="34"/>
      <c r="I36" s="34"/>
      <c r="R36" s="34"/>
      <c r="S36" s="34"/>
      <c r="T36" s="34"/>
      <c r="U36" s="106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8" x14ac:dyDescent="0.2">
      <c r="B37" s="55"/>
      <c r="C37" s="34"/>
      <c r="D37" s="34"/>
      <c r="E37" s="34"/>
      <c r="F37" s="34"/>
      <c r="G37" s="55"/>
      <c r="H37" s="34"/>
      <c r="I37" s="34"/>
      <c r="R37" s="34"/>
      <c r="S37" s="34"/>
      <c r="T37" s="34"/>
      <c r="U37" s="106"/>
      <c r="AJ37" s="1"/>
    </row>
    <row r="38" spans="1:38" x14ac:dyDescent="0.2">
      <c r="B38" s="55" t="s">
        <v>67</v>
      </c>
      <c r="C38" s="34" cm="1">
        <f t="array" ref="C38:G38">_xlfn.ANCHORARRAY(C32)-D32*_xlfn.ANCHORARRAY(C39)</f>
        <v>1</v>
      </c>
      <c r="D38" s="34">
        <v>0</v>
      </c>
      <c r="E38" s="34">
        <v>0.66812227074235753</v>
      </c>
      <c r="F38" s="34">
        <v>2.3362445414847164</v>
      </c>
      <c r="G38" s="55">
        <v>29.694323144104814</v>
      </c>
      <c r="H38" s="34"/>
      <c r="I38" s="34"/>
      <c r="R38" s="34"/>
      <c r="S38" s="34"/>
      <c r="T38" s="34"/>
      <c r="U38" s="106"/>
      <c r="AJ38" s="1"/>
    </row>
    <row r="39" spans="1:38" x14ac:dyDescent="0.2">
      <c r="B39" s="55" t="s">
        <v>66</v>
      </c>
      <c r="C39" s="34" cm="1">
        <f t="array" ref="C39:G39">_xlfn.ANCHORARRAY(C33)/D33</f>
        <v>0</v>
      </c>
      <c r="D39" s="34">
        <v>1</v>
      </c>
      <c r="E39" s="34">
        <v>0.96069868995633223</v>
      </c>
      <c r="F39" s="34">
        <v>3.9213973799126634</v>
      </c>
      <c r="G39" s="55">
        <v>41.253275109170303</v>
      </c>
      <c r="H39" s="34"/>
      <c r="I39" s="34"/>
      <c r="R39" s="34"/>
      <c r="S39" s="34"/>
      <c r="T39" s="34"/>
      <c r="U39" s="106"/>
    </row>
    <row r="40" spans="1:38" x14ac:dyDescent="0.2">
      <c r="B40" s="55" t="s">
        <v>68</v>
      </c>
      <c r="C40" s="34" cm="1">
        <f t="array" ref="C40:G40">_xlfn.ANCHORARRAY(C34)-D34*_xlfn.ANCHORARRAY(C39)</f>
        <v>0</v>
      </c>
      <c r="D40">
        <v>0</v>
      </c>
      <c r="E40" s="34">
        <v>-2.179039301310044</v>
      </c>
      <c r="F40" s="34">
        <v>-4.3580786026200862</v>
      </c>
      <c r="G40" s="55">
        <v>-41.401746724890828</v>
      </c>
      <c r="H40" s="34"/>
      <c r="I40" s="34"/>
      <c r="R40" s="34"/>
      <c r="S40" s="34"/>
      <c r="T40" s="34"/>
      <c r="U40" s="106"/>
      <c r="AA40" t="s">
        <v>202</v>
      </c>
    </row>
    <row r="41" spans="1:38" x14ac:dyDescent="0.2">
      <c r="B41" s="55"/>
      <c r="C41" s="34"/>
      <c r="D41" s="34"/>
      <c r="E41" s="34"/>
      <c r="F41" s="34"/>
      <c r="G41" s="55"/>
      <c r="H41" s="34"/>
      <c r="I41" s="34"/>
      <c r="R41" s="34"/>
      <c r="S41" s="34"/>
      <c r="T41" s="34"/>
      <c r="U41" s="106"/>
    </row>
    <row r="42" spans="1:38" x14ac:dyDescent="0.2">
      <c r="B42" s="55"/>
      <c r="C42" s="34"/>
      <c r="D42" s="34"/>
      <c r="E42" s="34"/>
      <c r="F42" s="34"/>
      <c r="G42" s="55"/>
      <c r="H42" s="34"/>
      <c r="I42" s="34"/>
      <c r="R42" s="34"/>
      <c r="S42" s="34"/>
      <c r="T42" s="34"/>
      <c r="U42" s="9"/>
    </row>
    <row r="43" spans="1:38" x14ac:dyDescent="0.2">
      <c r="B43" s="55"/>
      <c r="C43" s="34"/>
      <c r="D43" s="34"/>
      <c r="E43" s="34"/>
      <c r="F43" s="34"/>
      <c r="G43" s="55"/>
      <c r="H43" s="34"/>
      <c r="I43" s="34"/>
      <c r="R43" s="34"/>
      <c r="S43" s="34"/>
      <c r="T43" s="34"/>
      <c r="U43" s="9"/>
    </row>
    <row r="44" spans="1:38" x14ac:dyDescent="0.2">
      <c r="B44" s="55" t="s">
        <v>67</v>
      </c>
      <c r="C44" s="34" cm="1">
        <f t="array" ref="C44:G44">_xlfn.ANCHORARRAY(C38)-E38*_xlfn.ANCHORARRAY(C46)</f>
        <v>1</v>
      </c>
      <c r="D44" s="34">
        <v>0</v>
      </c>
      <c r="E44" s="34">
        <v>0</v>
      </c>
      <c r="F44" s="34">
        <v>1.000000000000002</v>
      </c>
      <c r="G44" s="55">
        <v>17.000000000000021</v>
      </c>
      <c r="H44" s="34"/>
      <c r="I44" s="34" t="s">
        <v>157</v>
      </c>
      <c r="R44" s="34"/>
      <c r="S44" s="34"/>
      <c r="T44" s="34"/>
      <c r="U44" s="9"/>
      <c r="AB44" t="s">
        <v>74</v>
      </c>
      <c r="AI44">
        <f>AI34/AC45</f>
        <v>25.833333333333332</v>
      </c>
      <c r="AJ44">
        <f>AI34/AD45</f>
        <v>22.232323232323232</v>
      </c>
    </row>
    <row r="45" spans="1:38" x14ac:dyDescent="0.2">
      <c r="B45" s="119" t="s">
        <v>68</v>
      </c>
      <c r="C45" s="1" cm="1">
        <f t="array" ref="C45:G45">_xlfn.ANCHORARRAY(C39)-E39*_xlfn.ANCHORARRAY(C46)</f>
        <v>0</v>
      </c>
      <c r="D45" s="1">
        <v>1</v>
      </c>
      <c r="E45" s="34">
        <v>0</v>
      </c>
      <c r="F45" s="1">
        <v>1.9999999999999998</v>
      </c>
      <c r="G45" s="55">
        <v>22.999999999999993</v>
      </c>
      <c r="H45" s="1"/>
      <c r="I45" s="1" t="s">
        <v>158</v>
      </c>
      <c r="R45" s="34"/>
      <c r="S45" s="34"/>
      <c r="T45" s="34"/>
      <c r="U45" s="9"/>
      <c r="AC45">
        <v>142</v>
      </c>
      <c r="AD45">
        <v>165</v>
      </c>
    </row>
    <row r="46" spans="1:38" x14ac:dyDescent="0.2">
      <c r="B46" s="119" t="s">
        <v>66</v>
      </c>
      <c r="C46" s="1" cm="1">
        <f t="array" ref="C46:G46">_xlfn.ANCHORARRAY(C40)/E40</f>
        <v>0</v>
      </c>
      <c r="D46" s="1">
        <v>0</v>
      </c>
      <c r="E46" s="1">
        <v>1</v>
      </c>
      <c r="F46" s="1">
        <v>1.9999999999999991</v>
      </c>
      <c r="G46" s="119">
        <v>18.999999999999996</v>
      </c>
      <c r="I46" s="1" t="s">
        <v>159</v>
      </c>
      <c r="R46" s="34"/>
      <c r="S46" s="34"/>
      <c r="T46" s="34"/>
      <c r="U46" s="9"/>
      <c r="AC46" t="s">
        <v>3</v>
      </c>
      <c r="AD46" t="s">
        <v>5</v>
      </c>
      <c r="AI46" t="s">
        <v>24</v>
      </c>
      <c r="AJ46" t="s">
        <v>25</v>
      </c>
    </row>
    <row r="47" spans="1:38" x14ac:dyDescent="0.2">
      <c r="A47" s="99"/>
      <c r="R47" s="34"/>
      <c r="S47" s="34"/>
      <c r="T47" s="34"/>
      <c r="U47" s="9"/>
      <c r="AA47" t="s">
        <v>8</v>
      </c>
      <c r="AC47">
        <v>36</v>
      </c>
      <c r="AD47">
        <v>72</v>
      </c>
      <c r="AE47" t="s">
        <v>7</v>
      </c>
      <c r="AF47">
        <v>930</v>
      </c>
      <c r="AI47">
        <f>AF47/AC47</f>
        <v>25.833333333333332</v>
      </c>
      <c r="AJ47">
        <f>AF47/AD47</f>
        <v>12.916666666666666</v>
      </c>
    </row>
    <row r="48" spans="1:38" x14ac:dyDescent="0.2">
      <c r="A48" s="99"/>
      <c r="R48" s="34"/>
      <c r="S48" s="34"/>
      <c r="T48" s="34"/>
      <c r="U48" s="9"/>
      <c r="AA48" t="s">
        <v>9</v>
      </c>
      <c r="AC48">
        <v>15</v>
      </c>
      <c r="AD48">
        <v>17</v>
      </c>
      <c r="AE48" t="s">
        <v>7</v>
      </c>
      <c r="AF48">
        <v>395</v>
      </c>
      <c r="AI48">
        <f>AF48/AC48</f>
        <v>26.333333333333332</v>
      </c>
      <c r="AJ48">
        <f>AF48/AD48</f>
        <v>23.235294117647058</v>
      </c>
    </row>
    <row r="49" spans="1:36" x14ac:dyDescent="0.2">
      <c r="A49" s="99"/>
      <c r="R49" s="34"/>
      <c r="S49" s="34"/>
      <c r="T49" s="34"/>
      <c r="U49" s="9"/>
      <c r="AA49" t="s">
        <v>10</v>
      </c>
      <c r="AC49">
        <v>1</v>
      </c>
      <c r="AD49">
        <v>7</v>
      </c>
      <c r="AE49" t="s">
        <v>7</v>
      </c>
      <c r="AF49">
        <v>150</v>
      </c>
      <c r="AI49">
        <f>AF49/AC49</f>
        <v>150</v>
      </c>
      <c r="AJ49">
        <f>AF49/AD49</f>
        <v>21.428571428571427</v>
      </c>
    </row>
    <row r="50" spans="1:36" x14ac:dyDescent="0.2">
      <c r="A50" s="99"/>
      <c r="R50" s="34"/>
      <c r="S50" s="34"/>
      <c r="T50" s="34"/>
      <c r="U50" s="9"/>
    </row>
    <row r="51" spans="1:36" x14ac:dyDescent="0.2">
      <c r="A51" s="99"/>
      <c r="R51" s="34"/>
      <c r="S51" s="34"/>
      <c r="T51" s="34"/>
      <c r="U51" s="9"/>
    </row>
    <row r="52" spans="1:36" x14ac:dyDescent="0.2">
      <c r="A52" s="99"/>
      <c r="R52" s="34"/>
      <c r="S52" s="34"/>
      <c r="T52" s="34"/>
      <c r="U52" s="9"/>
      <c r="AG52" t="s">
        <v>24</v>
      </c>
      <c r="AH52" t="s">
        <v>25</v>
      </c>
    </row>
    <row r="53" spans="1:36" x14ac:dyDescent="0.2">
      <c r="A53" s="99"/>
      <c r="R53" s="34"/>
      <c r="S53" s="34"/>
      <c r="T53" s="34"/>
      <c r="U53" s="9"/>
      <c r="AC53" cm="1">
        <f t="array" ref="AC53:AC55">AF47:AF49/AC47:AC49</f>
        <v>25.833333333333332</v>
      </c>
      <c r="AD53" cm="1">
        <f t="array" ref="AD53:AD55">AF47:AF49/AD47:AD49</f>
        <v>12.916666666666666</v>
      </c>
      <c r="AF53" t="s">
        <v>8</v>
      </c>
      <c r="AG53">
        <v>25.83</v>
      </c>
      <c r="AH53">
        <v>0</v>
      </c>
    </row>
    <row r="54" spans="1:36" x14ac:dyDescent="0.2">
      <c r="A54" s="99"/>
      <c r="R54" s="34"/>
      <c r="S54" s="34"/>
      <c r="T54" s="34"/>
      <c r="U54" s="9"/>
      <c r="AC54">
        <v>26.333333333333332</v>
      </c>
      <c r="AD54">
        <v>23.235294117647058</v>
      </c>
      <c r="AG54">
        <v>0</v>
      </c>
      <c r="AH54">
        <v>12.92</v>
      </c>
    </row>
    <row r="55" spans="1:36" x14ac:dyDescent="0.2">
      <c r="A55" s="99"/>
      <c r="R55" s="1"/>
      <c r="S55" s="1"/>
      <c r="T55" s="1"/>
      <c r="U55" s="9"/>
      <c r="AC55">
        <v>150</v>
      </c>
      <c r="AD55">
        <v>21.428571428571427</v>
      </c>
      <c r="AF55" t="s">
        <v>9</v>
      </c>
      <c r="AG55">
        <v>26.33</v>
      </c>
      <c r="AH55">
        <v>0</v>
      </c>
    </row>
    <row r="56" spans="1:36" x14ac:dyDescent="0.2">
      <c r="A56" s="99"/>
      <c r="R56" s="1"/>
      <c r="S56" s="1"/>
      <c r="T56" s="1"/>
      <c r="U56" s="9"/>
      <c r="AG56">
        <v>0</v>
      </c>
      <c r="AH56">
        <v>23.24</v>
      </c>
    </row>
    <row r="57" spans="1:36" x14ac:dyDescent="0.2">
      <c r="A57" s="9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9"/>
      <c r="AF57" t="s">
        <v>10</v>
      </c>
      <c r="AG57">
        <v>150</v>
      </c>
      <c r="AH57">
        <v>0</v>
      </c>
    </row>
    <row r="58" spans="1:36" x14ac:dyDescent="0.2">
      <c r="A58" s="9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9"/>
      <c r="AG58">
        <v>0</v>
      </c>
      <c r="AH58">
        <v>21.43</v>
      </c>
    </row>
    <row r="59" spans="1:36" x14ac:dyDescent="0.2">
      <c r="A59" s="9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9"/>
      <c r="AF59" t="s">
        <v>203</v>
      </c>
      <c r="AG59">
        <v>25.83</v>
      </c>
      <c r="AH59">
        <v>0</v>
      </c>
    </row>
    <row r="60" spans="1:36" x14ac:dyDescent="0.2">
      <c r="A60" s="99"/>
      <c r="C60" t="s">
        <v>160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9"/>
      <c r="AG60">
        <v>0</v>
      </c>
      <c r="AH60">
        <v>22.23</v>
      </c>
    </row>
    <row r="61" spans="1:36" x14ac:dyDescent="0.2">
      <c r="A61" s="9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9"/>
    </row>
    <row r="62" spans="1:36" x14ac:dyDescent="0.2">
      <c r="A62" s="9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9"/>
    </row>
    <row r="63" spans="1:36" x14ac:dyDescent="0.2">
      <c r="A63" s="99"/>
      <c r="C63" t="s">
        <v>161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</row>
    <row r="64" spans="1:36" x14ac:dyDescent="0.2">
      <c r="A64" s="9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</row>
    <row r="65" spans="1:21" x14ac:dyDescent="0.2">
      <c r="A65" s="9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9"/>
    </row>
    <row r="66" spans="1:21" x14ac:dyDescent="0.2">
      <c r="A66" s="99"/>
      <c r="C66" t="s">
        <v>162</v>
      </c>
      <c r="D66" t="s">
        <v>163</v>
      </c>
      <c r="E66" t="s">
        <v>164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9"/>
    </row>
    <row r="67" spans="1:21" x14ac:dyDescent="0.2">
      <c r="A67" s="9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98"/>
    </row>
    <row r="68" spans="1:21" x14ac:dyDescent="0.2">
      <c r="A68" s="9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98"/>
    </row>
    <row r="69" spans="1:21" x14ac:dyDescent="0.2">
      <c r="A69" s="9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98"/>
    </row>
    <row r="70" spans="1:21" x14ac:dyDescent="0.2">
      <c r="A70" s="99"/>
      <c r="C70" t="s">
        <v>165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98"/>
    </row>
    <row r="71" spans="1:21" x14ac:dyDescent="0.2">
      <c r="A71" s="99"/>
      <c r="C71" t="s">
        <v>166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98"/>
    </row>
    <row r="72" spans="1:21" x14ac:dyDescent="0.2">
      <c r="A72" s="9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98"/>
    </row>
    <row r="73" spans="1:21" x14ac:dyDescent="0.2">
      <c r="A73" s="9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98"/>
    </row>
    <row r="74" spans="1:21" x14ac:dyDescent="0.2">
      <c r="A74" s="99"/>
      <c r="C74" t="s">
        <v>167</v>
      </c>
      <c r="D74" t="s">
        <v>168</v>
      </c>
      <c r="E74" t="s">
        <v>169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98"/>
    </row>
    <row r="75" spans="1:21" x14ac:dyDescent="0.2">
      <c r="A75" s="99"/>
      <c r="C75">
        <v>1</v>
      </c>
      <c r="D75">
        <v>1</v>
      </c>
      <c r="E75">
        <v>1</v>
      </c>
      <c r="F75">
        <v>5742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98"/>
    </row>
    <row r="76" spans="1:21" x14ac:dyDescent="0.2">
      <c r="A76" s="99"/>
      <c r="C76">
        <v>1.9</v>
      </c>
      <c r="D76">
        <v>-1</v>
      </c>
      <c r="E76">
        <v>1.9</v>
      </c>
      <c r="F76">
        <v>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34"/>
      <c r="U76" s="98"/>
    </row>
    <row r="77" spans="1:21" x14ac:dyDescent="0.2">
      <c r="A77" s="99"/>
      <c r="C77">
        <v>-1</v>
      </c>
      <c r="D77">
        <v>0</v>
      </c>
      <c r="E77">
        <v>1.2</v>
      </c>
      <c r="F77">
        <v>0</v>
      </c>
      <c r="J77" s="1"/>
      <c r="K77" s="1"/>
      <c r="L77" s="1"/>
      <c r="M77" s="1"/>
      <c r="N77" s="1"/>
      <c r="O77" s="1"/>
      <c r="P77" s="1"/>
      <c r="Q77" s="1"/>
      <c r="R77" s="1"/>
      <c r="T77" s="1"/>
      <c r="U77" s="98"/>
    </row>
    <row r="78" spans="1:21" x14ac:dyDescent="0.2">
      <c r="A78" s="9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98"/>
    </row>
    <row r="79" spans="1:21" x14ac:dyDescent="0.2">
      <c r="A79" s="99"/>
      <c r="C79" t="s">
        <v>170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98"/>
    </row>
    <row r="80" spans="1:21" x14ac:dyDescent="0.2">
      <c r="A80" s="99"/>
      <c r="I80">
        <v>1</v>
      </c>
      <c r="J80">
        <v>0</v>
      </c>
      <c r="K80">
        <v>0</v>
      </c>
      <c r="L80">
        <v>1089</v>
      </c>
      <c r="M80" s="1"/>
      <c r="N80" s="1"/>
      <c r="O80" s="1"/>
      <c r="P80" s="1"/>
      <c r="Q80" s="1"/>
      <c r="R80" s="1"/>
      <c r="S80" s="1"/>
      <c r="T80" s="1"/>
      <c r="U80" s="98"/>
    </row>
    <row r="81" spans="1:21" x14ac:dyDescent="0.2">
      <c r="A81" s="99"/>
      <c r="I81">
        <v>0</v>
      </c>
      <c r="J81">
        <v>1</v>
      </c>
      <c r="K81">
        <v>0</v>
      </c>
      <c r="L81">
        <v>3762</v>
      </c>
      <c r="M81" s="1"/>
      <c r="N81" s="1"/>
      <c r="O81" s="1"/>
      <c r="P81" s="1"/>
      <c r="Q81" s="1"/>
      <c r="R81" s="1"/>
      <c r="S81" s="1"/>
      <c r="T81" s="1"/>
      <c r="U81" s="98"/>
    </row>
    <row r="82" spans="1:21" x14ac:dyDescent="0.2">
      <c r="A82" s="99"/>
      <c r="C82" cm="1">
        <f t="array" ref="C82:F82">C75:F75</f>
        <v>1</v>
      </c>
      <c r="D82">
        <v>1</v>
      </c>
      <c r="E82">
        <v>1</v>
      </c>
      <c r="F82">
        <v>5742</v>
      </c>
      <c r="I82">
        <v>0</v>
      </c>
      <c r="J82">
        <v>0</v>
      </c>
      <c r="K82">
        <v>1</v>
      </c>
      <c r="L82">
        <v>900</v>
      </c>
      <c r="M82" s="1"/>
      <c r="N82" s="1"/>
      <c r="O82" s="1"/>
      <c r="P82" s="1"/>
      <c r="Q82" s="1"/>
      <c r="R82" s="1"/>
      <c r="S82" s="1"/>
      <c r="T82" s="1"/>
      <c r="U82" s="98"/>
    </row>
    <row r="83" spans="1:21" x14ac:dyDescent="0.2">
      <c r="A83" s="99"/>
      <c r="C83" cm="1">
        <f t="array" ref="C83:F83">C76:F76-1.9*_xlfn.ANCHORARRAY(C82)</f>
        <v>0</v>
      </c>
      <c r="D83">
        <v>-2.9</v>
      </c>
      <c r="E83">
        <v>0</v>
      </c>
      <c r="F83">
        <v>-10909.8</v>
      </c>
      <c r="U83" s="98"/>
    </row>
    <row r="84" spans="1:21" x14ac:dyDescent="0.2">
      <c r="A84" s="99"/>
      <c r="C84" cm="1">
        <f t="array" ref="C84:F84">C77:F77+1*_xlfn.ANCHORARRAY(C82)</f>
        <v>0</v>
      </c>
      <c r="D84">
        <v>1</v>
      </c>
      <c r="E84">
        <v>2.2000000000000002</v>
      </c>
      <c r="F84">
        <v>5742</v>
      </c>
      <c r="U84" s="98"/>
    </row>
    <row r="85" spans="1:21" x14ac:dyDescent="0.2">
      <c r="A85" s="99"/>
      <c r="U85" s="98"/>
    </row>
    <row r="86" spans="1:21" x14ac:dyDescent="0.2">
      <c r="A86" s="99"/>
      <c r="U86" s="98"/>
    </row>
    <row r="87" spans="1:21" x14ac:dyDescent="0.2">
      <c r="A87" s="99"/>
      <c r="C87" cm="1">
        <f t="array" ref="C87:F87">_xlfn.ANCHORARRAY(C82)-1*_xlfn.ANCHORARRAY(C88)</f>
        <v>1</v>
      </c>
      <c r="D87">
        <v>0</v>
      </c>
      <c r="E87">
        <v>1</v>
      </c>
      <c r="F87">
        <v>1980</v>
      </c>
      <c r="U87" s="98"/>
    </row>
    <row r="88" spans="1:21" x14ac:dyDescent="0.2">
      <c r="A88" s="99"/>
      <c r="C88" cm="1">
        <f t="array" ref="C88:F88">_xlfn.ANCHORARRAY(C83)/-2.9</f>
        <v>0</v>
      </c>
      <c r="D88">
        <v>1</v>
      </c>
      <c r="E88">
        <v>0</v>
      </c>
      <c r="F88">
        <v>3762</v>
      </c>
      <c r="U88" s="98"/>
    </row>
    <row r="89" spans="1:21" x14ac:dyDescent="0.2">
      <c r="A89" s="99"/>
      <c r="C89" cm="1">
        <f t="array" ref="C89:F89">_xlfn.ANCHORARRAY(C84)-1*_xlfn.ANCHORARRAY(C88)</f>
        <v>0</v>
      </c>
      <c r="D89">
        <v>0</v>
      </c>
      <c r="E89">
        <v>2.2000000000000002</v>
      </c>
      <c r="F89">
        <v>1980</v>
      </c>
      <c r="U89" s="98"/>
    </row>
    <row r="90" spans="1:21" x14ac:dyDescent="0.2">
      <c r="A90" s="99"/>
      <c r="U90" s="98"/>
    </row>
    <row r="91" spans="1:21" x14ac:dyDescent="0.2">
      <c r="A91" s="99"/>
      <c r="U91" s="98"/>
    </row>
    <row r="92" spans="1:21" x14ac:dyDescent="0.2">
      <c r="A92" s="99"/>
      <c r="C92" cm="1">
        <f t="array" ref="C92:F92">_xlfn.ANCHORARRAY(C87)-1*_xlfn.ANCHORARRAY(C94)</f>
        <v>1</v>
      </c>
      <c r="D92">
        <v>0</v>
      </c>
      <c r="E92">
        <v>0</v>
      </c>
      <c r="F92">
        <v>1080</v>
      </c>
      <c r="U92" s="98"/>
    </row>
    <row r="93" spans="1:21" x14ac:dyDescent="0.2">
      <c r="A93" s="99"/>
      <c r="C93" cm="1">
        <f t="array" ref="C93:F93">_xlfn.ANCHORARRAY(C88)</f>
        <v>0</v>
      </c>
      <c r="D93">
        <v>1</v>
      </c>
      <c r="E93">
        <v>0</v>
      </c>
      <c r="F93">
        <v>3762</v>
      </c>
      <c r="U93" s="98"/>
    </row>
    <row r="94" spans="1:21" x14ac:dyDescent="0.2">
      <c r="A94" s="99"/>
      <c r="C94" cm="1">
        <f t="array" ref="C94:F94">_xlfn.ANCHORARRAY(C89)/2.2</f>
        <v>0</v>
      </c>
      <c r="D94">
        <v>0</v>
      </c>
      <c r="E94">
        <v>1</v>
      </c>
      <c r="F94">
        <v>899.99999999999989</v>
      </c>
      <c r="U94" s="98"/>
    </row>
    <row r="95" spans="1:21" x14ac:dyDescent="0.2">
      <c r="A95" s="99"/>
      <c r="U95" s="98"/>
    </row>
    <row r="96" spans="1:21" x14ac:dyDescent="0.2">
      <c r="A96" s="99"/>
      <c r="U96" s="98"/>
    </row>
    <row r="97" spans="1:21" x14ac:dyDescent="0.2">
      <c r="A97" s="99"/>
      <c r="U97" s="98"/>
    </row>
    <row r="98" spans="1:21" ht="17" thickBot="1" x14ac:dyDescent="0.25">
      <c r="A98" s="107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2"/>
    </row>
  </sheetData>
  <mergeCells count="3">
    <mergeCell ref="B2:E3"/>
    <mergeCell ref="A21:L22"/>
    <mergeCell ref="Z2:AG3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572A-17E1-CD41-9027-FDF7ACEADB71}">
  <dimension ref="B1:BR125"/>
  <sheetViews>
    <sheetView topLeftCell="AQ36" zoomScale="90" workbookViewId="0">
      <selection activeCell="AB54" sqref="AB54"/>
    </sheetView>
  </sheetViews>
  <sheetFormatPr baseColWidth="10" defaultRowHeight="16" x14ac:dyDescent="0.2"/>
  <cols>
    <col min="58" max="58" width="12.1640625" bestFit="1" customWidth="1"/>
  </cols>
  <sheetData>
    <row r="1" spans="2:70" ht="17" thickBot="1" x14ac:dyDescent="0.25"/>
    <row r="2" spans="2:70" x14ac:dyDescent="0.2">
      <c r="B2" s="229" t="s">
        <v>204</v>
      </c>
      <c r="C2" s="230"/>
      <c r="D2" s="231"/>
      <c r="V2" s="235" t="s">
        <v>210</v>
      </c>
      <c r="W2" s="236"/>
      <c r="X2" s="23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7"/>
      <c r="AQ2" s="235" t="s">
        <v>279</v>
      </c>
      <c r="AR2" s="236"/>
      <c r="AS2" s="236"/>
      <c r="AT2" s="236"/>
      <c r="AU2" s="23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7"/>
      <c r="BO2" s="243" t="s">
        <v>328</v>
      </c>
      <c r="BP2" s="243"/>
      <c r="BQ2" s="243"/>
      <c r="BR2" s="243"/>
    </row>
    <row r="3" spans="2:70" x14ac:dyDescent="0.2">
      <c r="B3" s="232"/>
      <c r="C3" s="233"/>
      <c r="D3" s="234"/>
      <c r="V3" s="237"/>
      <c r="W3" s="238"/>
      <c r="X3" s="238"/>
      <c r="AA3" t="s">
        <v>74</v>
      </c>
      <c r="AM3" s="98"/>
      <c r="AQ3" s="237"/>
      <c r="AR3" s="238"/>
      <c r="AS3" s="238"/>
      <c r="AT3" s="238"/>
      <c r="AU3" s="238"/>
      <c r="BM3" s="98"/>
      <c r="BO3" s="243"/>
      <c r="BP3" s="243"/>
      <c r="BQ3" s="243"/>
      <c r="BR3" s="243"/>
    </row>
    <row r="4" spans="2:70" x14ac:dyDescent="0.2">
      <c r="B4" s="99"/>
      <c r="D4" s="98"/>
      <c r="V4" s="99"/>
      <c r="AB4" s="180" t="s">
        <v>215</v>
      </c>
      <c r="AC4" s="181"/>
      <c r="AD4" s="181"/>
      <c r="AE4" s="181"/>
      <c r="AF4" s="181"/>
      <c r="AG4" s="181"/>
      <c r="AH4" s="182"/>
      <c r="AM4" s="98"/>
      <c r="AQ4" s="99"/>
      <c r="BM4" s="98"/>
    </row>
    <row r="5" spans="2:70" x14ac:dyDescent="0.2">
      <c r="B5" s="99" t="s">
        <v>205</v>
      </c>
      <c r="D5" s="98"/>
      <c r="V5" s="125" t="s">
        <v>235</v>
      </c>
      <c r="AB5" s="183"/>
      <c r="AC5" t="s">
        <v>214</v>
      </c>
      <c r="AH5" s="184"/>
      <c r="AM5" s="98"/>
      <c r="AQ5" s="99" t="s">
        <v>280</v>
      </c>
      <c r="BM5" s="98"/>
    </row>
    <row r="6" spans="2:70" x14ac:dyDescent="0.2">
      <c r="B6" s="99" t="s">
        <v>206</v>
      </c>
      <c r="D6" s="98"/>
      <c r="V6" s="99"/>
      <c r="W6" s="78" t="s">
        <v>211</v>
      </c>
      <c r="AB6" s="185"/>
      <c r="AC6" s="186" t="s">
        <v>231</v>
      </c>
      <c r="AD6" s="187"/>
      <c r="AE6" s="187"/>
      <c r="AF6" s="187" t="s">
        <v>232</v>
      </c>
      <c r="AG6" s="187"/>
      <c r="AH6" s="188"/>
      <c r="AM6" s="98"/>
      <c r="AQ6" s="99"/>
      <c r="AR6" s="78" t="s">
        <v>297</v>
      </c>
      <c r="AV6" t="s">
        <v>197</v>
      </c>
      <c r="BM6" s="98"/>
    </row>
    <row r="7" spans="2:70" x14ac:dyDescent="0.2">
      <c r="B7" s="99" t="s">
        <v>207</v>
      </c>
      <c r="D7" s="98"/>
      <c r="V7" s="99"/>
      <c r="W7" s="78" t="s">
        <v>212</v>
      </c>
      <c r="AM7" s="98"/>
      <c r="AQ7" s="99"/>
      <c r="BM7" s="98"/>
    </row>
    <row r="8" spans="2:70" x14ac:dyDescent="0.2">
      <c r="B8" s="99" t="s">
        <v>208</v>
      </c>
      <c r="D8" s="98"/>
      <c r="V8" s="99"/>
      <c r="W8" s="78" t="s">
        <v>213</v>
      </c>
      <c r="AB8" s="180" t="s">
        <v>216</v>
      </c>
      <c r="AC8" s="181"/>
      <c r="AD8" s="181"/>
      <c r="AE8" s="181"/>
      <c r="AF8" s="181"/>
      <c r="AG8" s="181"/>
      <c r="AH8" s="181"/>
      <c r="AI8" s="181"/>
      <c r="AJ8" s="182"/>
      <c r="AM8" s="98"/>
      <c r="AQ8" s="99"/>
      <c r="AV8" s="209"/>
      <c r="AW8" s="209"/>
      <c r="AX8" s="210">
        <v>90</v>
      </c>
      <c r="AY8" s="210">
        <v>100</v>
      </c>
      <c r="AZ8" s="210">
        <v>150</v>
      </c>
      <c r="BA8" s="210"/>
      <c r="BB8" s="210"/>
      <c r="BC8" s="209"/>
      <c r="BD8" s="209"/>
      <c r="BE8" s="209"/>
      <c r="BM8" s="98"/>
    </row>
    <row r="9" spans="2:70" ht="17" thickBot="1" x14ac:dyDescent="0.25">
      <c r="B9" s="107" t="s">
        <v>209</v>
      </c>
      <c r="C9" s="101"/>
      <c r="D9" s="102"/>
      <c r="V9" s="99"/>
      <c r="AB9" s="49">
        <v>5</v>
      </c>
      <c r="AC9" s="48">
        <v>7</v>
      </c>
      <c r="AD9" s="48">
        <v>2</v>
      </c>
      <c r="AE9" s="50">
        <v>3</v>
      </c>
      <c r="AF9" s="48"/>
      <c r="AG9" s="49">
        <v>-1</v>
      </c>
      <c r="AH9" s="48">
        <v>-5</v>
      </c>
      <c r="AI9" s="48">
        <v>4</v>
      </c>
      <c r="AJ9" s="50">
        <v>6</v>
      </c>
      <c r="AM9" s="98"/>
      <c r="AQ9" s="99"/>
      <c r="AV9" s="209"/>
      <c r="AW9" s="209"/>
      <c r="AX9" s="210" t="s">
        <v>3</v>
      </c>
      <c r="AY9" s="210" t="s">
        <v>4</v>
      </c>
      <c r="AZ9" s="210" t="s">
        <v>5</v>
      </c>
      <c r="BA9" s="210" t="s">
        <v>12</v>
      </c>
      <c r="BB9" s="210" t="s">
        <v>11</v>
      </c>
      <c r="BC9" s="209"/>
      <c r="BD9" s="209"/>
      <c r="BE9" s="209"/>
      <c r="BM9" s="98"/>
    </row>
    <row r="10" spans="2:70" x14ac:dyDescent="0.2">
      <c r="V10" s="99" t="s">
        <v>236</v>
      </c>
      <c r="AB10" s="183"/>
      <c r="AC10" t="s">
        <v>219</v>
      </c>
      <c r="AJ10" s="184"/>
      <c r="AM10" s="98"/>
      <c r="AQ10" s="99" t="s">
        <v>295</v>
      </c>
      <c r="AV10" s="209" t="s">
        <v>0</v>
      </c>
      <c r="AW10" s="209" t="s">
        <v>8</v>
      </c>
      <c r="AX10" s="210">
        <v>40</v>
      </c>
      <c r="AY10" s="210">
        <v>45</v>
      </c>
      <c r="AZ10" s="210">
        <v>65</v>
      </c>
      <c r="BA10" s="210" t="s">
        <v>7</v>
      </c>
      <c r="BB10" s="210">
        <v>5000</v>
      </c>
      <c r="BC10" s="210" t="s">
        <v>15</v>
      </c>
      <c r="BD10" s="209"/>
      <c r="BE10" s="209"/>
      <c r="BM10" s="98"/>
    </row>
    <row r="11" spans="2:70" x14ac:dyDescent="0.2">
      <c r="V11" s="99"/>
      <c r="AB11" s="183"/>
      <c r="AC11" s="78" t="s">
        <v>218</v>
      </c>
      <c r="AF11">
        <f>(5*-1)+(7*-5)+(2*4)+(3*6)</f>
        <v>-14</v>
      </c>
      <c r="AJ11" s="184"/>
      <c r="AM11" s="98"/>
      <c r="AQ11" s="99"/>
      <c r="AV11" s="209" t="s">
        <v>13</v>
      </c>
      <c r="AW11" s="209" t="s">
        <v>9</v>
      </c>
      <c r="AX11" s="210">
        <v>20</v>
      </c>
      <c r="AY11" s="210">
        <v>12</v>
      </c>
      <c r="AZ11" s="210">
        <v>12</v>
      </c>
      <c r="BA11" s="210" t="s">
        <v>7</v>
      </c>
      <c r="BB11" s="210">
        <v>1000</v>
      </c>
      <c r="BC11" s="210" t="s">
        <v>15</v>
      </c>
      <c r="BD11" s="209"/>
      <c r="BE11" s="209"/>
      <c r="BM11" s="98"/>
    </row>
    <row r="12" spans="2:70" x14ac:dyDescent="0.2">
      <c r="B12" s="239" t="s">
        <v>250</v>
      </c>
      <c r="C12" s="239"/>
      <c r="D12" s="239"/>
      <c r="V12" s="99"/>
      <c r="AB12" s="185"/>
      <c r="AC12" s="186" t="s">
        <v>217</v>
      </c>
      <c r="AD12" s="187"/>
      <c r="AE12" s="187"/>
      <c r="AF12" s="187"/>
      <c r="AG12" s="187"/>
      <c r="AH12" s="187"/>
      <c r="AI12" s="187">
        <f>SUMPRODUCT(AB9:AE9,AG9:AJ9)</f>
        <v>-14</v>
      </c>
      <c r="AJ12" s="188"/>
      <c r="AM12" s="98"/>
      <c r="AQ12" s="99"/>
      <c r="AV12" s="209" t="s">
        <v>14</v>
      </c>
      <c r="AW12" s="209" t="s">
        <v>10</v>
      </c>
      <c r="AX12" s="210">
        <v>1</v>
      </c>
      <c r="AY12" s="210">
        <v>1</v>
      </c>
      <c r="AZ12" s="210">
        <v>2</v>
      </c>
      <c r="BA12" s="210" t="s">
        <v>7</v>
      </c>
      <c r="BB12" s="210">
        <v>150</v>
      </c>
      <c r="BC12" s="210" t="s">
        <v>15</v>
      </c>
      <c r="BD12" s="209"/>
      <c r="BE12" s="209"/>
      <c r="BM12" s="98"/>
    </row>
    <row r="13" spans="2:70" ht="17" thickBot="1" x14ac:dyDescent="0.25">
      <c r="B13" s="239"/>
      <c r="C13" s="239"/>
      <c r="D13" s="239"/>
      <c r="V13" s="99"/>
      <c r="AM13" s="98"/>
      <c r="AQ13" s="9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M13" s="98"/>
    </row>
    <row r="14" spans="2:70" x14ac:dyDescent="0.2">
      <c r="V14" s="99"/>
      <c r="AB14" s="180" t="s">
        <v>220</v>
      </c>
      <c r="AC14" s="181"/>
      <c r="AD14" s="181"/>
      <c r="AE14" s="181"/>
      <c r="AF14" s="181"/>
      <c r="AG14" s="181"/>
      <c r="AH14" s="181"/>
      <c r="AI14" s="181"/>
      <c r="AJ14" s="182"/>
      <c r="AM14" s="98"/>
      <c r="AQ14" s="99" t="s">
        <v>294</v>
      </c>
      <c r="AV14" s="211"/>
      <c r="AW14" s="211"/>
      <c r="AX14" s="158"/>
      <c r="AY14" s="159"/>
      <c r="AZ14" s="160"/>
      <c r="BA14" s="211"/>
      <c r="BB14" s="211"/>
      <c r="BC14" s="211"/>
      <c r="BD14" s="211"/>
      <c r="BE14" s="211"/>
      <c r="BM14" s="98"/>
    </row>
    <row r="15" spans="2:70" ht="17" thickBot="1" x14ac:dyDescent="0.25">
      <c r="V15" s="99"/>
      <c r="AB15" s="183"/>
      <c r="AC15" s="49">
        <v>2</v>
      </c>
      <c r="AD15" s="48">
        <v>5</v>
      </c>
      <c r="AE15" s="50">
        <v>3</v>
      </c>
      <c r="AG15" t="s">
        <v>223</v>
      </c>
      <c r="AH15" cm="1">
        <f t="array" ref="AH15:AJ17">MINVERSE(AC15:AE17)</f>
        <v>-8.9999999999999751</v>
      </c>
      <c r="AI15">
        <v>31.999999999999915</v>
      </c>
      <c r="AJ15" s="184">
        <v>-18.99999999999995</v>
      </c>
      <c r="AM15" s="98"/>
      <c r="AQ15" s="99"/>
      <c r="AR15" s="78" t="s">
        <v>296</v>
      </c>
      <c r="AV15" s="210"/>
      <c r="AW15" s="210"/>
      <c r="AX15" s="161">
        <v>90</v>
      </c>
      <c r="AY15" s="210">
        <v>100</v>
      </c>
      <c r="AZ15" s="162">
        <v>150</v>
      </c>
      <c r="BA15" s="210">
        <v>0</v>
      </c>
      <c r="BB15" s="210">
        <v>0</v>
      </c>
      <c r="BC15" s="210">
        <v>0</v>
      </c>
      <c r="BD15" s="210"/>
      <c r="BE15" s="210"/>
      <c r="BM15" s="98"/>
    </row>
    <row r="16" spans="2:70" x14ac:dyDescent="0.2">
      <c r="B16" t="s">
        <v>316</v>
      </c>
      <c r="V16" s="99"/>
      <c r="AB16" s="183"/>
      <c r="AC16" s="49">
        <v>0</v>
      </c>
      <c r="AD16" s="48">
        <v>2</v>
      </c>
      <c r="AE16" s="50">
        <v>5</v>
      </c>
      <c r="AH16">
        <v>4.9999999999999867</v>
      </c>
      <c r="AI16">
        <v>-16.999999999999954</v>
      </c>
      <c r="AJ16" s="184">
        <v>9.9999999999999734</v>
      </c>
      <c r="AM16" s="98"/>
      <c r="AQ16" s="99"/>
      <c r="AR16" s="78" t="s">
        <v>301</v>
      </c>
      <c r="AV16" s="210"/>
      <c r="AW16" s="210"/>
      <c r="AX16" s="161" t="s">
        <v>16</v>
      </c>
      <c r="AY16" s="210" t="s">
        <v>17</v>
      </c>
      <c r="AZ16" s="162" t="s">
        <v>18</v>
      </c>
      <c r="BA16" s="210" t="s">
        <v>19</v>
      </c>
      <c r="BB16" s="210" t="s">
        <v>20</v>
      </c>
      <c r="BC16" s="210" t="s">
        <v>21</v>
      </c>
      <c r="BD16" s="163" t="s">
        <v>11</v>
      </c>
      <c r="BE16" s="210" t="s">
        <v>23</v>
      </c>
      <c r="BG16" s="177" t="s">
        <v>281</v>
      </c>
      <c r="BM16" s="98"/>
    </row>
    <row r="17" spans="2:65" x14ac:dyDescent="0.2">
      <c r="V17" s="99"/>
      <c r="AB17" s="183"/>
      <c r="AC17" s="49">
        <v>-1</v>
      </c>
      <c r="AD17" s="48">
        <v>1</v>
      </c>
      <c r="AE17" s="50">
        <v>7</v>
      </c>
      <c r="AH17">
        <v>-1.9999999999999947</v>
      </c>
      <c r="AI17">
        <v>6.9999999999999813</v>
      </c>
      <c r="AJ17" s="184">
        <v>-3.9999999999999893</v>
      </c>
      <c r="AM17" s="98"/>
      <c r="AQ17" s="99"/>
      <c r="AV17" s="210">
        <v>0</v>
      </c>
      <c r="AW17" s="210" t="s">
        <v>19</v>
      </c>
      <c r="AX17" s="161">
        <v>40</v>
      </c>
      <c r="AY17" s="210">
        <v>45</v>
      </c>
      <c r="AZ17" s="164">
        <v>65</v>
      </c>
      <c r="BA17" s="210">
        <v>1</v>
      </c>
      <c r="BB17" s="210">
        <v>0</v>
      </c>
      <c r="BC17" s="210">
        <v>0</v>
      </c>
      <c r="BD17" s="165">
        <v>5000</v>
      </c>
      <c r="BE17" s="210" cm="1">
        <f t="array" ref="BE17:BE19">BD17:BD19/AZ17:AZ19</f>
        <v>76.92307692307692</v>
      </c>
      <c r="BG17" s="81" t="s">
        <v>284</v>
      </c>
      <c r="BM17" s="98"/>
    </row>
    <row r="18" spans="2:65" x14ac:dyDescent="0.2">
      <c r="V18" s="99"/>
      <c r="AB18" s="183"/>
      <c r="AC18" t="s">
        <v>221</v>
      </c>
      <c r="AJ18" s="184"/>
      <c r="AM18" s="98"/>
      <c r="AQ18" s="99"/>
      <c r="AV18" s="210">
        <v>0</v>
      </c>
      <c r="AW18" s="210" t="s">
        <v>20</v>
      </c>
      <c r="AX18" s="161">
        <v>20</v>
      </c>
      <c r="AY18" s="210">
        <v>12</v>
      </c>
      <c r="AZ18" s="164">
        <v>12</v>
      </c>
      <c r="BA18" s="210">
        <v>0</v>
      </c>
      <c r="BB18" s="210">
        <v>1</v>
      </c>
      <c r="BC18" s="210">
        <v>0</v>
      </c>
      <c r="BD18" s="165">
        <v>1000</v>
      </c>
      <c r="BE18" s="210">
        <v>83.333333333333329</v>
      </c>
      <c r="BG18" s="81" t="s">
        <v>283</v>
      </c>
      <c r="BM18" s="98"/>
    </row>
    <row r="19" spans="2:65" x14ac:dyDescent="0.2">
      <c r="V19" s="99"/>
      <c r="AB19" s="185"/>
      <c r="AC19" s="187" t="s">
        <v>222</v>
      </c>
      <c r="AD19" s="187"/>
      <c r="AE19" s="187"/>
      <c r="AF19" s="187"/>
      <c r="AG19" s="187"/>
      <c r="AH19" s="187"/>
      <c r="AI19" s="187"/>
      <c r="AJ19" s="188"/>
      <c r="AM19" s="98"/>
      <c r="AQ19" s="99"/>
      <c r="AV19" s="210">
        <v>0</v>
      </c>
      <c r="AW19" s="210" t="s">
        <v>21</v>
      </c>
      <c r="AX19" s="166">
        <v>1</v>
      </c>
      <c r="AY19" s="212">
        <v>1</v>
      </c>
      <c r="AZ19" s="178">
        <v>2</v>
      </c>
      <c r="BA19" s="212">
        <v>0</v>
      </c>
      <c r="BB19" s="212">
        <v>0</v>
      </c>
      <c r="BC19" s="212">
        <v>1</v>
      </c>
      <c r="BD19" s="167">
        <v>150</v>
      </c>
      <c r="BE19" s="212">
        <v>75</v>
      </c>
      <c r="BG19" s="81" t="s">
        <v>282</v>
      </c>
      <c r="BM19" s="98"/>
    </row>
    <row r="20" spans="2:65" x14ac:dyDescent="0.2">
      <c r="B20" t="s">
        <v>252</v>
      </c>
      <c r="V20" s="99"/>
      <c r="AM20" s="98"/>
      <c r="AQ20" s="99"/>
      <c r="AV20" s="168"/>
      <c r="AW20" s="168" t="s">
        <v>22</v>
      </c>
      <c r="AX20" s="169">
        <f>SUMPRODUCT($AV$17:$AV$19,AX17:AX19)-AX15</f>
        <v>-90</v>
      </c>
      <c r="AY20" s="169">
        <f t="shared" ref="AY20:BD20" si="0">SUMPRODUCT($AV$17:$AV$19,AY17:AY19)-AY15</f>
        <v>-100</v>
      </c>
      <c r="AZ20" s="179">
        <f t="shared" si="0"/>
        <v>-150</v>
      </c>
      <c r="BA20" s="169">
        <f t="shared" si="0"/>
        <v>0</v>
      </c>
      <c r="BB20" s="169">
        <f t="shared" si="0"/>
        <v>0</v>
      </c>
      <c r="BC20" s="169">
        <f t="shared" si="0"/>
        <v>0</v>
      </c>
      <c r="BD20" s="169">
        <f t="shared" si="0"/>
        <v>0</v>
      </c>
      <c r="BE20" s="168"/>
      <c r="BG20" s="81" t="s">
        <v>293</v>
      </c>
      <c r="BM20" s="98"/>
    </row>
    <row r="21" spans="2:65" ht="16" customHeight="1" x14ac:dyDescent="0.2">
      <c r="C21" s="240" t="s">
        <v>251</v>
      </c>
      <c r="D21" s="240"/>
      <c r="E21" s="240"/>
      <c r="F21" s="240"/>
      <c r="H21" t="s">
        <v>253</v>
      </c>
      <c r="I21" t="s">
        <v>254</v>
      </c>
      <c r="V21" s="99" t="s">
        <v>345</v>
      </c>
      <c r="Z21" s="180"/>
      <c r="AA21" s="181" t="s">
        <v>260</v>
      </c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92"/>
      <c r="AQ21" s="99"/>
      <c r="AV21" s="212">
        <v>0</v>
      </c>
      <c r="AW21" s="212" t="s">
        <v>19</v>
      </c>
      <c r="AX21" s="166">
        <v>7.5</v>
      </c>
      <c r="AY21" s="212">
        <v>12.5</v>
      </c>
      <c r="AZ21" s="164">
        <v>0</v>
      </c>
      <c r="BA21" s="212">
        <v>1</v>
      </c>
      <c r="BB21" s="212">
        <v>0</v>
      </c>
      <c r="BC21" s="212">
        <v>-32.5</v>
      </c>
      <c r="BD21" s="167">
        <v>125</v>
      </c>
      <c r="BE21" s="212">
        <v>10</v>
      </c>
      <c r="BG21" s="81" t="s">
        <v>285</v>
      </c>
      <c r="BM21" s="98"/>
    </row>
    <row r="22" spans="2:65" x14ac:dyDescent="0.2">
      <c r="C22" s="240"/>
      <c r="D22" s="240"/>
      <c r="E22" s="240"/>
      <c r="F22" s="240"/>
      <c r="I22">
        <v>3</v>
      </c>
      <c r="V22" s="99"/>
      <c r="Z22" s="183"/>
      <c r="AM22" s="98"/>
      <c r="AQ22" s="99"/>
      <c r="AV22" s="210">
        <v>0</v>
      </c>
      <c r="AW22" s="210" t="s">
        <v>20</v>
      </c>
      <c r="AX22" s="161">
        <v>14</v>
      </c>
      <c r="AY22" s="212">
        <v>6</v>
      </c>
      <c r="AZ22" s="162">
        <v>0</v>
      </c>
      <c r="BA22" s="210">
        <v>0</v>
      </c>
      <c r="BB22" s="210">
        <v>1</v>
      </c>
      <c r="BC22" s="210">
        <v>-6</v>
      </c>
      <c r="BD22" s="165">
        <v>100</v>
      </c>
      <c r="BE22" s="210">
        <v>16.6666667</v>
      </c>
      <c r="BG22" s="81" t="s">
        <v>286</v>
      </c>
      <c r="BM22" s="98"/>
    </row>
    <row r="23" spans="2:65" x14ac:dyDescent="0.2">
      <c r="C23" s="240"/>
      <c r="D23" s="240"/>
      <c r="E23" s="240"/>
      <c r="F23" s="240"/>
      <c r="H23" t="s">
        <v>255</v>
      </c>
      <c r="I23" t="s">
        <v>256</v>
      </c>
      <c r="V23" s="99" t="s">
        <v>346</v>
      </c>
      <c r="Z23" s="183"/>
      <c r="AA23" s="49">
        <v>2</v>
      </c>
      <c r="AB23" s="48">
        <v>5</v>
      </c>
      <c r="AC23" s="50">
        <v>3</v>
      </c>
      <c r="AD23" s="48">
        <v>1</v>
      </c>
      <c r="AE23" s="48">
        <v>0</v>
      </c>
      <c r="AF23" s="48">
        <v>0</v>
      </c>
      <c r="AG23" t="s">
        <v>224</v>
      </c>
      <c r="AM23" s="98"/>
      <c r="AQ23" s="99"/>
      <c r="AV23" s="210">
        <v>150</v>
      </c>
      <c r="AW23" s="210" t="s">
        <v>18</v>
      </c>
      <c r="AX23" s="161" cm="1">
        <f t="array" ref="AX23:BD23">AX19:BD19/2</f>
        <v>0.5</v>
      </c>
      <c r="AY23" s="212">
        <v>0.5</v>
      </c>
      <c r="AZ23" s="162">
        <v>1</v>
      </c>
      <c r="BA23" s="210">
        <v>0</v>
      </c>
      <c r="BB23" s="210">
        <v>0</v>
      </c>
      <c r="BC23" s="210">
        <v>0.5</v>
      </c>
      <c r="BD23" s="165">
        <v>75</v>
      </c>
      <c r="BE23" s="210">
        <v>150</v>
      </c>
      <c r="BG23" s="81"/>
      <c r="BM23" s="98"/>
    </row>
    <row r="24" spans="2:65" x14ac:dyDescent="0.2">
      <c r="F24" t="s">
        <v>11</v>
      </c>
      <c r="I24">
        <v>3</v>
      </c>
      <c r="V24" s="99"/>
      <c r="Z24" s="183"/>
      <c r="AA24" s="49">
        <v>0</v>
      </c>
      <c r="AB24" s="48">
        <v>2</v>
      </c>
      <c r="AC24" s="50">
        <v>5</v>
      </c>
      <c r="AD24" s="48">
        <v>0</v>
      </c>
      <c r="AE24" s="48">
        <v>1</v>
      </c>
      <c r="AF24" s="48">
        <v>0</v>
      </c>
      <c r="AM24" s="98"/>
      <c r="AQ24" s="99"/>
      <c r="AV24" s="168"/>
      <c r="AW24" s="168" t="s">
        <v>22</v>
      </c>
      <c r="AX24" s="169">
        <v>-15</v>
      </c>
      <c r="AY24" s="171">
        <v>-25</v>
      </c>
      <c r="AZ24" s="172">
        <v>0</v>
      </c>
      <c r="BA24" s="168">
        <v>0</v>
      </c>
      <c r="BB24" s="168">
        <v>0</v>
      </c>
      <c r="BC24" s="168">
        <v>75</v>
      </c>
      <c r="BD24" s="170">
        <v>11250</v>
      </c>
      <c r="BE24" s="168"/>
      <c r="BG24" s="81"/>
      <c r="BM24" s="98"/>
    </row>
    <row r="25" spans="2:65" x14ac:dyDescent="0.2">
      <c r="C25" s="25">
        <v>4</v>
      </c>
      <c r="D25" s="26">
        <v>-2</v>
      </c>
      <c r="E25" s="26">
        <v>1</v>
      </c>
      <c r="F25" s="27">
        <v>-3</v>
      </c>
      <c r="H25" t="s">
        <v>257</v>
      </c>
      <c r="I25" t="s">
        <v>258</v>
      </c>
      <c r="J25" t="s">
        <v>259</v>
      </c>
      <c r="V25" s="99"/>
      <c r="Z25" s="183"/>
      <c r="AA25" s="123">
        <v>-1</v>
      </c>
      <c r="AB25" s="3">
        <v>1</v>
      </c>
      <c r="AC25" s="122">
        <v>7</v>
      </c>
      <c r="AD25" s="3">
        <v>0</v>
      </c>
      <c r="AE25" s="3">
        <v>0</v>
      </c>
      <c r="AF25" s="3">
        <v>1</v>
      </c>
      <c r="AM25" s="98"/>
      <c r="AQ25" s="99"/>
      <c r="AV25" s="213">
        <v>100</v>
      </c>
      <c r="AW25" s="213" t="s">
        <v>17</v>
      </c>
      <c r="AX25" s="197">
        <v>0.6</v>
      </c>
      <c r="AY25" s="213">
        <v>1</v>
      </c>
      <c r="AZ25" s="198">
        <v>0</v>
      </c>
      <c r="BA25" s="213">
        <v>0.08</v>
      </c>
      <c r="BB25" s="213">
        <v>0</v>
      </c>
      <c r="BC25" s="213">
        <v>-2.6</v>
      </c>
      <c r="BD25" s="199">
        <v>10</v>
      </c>
      <c r="BE25" s="213"/>
      <c r="BF25" t="s">
        <v>287</v>
      </c>
      <c r="BG25" s="214" t="s">
        <v>289</v>
      </c>
      <c r="BM25" s="98"/>
    </row>
    <row r="26" spans="2:65" x14ac:dyDescent="0.2">
      <c r="C26" s="28">
        <v>0</v>
      </c>
      <c r="D26" s="29">
        <v>-3</v>
      </c>
      <c r="E26" s="29">
        <v>-1</v>
      </c>
      <c r="F26" s="30">
        <v>-7</v>
      </c>
      <c r="V26" s="99"/>
      <c r="Y26" s="124"/>
      <c r="Z26" s="183"/>
      <c r="AM26" s="98"/>
      <c r="AQ26" s="99"/>
      <c r="AV26" s="210">
        <v>0</v>
      </c>
      <c r="AW26" s="210" t="s">
        <v>20</v>
      </c>
      <c r="AX26" s="161">
        <v>10.4</v>
      </c>
      <c r="AY26" s="210">
        <v>0</v>
      </c>
      <c r="AZ26" s="162">
        <v>0</v>
      </c>
      <c r="BA26" s="210">
        <v>-0.48</v>
      </c>
      <c r="BB26" s="210">
        <v>1</v>
      </c>
      <c r="BC26" s="210">
        <v>9.6</v>
      </c>
      <c r="BD26" s="165">
        <v>40</v>
      </c>
      <c r="BE26" s="210"/>
      <c r="BF26" t="s">
        <v>291</v>
      </c>
      <c r="BG26" s="81"/>
      <c r="BH26" s="78" t="s">
        <v>292</v>
      </c>
      <c r="BM26" s="98"/>
    </row>
    <row r="27" spans="2:65" x14ac:dyDescent="0.2">
      <c r="C27" s="31">
        <v>2</v>
      </c>
      <c r="D27" s="32">
        <v>4</v>
      </c>
      <c r="E27" s="32">
        <f>2+1/6</f>
        <v>2.1666666666666665</v>
      </c>
      <c r="F27" s="33">
        <f>10+1/6</f>
        <v>10.166666666666666</v>
      </c>
      <c r="V27" s="99"/>
      <c r="Z27" s="189" t="s">
        <v>225</v>
      </c>
      <c r="AM27" s="98"/>
      <c r="AQ27" s="99"/>
      <c r="AV27" s="210">
        <v>150</v>
      </c>
      <c r="AW27" s="210" t="s">
        <v>18</v>
      </c>
      <c r="AX27" s="161">
        <v>0.2</v>
      </c>
      <c r="AY27" s="210">
        <v>0</v>
      </c>
      <c r="AZ27" s="162">
        <v>1</v>
      </c>
      <c r="BA27" s="210">
        <v>-0.04</v>
      </c>
      <c r="BB27" s="210">
        <v>0</v>
      </c>
      <c r="BC27" s="210">
        <v>1.8</v>
      </c>
      <c r="BD27" s="165">
        <v>70</v>
      </c>
      <c r="BE27" s="210"/>
      <c r="BF27" t="s">
        <v>288</v>
      </c>
      <c r="BG27" s="214" t="s">
        <v>290</v>
      </c>
      <c r="BM27" s="98"/>
    </row>
    <row r="28" spans="2:65" ht="17" thickBot="1" x14ac:dyDescent="0.25">
      <c r="V28" s="99"/>
      <c r="Z28" s="190" t="s">
        <v>66</v>
      </c>
      <c r="AA28" s="120" cm="1">
        <f t="array" ref="AA28:AF28">AA23:AF23/2</f>
        <v>1</v>
      </c>
      <c r="AB28" s="120">
        <v>2.5</v>
      </c>
      <c r="AC28" s="121">
        <v>1.5</v>
      </c>
      <c r="AD28" s="120">
        <v>0.5</v>
      </c>
      <c r="AE28" s="120">
        <v>0</v>
      </c>
      <c r="AF28" s="121">
        <v>0</v>
      </c>
      <c r="AG28" t="s">
        <v>226</v>
      </c>
      <c r="AM28" s="98"/>
      <c r="AQ28" s="99"/>
      <c r="AV28" s="215"/>
      <c r="AW28" s="215" t="s">
        <v>22</v>
      </c>
      <c r="AX28" s="173">
        <v>0</v>
      </c>
      <c r="AY28" s="174">
        <v>0</v>
      </c>
      <c r="AZ28" s="175">
        <v>0</v>
      </c>
      <c r="BA28" s="215">
        <v>2</v>
      </c>
      <c r="BB28" s="215">
        <v>0</v>
      </c>
      <c r="BC28" s="215">
        <v>10</v>
      </c>
      <c r="BD28" s="176">
        <v>11500</v>
      </c>
      <c r="BE28" s="215"/>
      <c r="BF28" t="s">
        <v>298</v>
      </c>
      <c r="BG28">
        <f xml:space="preserve"> BD28</f>
        <v>11500</v>
      </c>
      <c r="BM28" s="98"/>
    </row>
    <row r="29" spans="2:65" x14ac:dyDescent="0.2">
      <c r="V29" s="99"/>
      <c r="Z29" s="190" t="s">
        <v>67</v>
      </c>
      <c r="AA29" s="1" cm="1">
        <f t="array" ref="AA29:AF29">AA24:AF24</f>
        <v>0</v>
      </c>
      <c r="AB29" s="1">
        <v>2</v>
      </c>
      <c r="AC29" s="9">
        <v>5</v>
      </c>
      <c r="AD29" s="1">
        <v>0</v>
      </c>
      <c r="AE29" s="1">
        <v>1</v>
      </c>
      <c r="AF29" s="9">
        <v>0</v>
      </c>
      <c r="AG29" t="s">
        <v>227</v>
      </c>
      <c r="AM29" s="98"/>
      <c r="AQ29" s="99"/>
      <c r="BM29" s="98"/>
    </row>
    <row r="30" spans="2:65" x14ac:dyDescent="0.2">
      <c r="V30" s="99"/>
      <c r="Z30" s="190" t="s">
        <v>68</v>
      </c>
      <c r="AA30" s="1" cm="1">
        <f t="array" ref="AA30:AF30">AA25:AF25-AA25*_xlfn.ANCHORARRAY(AA28)</f>
        <v>0</v>
      </c>
      <c r="AB30" s="1">
        <v>3.5</v>
      </c>
      <c r="AC30" s="9">
        <v>8.5</v>
      </c>
      <c r="AD30" s="1">
        <v>0.5</v>
      </c>
      <c r="AE30" s="1">
        <v>0</v>
      </c>
      <c r="AF30" s="9">
        <v>1</v>
      </c>
      <c r="AG30" t="s">
        <v>228</v>
      </c>
      <c r="AM30" s="98"/>
      <c r="AQ30" s="99"/>
      <c r="BM30" s="98"/>
    </row>
    <row r="31" spans="2:65" x14ac:dyDescent="0.2">
      <c r="V31" s="99"/>
      <c r="Z31" s="190"/>
      <c r="AA31" s="1"/>
      <c r="AB31" s="1"/>
      <c r="AC31" s="9"/>
      <c r="AD31" s="1"/>
      <c r="AE31" s="1"/>
      <c r="AF31" s="9"/>
      <c r="AL31" s="78" t="s">
        <v>229</v>
      </c>
      <c r="AM31" s="98"/>
      <c r="AQ31" s="99"/>
      <c r="BM31" s="98"/>
    </row>
    <row r="32" spans="2:65" x14ac:dyDescent="0.2">
      <c r="V32" s="99"/>
      <c r="Z32" s="190" t="s">
        <v>67</v>
      </c>
      <c r="AA32" s="1" cm="1">
        <f t="array" ref="AA32:AF32">_xlfn.ANCHORARRAY(AA28)-AB28*_xlfn.ANCHORARRAY(AA33)</f>
        <v>1</v>
      </c>
      <c r="AB32" s="1">
        <v>0</v>
      </c>
      <c r="AC32" s="9">
        <v>-4.75</v>
      </c>
      <c r="AD32" s="1">
        <v>0.5</v>
      </c>
      <c r="AE32" s="1">
        <v>-1.25</v>
      </c>
      <c r="AF32" s="9">
        <v>0</v>
      </c>
      <c r="AG32" s="78" t="s">
        <v>230</v>
      </c>
      <c r="AM32" s="98"/>
      <c r="AQ32" s="99"/>
      <c r="AV32" t="s">
        <v>75</v>
      </c>
      <c r="BM32" s="98"/>
    </row>
    <row r="33" spans="22:65" x14ac:dyDescent="0.2">
      <c r="V33" s="99"/>
      <c r="Z33" s="190" t="s">
        <v>66</v>
      </c>
      <c r="AA33" s="1" cm="1">
        <f t="array" ref="AA33:AF33">_xlfn.ANCHORARRAY(AA29)/2</f>
        <v>0</v>
      </c>
      <c r="AB33" s="1">
        <v>1</v>
      </c>
      <c r="AC33" s="9">
        <v>2.5</v>
      </c>
      <c r="AD33" s="1">
        <v>0</v>
      </c>
      <c r="AE33" s="1">
        <v>0.5</v>
      </c>
      <c r="AF33" s="9">
        <v>0</v>
      </c>
      <c r="AG33" t="s">
        <v>226</v>
      </c>
      <c r="AM33" s="98"/>
      <c r="AQ33" s="99"/>
      <c r="BM33" s="98"/>
    </row>
    <row r="34" spans="22:65" x14ac:dyDescent="0.2">
      <c r="V34" s="99"/>
      <c r="Z34" s="190" t="s">
        <v>68</v>
      </c>
      <c r="AA34" s="1" cm="1">
        <f t="array" ref="AA34:AF34">_xlfn.ANCHORARRAY(AA30)-AB30*_xlfn.ANCHORARRAY(AA33)</f>
        <v>0</v>
      </c>
      <c r="AB34" s="1">
        <v>0</v>
      </c>
      <c r="AC34" s="9">
        <v>-0.25</v>
      </c>
      <c r="AD34" s="1">
        <v>0.5</v>
      </c>
      <c r="AE34" s="1">
        <v>-1.75</v>
      </c>
      <c r="AF34" s="9">
        <v>1</v>
      </c>
      <c r="AG34" s="78" t="s">
        <v>230</v>
      </c>
      <c r="AM34" s="98"/>
      <c r="AQ34" s="99"/>
      <c r="BM34" s="98"/>
    </row>
    <row r="35" spans="22:65" x14ac:dyDescent="0.2">
      <c r="V35" s="99"/>
      <c r="Z35" s="190"/>
      <c r="AA35" s="1"/>
      <c r="AB35" s="1"/>
      <c r="AC35" s="9"/>
      <c r="AD35" s="1"/>
      <c r="AE35" s="1"/>
      <c r="AF35" s="9"/>
      <c r="AM35" s="98"/>
      <c r="AQ35" s="99"/>
      <c r="BM35" s="98"/>
    </row>
    <row r="36" spans="22:65" x14ac:dyDescent="0.2">
      <c r="V36" s="99"/>
      <c r="Z36" s="190" t="s">
        <v>67</v>
      </c>
      <c r="AA36" s="1" cm="1">
        <f t="array" ref="AA36:AF36">_xlfn.ANCHORARRAY(AA32)-AC32*_xlfn.ANCHORARRAY(AA38)</f>
        <v>1</v>
      </c>
      <c r="AB36" s="1">
        <v>0</v>
      </c>
      <c r="AC36" s="9">
        <v>0</v>
      </c>
      <c r="AD36" s="1">
        <v>-9</v>
      </c>
      <c r="AE36" s="1">
        <v>32</v>
      </c>
      <c r="AF36" s="9">
        <v>-19</v>
      </c>
      <c r="AG36" s="78" t="s">
        <v>230</v>
      </c>
      <c r="AM36" s="98"/>
      <c r="AQ36" s="99"/>
      <c r="BM36" s="98"/>
    </row>
    <row r="37" spans="22:65" x14ac:dyDescent="0.2">
      <c r="V37" s="99"/>
      <c r="Z37" s="190" t="s">
        <v>68</v>
      </c>
      <c r="AA37" s="1" cm="1">
        <f t="array" ref="AA37:AF37">_xlfn.ANCHORARRAY(AA33)-AC33*_xlfn.ANCHORARRAY(AA38)</f>
        <v>0</v>
      </c>
      <c r="AB37" s="1">
        <v>1</v>
      </c>
      <c r="AC37" s="9">
        <v>0</v>
      </c>
      <c r="AD37" s="1">
        <v>5</v>
      </c>
      <c r="AE37" s="1">
        <v>-17</v>
      </c>
      <c r="AF37" s="9">
        <v>10</v>
      </c>
      <c r="AG37" s="78" t="s">
        <v>230</v>
      </c>
      <c r="AM37" s="98"/>
      <c r="AQ37" s="99"/>
      <c r="BM37" s="98"/>
    </row>
    <row r="38" spans="22:65" x14ac:dyDescent="0.2">
      <c r="V38" s="99"/>
      <c r="Z38" s="190" t="s">
        <v>66</v>
      </c>
      <c r="AA38" s="1" cm="1">
        <f t="array" ref="AA38:AF38">_xlfn.ANCHORARRAY(AA34)/AC34</f>
        <v>0</v>
      </c>
      <c r="AB38" s="1">
        <v>0</v>
      </c>
      <c r="AC38" s="9">
        <v>1</v>
      </c>
      <c r="AD38" s="1">
        <v>-2</v>
      </c>
      <c r="AE38" s="1">
        <v>7</v>
      </c>
      <c r="AF38" s="9">
        <v>-4</v>
      </c>
      <c r="AG38" t="s">
        <v>226</v>
      </c>
      <c r="AM38" s="98"/>
      <c r="AQ38" s="99"/>
      <c r="BM38" s="98"/>
    </row>
    <row r="39" spans="22:65" ht="17" thickBot="1" x14ac:dyDescent="0.25">
      <c r="V39" s="107"/>
      <c r="W39" s="101"/>
      <c r="X39" s="101"/>
      <c r="Y39" s="101"/>
      <c r="Z39" s="19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2"/>
      <c r="AQ39" s="99"/>
      <c r="AV39" t="s">
        <v>76</v>
      </c>
      <c r="BM39" s="98"/>
    </row>
    <row r="40" spans="22:65" x14ac:dyDescent="0.2">
      <c r="AQ40" s="99"/>
      <c r="AW40" t="s">
        <v>299</v>
      </c>
      <c r="BM40" s="98"/>
    </row>
    <row r="41" spans="22:65" ht="17" thickBot="1" x14ac:dyDescent="0.25">
      <c r="AQ41" s="99"/>
      <c r="AW41" t="s">
        <v>300</v>
      </c>
      <c r="BM41" s="98"/>
    </row>
    <row r="42" spans="22:65" ht="16" customHeight="1" x14ac:dyDescent="0.2">
      <c r="V42" s="235" t="s">
        <v>234</v>
      </c>
      <c r="W42" s="236"/>
      <c r="X42" s="236"/>
      <c r="Y42" s="236"/>
      <c r="Z42" s="23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7"/>
      <c r="AQ42" s="99"/>
      <c r="BM42" s="98"/>
    </row>
    <row r="43" spans="22:65" ht="16" customHeight="1" x14ac:dyDescent="0.2">
      <c r="V43" s="237"/>
      <c r="W43" s="238"/>
      <c r="X43" s="238"/>
      <c r="Y43" s="238"/>
      <c r="Z43" s="238"/>
      <c r="AM43" s="98"/>
      <c r="AQ43" s="99"/>
      <c r="AW43" t="s">
        <v>302</v>
      </c>
      <c r="BM43" s="98"/>
    </row>
    <row r="44" spans="22:65" x14ac:dyDescent="0.2">
      <c r="V44" s="99"/>
      <c r="AM44" s="98"/>
      <c r="AQ44" s="99"/>
      <c r="BM44" s="98"/>
    </row>
    <row r="45" spans="22:65" x14ac:dyDescent="0.2">
      <c r="V45" s="99" t="s">
        <v>237</v>
      </c>
      <c r="AA45" s="180" t="s">
        <v>261</v>
      </c>
      <c r="AB45" s="181"/>
      <c r="AC45" s="181"/>
      <c r="AD45" s="181"/>
      <c r="AE45" s="181"/>
      <c r="AF45" s="181"/>
      <c r="AG45" s="181"/>
      <c r="AH45" s="181"/>
      <c r="AI45" s="182"/>
      <c r="AM45" s="98"/>
      <c r="AQ45" s="99"/>
      <c r="AW45" s="34"/>
      <c r="AX45" s="34" t="s">
        <v>303</v>
      </c>
      <c r="AY45" s="34">
        <v>90</v>
      </c>
      <c r="AZ45" s="34">
        <v>100</v>
      </c>
      <c r="BA45" s="34">
        <v>150</v>
      </c>
      <c r="BB45" s="34"/>
      <c r="BC45" s="34"/>
      <c r="BD45" s="34"/>
      <c r="BM45" s="98"/>
    </row>
    <row r="46" spans="22:65" x14ac:dyDescent="0.2">
      <c r="V46" s="99"/>
      <c r="AA46" s="183" t="s">
        <v>241</v>
      </c>
      <c r="AI46" s="184"/>
      <c r="AM46" s="98"/>
      <c r="AQ46" s="99"/>
      <c r="AW46" s="34"/>
      <c r="AX46" s="34" t="s">
        <v>304</v>
      </c>
      <c r="AY46" s="34" t="s">
        <v>3</v>
      </c>
      <c r="AZ46" s="34" t="s">
        <v>4</v>
      </c>
      <c r="BA46" s="34" t="s">
        <v>5</v>
      </c>
      <c r="BB46" s="34" t="s">
        <v>12</v>
      </c>
      <c r="BC46" s="53" t="s">
        <v>11</v>
      </c>
      <c r="BD46" s="34"/>
      <c r="BM46" s="98"/>
    </row>
    <row r="47" spans="22:65" x14ac:dyDescent="0.2">
      <c r="V47" s="99" t="s">
        <v>238</v>
      </c>
      <c r="AA47" s="183"/>
      <c r="AI47" s="184"/>
      <c r="AM47" s="98"/>
      <c r="AQ47" s="99"/>
      <c r="AW47" s="79" t="s">
        <v>262</v>
      </c>
      <c r="AX47" s="34" t="s">
        <v>8</v>
      </c>
      <c r="AY47" s="34">
        <v>40</v>
      </c>
      <c r="AZ47" s="34">
        <v>45</v>
      </c>
      <c r="BA47" s="34">
        <v>65</v>
      </c>
      <c r="BB47" s="34" t="s">
        <v>305</v>
      </c>
      <c r="BC47" s="34">
        <v>5000</v>
      </c>
      <c r="BD47" s="34" t="s">
        <v>15</v>
      </c>
      <c r="BF47" t="s">
        <v>326</v>
      </c>
      <c r="BM47" s="98"/>
    </row>
    <row r="48" spans="22:65" x14ac:dyDescent="0.2">
      <c r="V48" s="99"/>
      <c r="W48" s="78" t="s">
        <v>240</v>
      </c>
      <c r="AA48" s="183"/>
      <c r="AB48" s="25">
        <v>4</v>
      </c>
      <c r="AC48" s="26">
        <v>-2</v>
      </c>
      <c r="AD48" s="26">
        <v>1</v>
      </c>
      <c r="AE48" s="27">
        <v>-3</v>
      </c>
      <c r="AI48" s="184"/>
      <c r="AM48" s="98"/>
      <c r="AQ48" s="99"/>
      <c r="AW48" s="79" t="s">
        <v>264</v>
      </c>
      <c r="AX48" s="34" t="s">
        <v>9</v>
      </c>
      <c r="AY48" s="34">
        <v>20</v>
      </c>
      <c r="AZ48" s="34">
        <v>12</v>
      </c>
      <c r="BA48" s="34">
        <v>12</v>
      </c>
      <c r="BB48" s="34" t="s">
        <v>305</v>
      </c>
      <c r="BC48" s="34">
        <v>1000</v>
      </c>
      <c r="BD48" s="34" t="s">
        <v>15</v>
      </c>
      <c r="BF48" t="s">
        <v>327</v>
      </c>
      <c r="BM48" s="98"/>
    </row>
    <row r="49" spans="22:65" x14ac:dyDescent="0.2">
      <c r="V49" s="99"/>
      <c r="W49" s="78" t="s">
        <v>239</v>
      </c>
      <c r="AA49" s="183"/>
      <c r="AB49" s="28">
        <v>0</v>
      </c>
      <c r="AC49" s="29">
        <v>0</v>
      </c>
      <c r="AD49" s="29">
        <v>-1</v>
      </c>
      <c r="AE49" s="30">
        <v>-7</v>
      </c>
      <c r="AI49" s="184"/>
      <c r="AM49" s="98"/>
      <c r="AQ49" s="99"/>
      <c r="AW49" s="79" t="s">
        <v>265</v>
      </c>
      <c r="AX49" s="34" t="s">
        <v>10</v>
      </c>
      <c r="AY49" s="34">
        <v>1</v>
      </c>
      <c r="AZ49" s="34">
        <v>1</v>
      </c>
      <c r="BA49" s="34">
        <v>2</v>
      </c>
      <c r="BB49" s="34" t="s">
        <v>305</v>
      </c>
      <c r="BC49" s="34">
        <v>150</v>
      </c>
      <c r="BD49" s="34" t="s">
        <v>15</v>
      </c>
      <c r="BM49" s="98"/>
    </row>
    <row r="50" spans="22:65" x14ac:dyDescent="0.2">
      <c r="V50" s="99"/>
      <c r="AA50" s="183"/>
      <c r="AB50" s="31">
        <v>2</v>
      </c>
      <c r="AC50" s="32">
        <v>4</v>
      </c>
      <c r="AD50" s="32">
        <v>2</v>
      </c>
      <c r="AE50" s="33">
        <v>10</v>
      </c>
      <c r="AI50" s="184"/>
      <c r="AM50" s="98"/>
      <c r="AQ50" s="99"/>
      <c r="AW50" s="34" t="s">
        <v>306</v>
      </c>
      <c r="AX50" s="34" t="s">
        <v>307</v>
      </c>
      <c r="AY50" s="34">
        <v>0</v>
      </c>
      <c r="AZ50" s="216">
        <v>1</v>
      </c>
      <c r="BA50" s="34">
        <v>0</v>
      </c>
      <c r="BB50" s="34" t="s">
        <v>308</v>
      </c>
      <c r="BC50" s="216">
        <v>20</v>
      </c>
      <c r="BD50" s="34" t="s">
        <v>15</v>
      </c>
      <c r="BE50" s="78" t="s">
        <v>309</v>
      </c>
      <c r="BM50" s="98"/>
    </row>
    <row r="51" spans="22:65" x14ac:dyDescent="0.2">
      <c r="V51" s="99"/>
      <c r="AA51" s="183"/>
      <c r="AI51" s="184"/>
      <c r="AM51" s="98"/>
      <c r="AQ51" s="99"/>
      <c r="BM51" s="98"/>
    </row>
    <row r="52" spans="22:65" x14ac:dyDescent="0.2">
      <c r="V52" s="99"/>
      <c r="AA52" s="183"/>
      <c r="AB52" s="25">
        <f t="array" ref="AB52:AE52">AB48:AE48/4</f>
        <v>1</v>
      </c>
      <c r="AC52" s="26">
        <v>-0.5</v>
      </c>
      <c r="AD52" s="26">
        <v>0.25</v>
      </c>
      <c r="AE52" s="27">
        <v>-0.75</v>
      </c>
      <c r="AI52" s="184"/>
      <c r="AM52" s="98"/>
      <c r="AQ52" s="99"/>
      <c r="AV52" s="34"/>
      <c r="AW52" s="34"/>
      <c r="AX52" s="34">
        <v>90</v>
      </c>
      <c r="AY52" s="34">
        <v>100</v>
      </c>
      <c r="AZ52" s="34">
        <v>150</v>
      </c>
      <c r="BA52" s="34">
        <v>0</v>
      </c>
      <c r="BB52" s="34">
        <v>0</v>
      </c>
      <c r="BC52" s="34">
        <v>0</v>
      </c>
      <c r="BD52" s="34">
        <v>0</v>
      </c>
      <c r="BE52" s="34">
        <v>-100</v>
      </c>
      <c r="BF52" s="34"/>
      <c r="BG52" s="34"/>
      <c r="BM52" s="98"/>
    </row>
    <row r="53" spans="22:65" x14ac:dyDescent="0.2">
      <c r="V53" s="99"/>
      <c r="AA53" s="183"/>
      <c r="AB53" s="28">
        <f t="array" ref="AB53:AE53">AB49:AE49/(-3)</f>
        <v>0</v>
      </c>
      <c r="AC53" s="29">
        <v>0</v>
      </c>
      <c r="AD53" s="29">
        <v>0.33333333333333331</v>
      </c>
      <c r="AE53" s="30">
        <v>2.3333333333333335</v>
      </c>
      <c r="AI53" s="184"/>
      <c r="AM53" s="98"/>
      <c r="AQ53" s="99"/>
      <c r="AV53" s="34"/>
      <c r="AW53" s="34"/>
      <c r="AX53" s="34" t="s">
        <v>16</v>
      </c>
      <c r="AY53" s="34" t="s">
        <v>17</v>
      </c>
      <c r="AZ53" s="34" t="s">
        <v>18</v>
      </c>
      <c r="BA53" s="34" t="s">
        <v>19</v>
      </c>
      <c r="BB53" s="34" t="s">
        <v>20</v>
      </c>
      <c r="BC53" s="34" t="s">
        <v>21</v>
      </c>
      <c r="BD53" s="34" t="s">
        <v>122</v>
      </c>
      <c r="BE53" s="34" t="s">
        <v>125</v>
      </c>
      <c r="BF53" s="53" t="s">
        <v>11</v>
      </c>
      <c r="BG53" s="34" t="s">
        <v>23</v>
      </c>
      <c r="BH53" s="81" t="s">
        <v>310</v>
      </c>
      <c r="BM53" s="98"/>
    </row>
    <row r="54" spans="22:65" x14ac:dyDescent="0.2">
      <c r="V54" s="99"/>
      <c r="AA54" s="183"/>
      <c r="AB54" s="31" cm="1">
        <f t="array" ref="AB54:AE54">AB50:AE50-AB50*AB52:AE52</f>
        <v>0</v>
      </c>
      <c r="AC54" s="32">
        <v>5</v>
      </c>
      <c r="AD54" s="32">
        <v>1.5</v>
      </c>
      <c r="AE54" s="33">
        <v>11.5</v>
      </c>
      <c r="AI54" s="184"/>
      <c r="AM54" s="98"/>
      <c r="AQ54" s="99"/>
      <c r="AV54" s="34">
        <f>BA52</f>
        <v>0</v>
      </c>
      <c r="AW54" s="34" t="str">
        <f>BA53</f>
        <v>d1</v>
      </c>
      <c r="AX54" s="34" cm="1">
        <f t="array" ref="AX54:AZ56">AY47:BA49</f>
        <v>40</v>
      </c>
      <c r="AY54" s="34">
        <v>45</v>
      </c>
      <c r="AZ54" s="90">
        <v>65</v>
      </c>
      <c r="BA54" s="34">
        <v>1</v>
      </c>
      <c r="BB54" s="34">
        <v>0</v>
      </c>
      <c r="BC54" s="34">
        <v>0</v>
      </c>
      <c r="BD54" s="34"/>
      <c r="BE54" s="34"/>
      <c r="BF54" s="34" cm="1">
        <f t="array" ref="BF54:BF56">BC47:BC49</f>
        <v>5000</v>
      </c>
      <c r="BG54" s="157">
        <f>BF54/AZ54</f>
        <v>76.92307692307692</v>
      </c>
      <c r="BM54" s="98"/>
    </row>
    <row r="55" spans="22:65" x14ac:dyDescent="0.2">
      <c r="V55" s="99"/>
      <c r="AA55" s="183"/>
      <c r="AB55" s="29"/>
      <c r="AC55" s="29"/>
      <c r="AD55" s="29"/>
      <c r="AE55" s="29"/>
      <c r="AI55" s="184"/>
      <c r="AM55" s="98"/>
      <c r="AQ55" s="99"/>
      <c r="AV55" s="34">
        <f>BB52</f>
        <v>0</v>
      </c>
      <c r="AW55" s="34" t="str">
        <f>BB53</f>
        <v>d2</v>
      </c>
      <c r="AX55" s="34">
        <v>20</v>
      </c>
      <c r="AY55" s="34">
        <v>12</v>
      </c>
      <c r="AZ55" s="90">
        <v>12</v>
      </c>
      <c r="BA55" s="34">
        <v>0</v>
      </c>
      <c r="BB55" s="34">
        <v>1</v>
      </c>
      <c r="BC55" s="34">
        <v>0</v>
      </c>
      <c r="BD55" s="34"/>
      <c r="BE55" s="34"/>
      <c r="BF55" s="34">
        <v>1000</v>
      </c>
      <c r="BG55" s="157">
        <f t="shared" ref="BG55:BG56" si="1">BF55/AZ55</f>
        <v>83.333333333333329</v>
      </c>
      <c r="BM55" s="98"/>
    </row>
    <row r="56" spans="22:65" ht="17" thickBot="1" x14ac:dyDescent="0.25">
      <c r="V56" s="99"/>
      <c r="AA56" s="183"/>
      <c r="AB56" s="25">
        <f t="array" ref="AB56:AE56">AB52:AE52</f>
        <v>1</v>
      </c>
      <c r="AC56" s="26">
        <v>-0.5</v>
      </c>
      <c r="AD56" s="26">
        <v>0.25</v>
      </c>
      <c r="AE56" s="27">
        <v>-0.75</v>
      </c>
      <c r="AI56" s="184"/>
      <c r="AM56" s="98"/>
      <c r="AQ56" s="99"/>
      <c r="AV56" s="34">
        <f>BC52</f>
        <v>0</v>
      </c>
      <c r="AW56" s="34" t="str">
        <f>BC53</f>
        <v>d3</v>
      </c>
      <c r="AX56" s="90">
        <v>1</v>
      </c>
      <c r="AY56" s="90">
        <v>1</v>
      </c>
      <c r="AZ56" s="90">
        <v>2</v>
      </c>
      <c r="BA56" s="90">
        <v>0</v>
      </c>
      <c r="BB56" s="90">
        <v>0</v>
      </c>
      <c r="BC56" s="90">
        <v>1</v>
      </c>
      <c r="BD56" s="203"/>
      <c r="BE56" s="203"/>
      <c r="BF56" s="90">
        <v>150</v>
      </c>
      <c r="BG56" s="157">
        <f t="shared" si="1"/>
        <v>75</v>
      </c>
      <c r="BM56" s="98"/>
    </row>
    <row r="57" spans="22:65" ht="17" thickBot="1" x14ac:dyDescent="0.25">
      <c r="V57" s="99"/>
      <c r="AA57" s="183"/>
      <c r="AB57" s="28">
        <f t="array" ref="AB57:AE57">AB53:AE53</f>
        <v>0</v>
      </c>
      <c r="AC57" s="29">
        <v>0</v>
      </c>
      <c r="AD57" s="29">
        <v>0.33333333333333331</v>
      </c>
      <c r="AE57" s="30">
        <v>2.3333333333333335</v>
      </c>
      <c r="AI57" s="184"/>
      <c r="AM57" s="98"/>
      <c r="AQ57" s="99"/>
      <c r="AV57" s="241" t="s">
        <v>22</v>
      </c>
      <c r="AW57" s="242"/>
      <c r="AX57" s="200">
        <f t="shared" ref="AX57:BC57" si="2">SUMPRODUCT(AX54:AX56,$B54:$B56)-AX$8</f>
        <v>-90</v>
      </c>
      <c r="AY57" s="200">
        <f t="shared" si="2"/>
        <v>-100</v>
      </c>
      <c r="AZ57" s="200">
        <f t="shared" si="2"/>
        <v>-150</v>
      </c>
      <c r="BA57" s="200">
        <f t="shared" si="2"/>
        <v>0</v>
      </c>
      <c r="BB57" s="200">
        <f t="shared" si="2"/>
        <v>0</v>
      </c>
      <c r="BC57" s="200">
        <f t="shared" si="2"/>
        <v>0</v>
      </c>
      <c r="BD57" s="201"/>
      <c r="BE57" s="201"/>
      <c r="BF57" s="200">
        <f>SUMPRODUCT(BF54:BF56,$B54:$B56)</f>
        <v>0</v>
      </c>
      <c r="BG57" s="202"/>
      <c r="BM57" s="98"/>
    </row>
    <row r="58" spans="22:65" x14ac:dyDescent="0.2">
      <c r="V58" s="99"/>
      <c r="AA58" s="183"/>
      <c r="AB58" s="31">
        <f t="array" ref="AB58:AE58">AB57:AE57*(-5)+AB54:AE54</f>
        <v>0</v>
      </c>
      <c r="AC58" s="32">
        <v>5</v>
      </c>
      <c r="AD58" s="32">
        <v>-0.16666666666666652</v>
      </c>
      <c r="AE58" s="33">
        <v>-0.16666666666666785</v>
      </c>
      <c r="AI58" s="184"/>
      <c r="AM58" s="98"/>
      <c r="AQ58" s="99"/>
      <c r="BM58" s="98"/>
    </row>
    <row r="59" spans="22:65" x14ac:dyDescent="0.2">
      <c r="V59" s="99"/>
      <c r="AA59" s="183"/>
      <c r="AB59" s="29"/>
      <c r="AC59" s="29"/>
      <c r="AD59" s="29"/>
      <c r="AE59" s="29"/>
      <c r="AI59" s="184"/>
      <c r="AM59" s="98"/>
      <c r="AQ59" s="99"/>
      <c r="BM59" s="98"/>
    </row>
    <row r="60" spans="22:65" x14ac:dyDescent="0.2">
      <c r="V60" s="99"/>
      <c r="AA60" s="183"/>
      <c r="AB60" s="25">
        <f t="array" ref="AB60:AE60">AB56:AE56-AB62:AE62*1/4</f>
        <v>1</v>
      </c>
      <c r="AC60" s="26">
        <v>-2</v>
      </c>
      <c r="AD60" s="26">
        <v>0.29999999999999993</v>
      </c>
      <c r="AE60" s="27">
        <v>-0.69999999999999962</v>
      </c>
      <c r="AI60" s="184"/>
      <c r="AM60" s="98"/>
      <c r="AQ60" s="99"/>
      <c r="AV60" s="34">
        <v>100</v>
      </c>
      <c r="AW60" s="34" t="s">
        <v>17</v>
      </c>
      <c r="AX60" s="205">
        <v>0.6</v>
      </c>
      <c r="AY60" s="205">
        <v>1</v>
      </c>
      <c r="AZ60" s="205">
        <v>0</v>
      </c>
      <c r="BA60" s="205">
        <v>0.08</v>
      </c>
      <c r="BB60" s="205">
        <v>0</v>
      </c>
      <c r="BC60" s="205">
        <v>-2.6</v>
      </c>
      <c r="BD60" s="205"/>
      <c r="BE60" s="205"/>
      <c r="BF60" s="205">
        <v>10</v>
      </c>
      <c r="BG60" s="157">
        <f>BF60/AY60</f>
        <v>10</v>
      </c>
      <c r="BM60" s="98"/>
    </row>
    <row r="61" spans="22:65" x14ac:dyDescent="0.2">
      <c r="V61" s="99"/>
      <c r="AA61" s="183"/>
      <c r="AB61" s="28">
        <f t="array" ref="AB61:AE61">AB57:AE57-AB62:AE62*(1/3)</f>
        <v>0</v>
      </c>
      <c r="AC61" s="29">
        <v>-2</v>
      </c>
      <c r="AD61" s="29">
        <v>0.39999999999999991</v>
      </c>
      <c r="AE61" s="30">
        <v>2.4000000000000008</v>
      </c>
      <c r="AI61" s="184"/>
      <c r="AM61" s="98"/>
      <c r="AQ61" s="99"/>
      <c r="AV61" s="34">
        <v>0</v>
      </c>
      <c r="AW61" s="34" t="s">
        <v>20</v>
      </c>
      <c r="AX61" s="157">
        <v>10.4</v>
      </c>
      <c r="AY61" s="205">
        <v>0</v>
      </c>
      <c r="AZ61" s="157">
        <v>0</v>
      </c>
      <c r="BA61" s="157">
        <v>-0.48</v>
      </c>
      <c r="BB61" s="157">
        <v>1</v>
      </c>
      <c r="BC61" s="157">
        <v>9.6</v>
      </c>
      <c r="BD61" s="157"/>
      <c r="BE61" s="157"/>
      <c r="BF61" s="157">
        <v>40</v>
      </c>
      <c r="BG61" s="157" t="s">
        <v>311</v>
      </c>
      <c r="BH61" t="s">
        <v>312</v>
      </c>
      <c r="BM61" s="98"/>
    </row>
    <row r="62" spans="22:65" ht="17" thickBot="1" x14ac:dyDescent="0.25">
      <c r="V62" s="99"/>
      <c r="AA62" s="183"/>
      <c r="AB62" s="31">
        <f t="array" ref="AB62:AE62">AB58:AE58*6/5</f>
        <v>0</v>
      </c>
      <c r="AC62" s="32">
        <v>6</v>
      </c>
      <c r="AD62" s="32">
        <v>-0.19999999999999982</v>
      </c>
      <c r="AE62" s="33">
        <v>-0.20000000000000143</v>
      </c>
      <c r="AF62" s="78" t="s">
        <v>242</v>
      </c>
      <c r="AI62" s="184"/>
      <c r="AM62" s="98"/>
      <c r="AQ62" s="99"/>
      <c r="AV62" s="201">
        <v>150</v>
      </c>
      <c r="AW62" s="201" t="s">
        <v>21</v>
      </c>
      <c r="AX62" s="204">
        <v>0.2</v>
      </c>
      <c r="AY62" s="206"/>
      <c r="AZ62" s="204">
        <v>1</v>
      </c>
      <c r="BA62" s="204">
        <v>-0.04</v>
      </c>
      <c r="BB62" s="204">
        <v>0</v>
      </c>
      <c r="BC62" s="204">
        <v>1.8</v>
      </c>
      <c r="BD62" s="204"/>
      <c r="BE62" s="204"/>
      <c r="BF62" s="204">
        <v>70</v>
      </c>
      <c r="BG62" s="157" t="s">
        <v>311</v>
      </c>
      <c r="BH62" t="s">
        <v>313</v>
      </c>
      <c r="BM62" s="98"/>
    </row>
    <row r="63" spans="22:65" ht="17" thickBot="1" x14ac:dyDescent="0.25">
      <c r="V63" s="99"/>
      <c r="AA63" s="183"/>
      <c r="AB63" t="s">
        <v>243</v>
      </c>
      <c r="AI63" s="184"/>
      <c r="AM63" s="98"/>
      <c r="AQ63" s="99"/>
      <c r="AV63" s="247" t="s">
        <v>22</v>
      </c>
      <c r="AW63" s="248"/>
      <c r="AX63" s="204">
        <f>SUMPRODUCT($AV$60:$AV$62,AX60:AX62)-AX52</f>
        <v>0</v>
      </c>
      <c r="AY63" s="204">
        <f t="shared" ref="AY63:BF63" si="3">SUMPRODUCT($AV$60:$AV$62,AY60:AY62)-AY52</f>
        <v>0</v>
      </c>
      <c r="AZ63" s="204">
        <f t="shared" si="3"/>
        <v>0</v>
      </c>
      <c r="BA63" s="204">
        <f t="shared" si="3"/>
        <v>2</v>
      </c>
      <c r="BB63" s="204">
        <f t="shared" si="3"/>
        <v>0</v>
      </c>
      <c r="BC63" s="204">
        <f t="shared" si="3"/>
        <v>10</v>
      </c>
      <c r="BD63" s="204">
        <f t="shared" si="3"/>
        <v>0</v>
      </c>
      <c r="BE63" s="204">
        <f t="shared" si="3"/>
        <v>100</v>
      </c>
      <c r="BF63" s="204">
        <f t="shared" si="3"/>
        <v>11500</v>
      </c>
      <c r="BG63" s="202"/>
      <c r="BM63" s="98"/>
    </row>
    <row r="64" spans="22:65" x14ac:dyDescent="0.2">
      <c r="V64" s="99"/>
      <c r="AA64" s="183"/>
      <c r="AB64" s="126">
        <v>0</v>
      </c>
      <c r="AC64" s="127">
        <v>0</v>
      </c>
      <c r="AD64" s="127">
        <v>0</v>
      </c>
      <c r="AE64" s="128">
        <v>-0.33333333333333331</v>
      </c>
      <c r="AF64" s="78" t="s">
        <v>249</v>
      </c>
      <c r="AI64" s="184"/>
      <c r="AM64" s="98"/>
      <c r="AQ64" s="99"/>
      <c r="BM64" s="98"/>
    </row>
    <row r="65" spans="22:65" x14ac:dyDescent="0.2">
      <c r="V65" s="99"/>
      <c r="AA65" s="183"/>
      <c r="AB65" t="s">
        <v>243</v>
      </c>
      <c r="AI65" s="184"/>
      <c r="AM65" s="98"/>
      <c r="AQ65" s="99"/>
      <c r="BM65" s="98"/>
    </row>
    <row r="66" spans="22:65" x14ac:dyDescent="0.2">
      <c r="V66" s="99"/>
      <c r="AA66" s="183"/>
      <c r="AB66" s="129">
        <v>1</v>
      </c>
      <c r="AC66" s="130">
        <v>0</v>
      </c>
      <c r="AD66" s="130">
        <v>0</v>
      </c>
      <c r="AE66" s="130">
        <v>0</v>
      </c>
      <c r="AF66" s="131">
        <v>2</v>
      </c>
      <c r="AH66" t="s">
        <v>245</v>
      </c>
      <c r="AI66" s="184"/>
      <c r="AM66" s="98"/>
      <c r="AQ66" s="99"/>
      <c r="AV66" s="34">
        <v>100</v>
      </c>
      <c r="AW66" s="34" t="s">
        <v>17</v>
      </c>
      <c r="AX66" s="205">
        <v>0.6</v>
      </c>
      <c r="AY66" s="205">
        <v>1</v>
      </c>
      <c r="AZ66" s="205">
        <v>0</v>
      </c>
      <c r="BA66" s="205">
        <v>0.08</v>
      </c>
      <c r="BB66" s="205">
        <v>0</v>
      </c>
      <c r="BC66" s="205">
        <v>-2.6</v>
      </c>
      <c r="BD66" s="205">
        <v>0</v>
      </c>
      <c r="BE66" s="205">
        <v>0</v>
      </c>
      <c r="BF66" s="205">
        <v>10</v>
      </c>
      <c r="BG66" s="157">
        <f>BF66/AY66</f>
        <v>10</v>
      </c>
      <c r="BM66" s="98"/>
    </row>
    <row r="67" spans="22:65" x14ac:dyDescent="0.2">
      <c r="V67" s="99"/>
      <c r="AA67" s="183"/>
      <c r="AB67" s="132">
        <v>0</v>
      </c>
      <c r="AC67" s="155">
        <v>0</v>
      </c>
      <c r="AD67" s="155">
        <v>0</v>
      </c>
      <c r="AE67" s="155">
        <v>1</v>
      </c>
      <c r="AF67" s="133">
        <v>0</v>
      </c>
      <c r="AH67" t="s">
        <v>248</v>
      </c>
      <c r="AI67" s="184"/>
      <c r="AM67" s="98"/>
      <c r="AQ67" s="99"/>
      <c r="AV67" s="34">
        <v>0</v>
      </c>
      <c r="AW67" s="34" t="s">
        <v>20</v>
      </c>
      <c r="AX67" s="157">
        <v>10.4</v>
      </c>
      <c r="AY67" s="205">
        <v>0</v>
      </c>
      <c r="AZ67" s="157">
        <v>0</v>
      </c>
      <c r="BA67" s="157">
        <v>-0.48</v>
      </c>
      <c r="BB67" s="157">
        <v>1</v>
      </c>
      <c r="BC67" s="157">
        <v>9.6</v>
      </c>
      <c r="BD67" s="157">
        <v>0</v>
      </c>
      <c r="BE67" s="157">
        <v>0</v>
      </c>
      <c r="BF67" s="157">
        <v>40</v>
      </c>
      <c r="BG67" s="157" t="s">
        <v>311</v>
      </c>
      <c r="BH67" s="78" t="s">
        <v>314</v>
      </c>
      <c r="BM67" s="98"/>
    </row>
    <row r="68" spans="22:65" x14ac:dyDescent="0.2">
      <c r="V68" s="99"/>
      <c r="AA68" s="183"/>
      <c r="AB68" s="132">
        <v>0</v>
      </c>
      <c r="AC68" s="155">
        <v>0</v>
      </c>
      <c r="AD68" s="155">
        <v>1</v>
      </c>
      <c r="AE68" s="155">
        <v>0</v>
      </c>
      <c r="AF68" s="133">
        <v>1</v>
      </c>
      <c r="AH68" t="s">
        <v>246</v>
      </c>
      <c r="AI68" s="184"/>
      <c r="AM68" s="98"/>
      <c r="AQ68" s="99"/>
      <c r="AV68" s="34">
        <v>150</v>
      </c>
      <c r="AW68" s="34" t="s">
        <v>21</v>
      </c>
      <c r="AX68" s="157">
        <v>0.2</v>
      </c>
      <c r="AY68" s="205"/>
      <c r="AZ68" s="157">
        <v>1</v>
      </c>
      <c r="BA68" s="157">
        <v>-0.04</v>
      </c>
      <c r="BB68" s="157">
        <v>0</v>
      </c>
      <c r="BC68" s="157">
        <v>1.8</v>
      </c>
      <c r="BD68" s="157">
        <v>0</v>
      </c>
      <c r="BE68" s="157">
        <v>0</v>
      </c>
      <c r="BF68" s="157">
        <v>70</v>
      </c>
      <c r="BG68" s="157" t="s">
        <v>311</v>
      </c>
      <c r="BM68" s="98"/>
    </row>
    <row r="69" spans="22:65" ht="17" thickBot="1" x14ac:dyDescent="0.25">
      <c r="V69" s="99"/>
      <c r="AA69" s="183"/>
      <c r="AB69" s="126">
        <v>0</v>
      </c>
      <c r="AC69" s="127">
        <v>1</v>
      </c>
      <c r="AD69" s="127">
        <v>0</v>
      </c>
      <c r="AE69" s="127">
        <v>0</v>
      </c>
      <c r="AF69" s="128">
        <v>0</v>
      </c>
      <c r="AG69" s="78" t="s">
        <v>244</v>
      </c>
      <c r="AH69" t="s">
        <v>247</v>
      </c>
      <c r="AI69" s="184"/>
      <c r="AM69" s="98"/>
      <c r="AQ69" s="99"/>
      <c r="AV69" s="101">
        <v>-100</v>
      </c>
      <c r="AW69" s="101" t="s">
        <v>125</v>
      </c>
      <c r="AX69" s="101">
        <v>0</v>
      </c>
      <c r="AY69" s="208">
        <v>1</v>
      </c>
      <c r="AZ69" s="101">
        <v>0</v>
      </c>
      <c r="BA69" s="101">
        <v>0</v>
      </c>
      <c r="BB69" s="101">
        <v>0</v>
      </c>
      <c r="BC69" s="101">
        <v>0</v>
      </c>
      <c r="BD69" s="101">
        <v>-1</v>
      </c>
      <c r="BE69" s="101">
        <v>1</v>
      </c>
      <c r="BF69" s="208">
        <v>20</v>
      </c>
      <c r="BG69" s="101"/>
      <c r="BM69" s="98"/>
    </row>
    <row r="70" spans="22:65" ht="17" thickBot="1" x14ac:dyDescent="0.25">
      <c r="V70" s="99"/>
      <c r="AA70" s="185"/>
      <c r="AB70" s="187"/>
      <c r="AC70" s="187"/>
      <c r="AD70" s="187"/>
      <c r="AE70" s="187"/>
      <c r="AF70" s="187"/>
      <c r="AG70" s="187"/>
      <c r="AH70" s="187"/>
      <c r="AI70" s="188"/>
      <c r="AM70" s="98"/>
      <c r="AQ70" s="99"/>
      <c r="AV70" s="247" t="s">
        <v>22</v>
      </c>
      <c r="AW70" s="248"/>
      <c r="AX70" s="204">
        <f>SUMPRODUCT($AV$66:$AV$69,AX66:AX69)-AX52</f>
        <v>0</v>
      </c>
      <c r="AY70" s="204">
        <f t="shared" ref="AY70:BF70" si="4">SUMPRODUCT($AV$66:$AV$69,AY66:AY69)-AY52</f>
        <v>-100</v>
      </c>
      <c r="AZ70" s="204">
        <f t="shared" si="4"/>
        <v>0</v>
      </c>
      <c r="BA70" s="204">
        <f t="shared" si="4"/>
        <v>2</v>
      </c>
      <c r="BB70" s="204">
        <f t="shared" si="4"/>
        <v>0</v>
      </c>
      <c r="BC70" s="204">
        <f t="shared" si="4"/>
        <v>10</v>
      </c>
      <c r="BD70" s="204">
        <f t="shared" si="4"/>
        <v>100</v>
      </c>
      <c r="BE70" s="204">
        <f t="shared" si="4"/>
        <v>0</v>
      </c>
      <c r="BF70" s="204">
        <f t="shared" si="4"/>
        <v>9500</v>
      </c>
      <c r="BG70" s="207"/>
      <c r="BM70" s="98"/>
    </row>
    <row r="71" spans="22:65" x14ac:dyDescent="0.2">
      <c r="V71" s="99"/>
      <c r="AM71" s="98"/>
      <c r="AQ71" s="99"/>
      <c r="AW71" s="78" t="s">
        <v>315</v>
      </c>
      <c r="BM71" s="98"/>
    </row>
    <row r="72" spans="22:65" x14ac:dyDescent="0.2">
      <c r="V72" s="99"/>
      <c r="Z72" s="180"/>
      <c r="AA72" s="181" t="s">
        <v>271</v>
      </c>
      <c r="AB72" s="181"/>
      <c r="AC72" s="181"/>
      <c r="AD72" s="181"/>
      <c r="AE72" s="181"/>
      <c r="AF72" s="181"/>
      <c r="AG72" s="181"/>
      <c r="AH72" s="181"/>
      <c r="AI72" s="181"/>
      <c r="AJ72" s="181"/>
      <c r="AK72" s="181"/>
      <c r="AL72" s="182"/>
      <c r="AM72" s="98"/>
      <c r="AQ72" s="99"/>
      <c r="BM72" s="98"/>
    </row>
    <row r="73" spans="22:65" x14ac:dyDescent="0.2">
      <c r="V73" s="99"/>
      <c r="Z73" s="183"/>
      <c r="AL73" s="184"/>
      <c r="AM73" s="98"/>
      <c r="AQ73" s="99"/>
      <c r="BM73" s="98"/>
    </row>
    <row r="74" spans="22:65" x14ac:dyDescent="0.2">
      <c r="V74" s="99"/>
      <c r="Z74" s="183"/>
      <c r="AB74" s="53" t="s">
        <v>233</v>
      </c>
      <c r="AC74" s="34"/>
      <c r="AD74" s="34"/>
      <c r="AE74" s="34"/>
      <c r="AF74" s="34"/>
      <c r="AG74" s="34"/>
      <c r="AH74" s="34"/>
      <c r="AL74" s="184"/>
      <c r="AM74" s="98"/>
      <c r="AQ74" s="99"/>
      <c r="BM74" s="98"/>
    </row>
    <row r="75" spans="22:65" x14ac:dyDescent="0.2">
      <c r="V75" s="99"/>
      <c r="Z75" s="183"/>
      <c r="AB75" s="34"/>
      <c r="AC75" s="34" t="s">
        <v>54</v>
      </c>
      <c r="AD75" s="34" t="s">
        <v>55</v>
      </c>
      <c r="AE75" s="34" t="s">
        <v>56</v>
      </c>
      <c r="AF75" s="34" t="s">
        <v>12</v>
      </c>
      <c r="AG75" s="53" t="s">
        <v>11</v>
      </c>
      <c r="AH75" s="34"/>
      <c r="AL75" s="184"/>
      <c r="AM75" s="98"/>
      <c r="AQ75" s="99"/>
      <c r="AW75" t="s">
        <v>317</v>
      </c>
      <c r="BM75" s="98"/>
    </row>
    <row r="76" spans="22:65" x14ac:dyDescent="0.2">
      <c r="V76" s="99"/>
      <c r="Z76" s="183"/>
      <c r="AA76" s="79" t="s">
        <v>262</v>
      </c>
      <c r="AB76" s="34" t="s">
        <v>8</v>
      </c>
      <c r="AC76" s="34">
        <v>40</v>
      </c>
      <c r="AD76" s="34">
        <v>45</v>
      </c>
      <c r="AE76" s="34">
        <v>65</v>
      </c>
      <c r="AF76" s="34" t="s">
        <v>263</v>
      </c>
      <c r="AG76" s="34">
        <v>5000</v>
      </c>
      <c r="AH76" s="34" t="s">
        <v>15</v>
      </c>
      <c r="AL76" s="184"/>
      <c r="AM76" s="98"/>
      <c r="AQ76" s="99"/>
      <c r="BM76" s="98"/>
    </row>
    <row r="77" spans="22:65" x14ac:dyDescent="0.2">
      <c r="V77" s="99"/>
      <c r="Z77" s="183"/>
      <c r="AA77" s="79" t="s">
        <v>264</v>
      </c>
      <c r="AB77" s="34" t="s">
        <v>9</v>
      </c>
      <c r="AC77" s="34">
        <v>20</v>
      </c>
      <c r="AD77" s="34">
        <v>12</v>
      </c>
      <c r="AE77" s="34">
        <v>12</v>
      </c>
      <c r="AF77" s="34" t="s">
        <v>263</v>
      </c>
      <c r="AG77" s="34">
        <v>1000</v>
      </c>
      <c r="AH77" s="34" t="s">
        <v>15</v>
      </c>
      <c r="AL77" s="184"/>
      <c r="AM77" s="98"/>
      <c r="AQ77" s="99"/>
      <c r="AW77" s="34"/>
      <c r="AX77" s="79" t="s">
        <v>318</v>
      </c>
      <c r="AY77" s="34">
        <v>40</v>
      </c>
      <c r="AZ77" s="34">
        <v>45</v>
      </c>
      <c r="BA77" s="34">
        <v>65</v>
      </c>
      <c r="BB77" s="34"/>
      <c r="BC77" s="34"/>
      <c r="BD77" s="34"/>
      <c r="BE77" s="34"/>
      <c r="BF77" s="81" t="s">
        <v>325</v>
      </c>
      <c r="BG77" s="34"/>
      <c r="BM77" s="98"/>
    </row>
    <row r="78" spans="22:65" x14ac:dyDescent="0.2">
      <c r="V78" s="99"/>
      <c r="Z78" s="183"/>
      <c r="AA78" s="79" t="s">
        <v>265</v>
      </c>
      <c r="AB78" s="34" t="s">
        <v>10</v>
      </c>
      <c r="AC78" s="34">
        <v>1</v>
      </c>
      <c r="AD78" s="34">
        <v>1</v>
      </c>
      <c r="AE78" s="34">
        <v>2</v>
      </c>
      <c r="AF78" s="34" t="s">
        <v>263</v>
      </c>
      <c r="AG78" s="34">
        <v>150</v>
      </c>
      <c r="AH78" s="34" t="s">
        <v>15</v>
      </c>
      <c r="AL78" s="184"/>
      <c r="AM78" s="98"/>
      <c r="AQ78" s="99"/>
      <c r="AW78" s="34"/>
      <c r="AX78" s="34"/>
      <c r="AY78" s="34" t="s">
        <v>3</v>
      </c>
      <c r="AZ78" s="34" t="s">
        <v>4</v>
      </c>
      <c r="BA78" s="34" t="s">
        <v>5</v>
      </c>
      <c r="BB78" s="34" t="s">
        <v>12</v>
      </c>
      <c r="BC78" s="53" t="s">
        <v>11</v>
      </c>
      <c r="BD78" s="34"/>
      <c r="BE78" s="34"/>
      <c r="BF78" s="81"/>
      <c r="BG78" s="34"/>
      <c r="BM78" s="98"/>
    </row>
    <row r="79" spans="22:65" x14ac:dyDescent="0.2">
      <c r="V79" s="99"/>
      <c r="Z79" s="183"/>
      <c r="AL79" s="184"/>
      <c r="AM79" s="98"/>
      <c r="AQ79" s="99"/>
      <c r="AW79" s="79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M79" s="98"/>
    </row>
    <row r="80" spans="22:65" ht="16" customHeight="1" x14ac:dyDescent="0.4">
      <c r="V80" s="99"/>
      <c r="Z80" s="183"/>
      <c r="AB80" s="53" t="s">
        <v>266</v>
      </c>
      <c r="AC80" s="34"/>
      <c r="AD80" s="34"/>
      <c r="AE80" s="34"/>
      <c r="AF80" s="34"/>
      <c r="AH80" s="81" t="s">
        <v>270</v>
      </c>
      <c r="AL80" s="184"/>
      <c r="AM80" s="98"/>
      <c r="AQ80" s="222"/>
      <c r="AR80" s="223"/>
      <c r="AS80" s="223"/>
      <c r="AT80" s="223"/>
      <c r="AU80" s="223"/>
      <c r="AW80" s="79" t="s">
        <v>264</v>
      </c>
      <c r="AX80" s="34" t="s">
        <v>9</v>
      </c>
      <c r="AY80" s="34">
        <v>20</v>
      </c>
      <c r="AZ80" s="34">
        <v>12</v>
      </c>
      <c r="BA80" s="34">
        <v>12</v>
      </c>
      <c r="BB80" s="34" t="s">
        <v>305</v>
      </c>
      <c r="BC80" s="34">
        <v>1000</v>
      </c>
      <c r="BD80" s="34" t="s">
        <v>15</v>
      </c>
      <c r="BE80" s="34"/>
      <c r="BF80" s="81"/>
      <c r="BG80" s="34"/>
      <c r="BM80" s="98"/>
    </row>
    <row r="81" spans="22:65" ht="16" customHeight="1" x14ac:dyDescent="0.4">
      <c r="V81" s="99"/>
      <c r="Z81" s="183"/>
      <c r="AB81" s="34"/>
      <c r="AC81" s="34">
        <v>40</v>
      </c>
      <c r="AD81" s="34">
        <v>45</v>
      </c>
      <c r="AE81" s="34">
        <v>65</v>
      </c>
      <c r="AF81" s="34">
        <v>5000</v>
      </c>
      <c r="AH81" cm="1">
        <f t="array" ref="AH81:AJ83">MINVERSE(AC81:AE83)</f>
        <v>-4.6153846153846143E-2</v>
      </c>
      <c r="AI81">
        <v>9.6153846153846145E-2</v>
      </c>
      <c r="AJ81">
        <v>0.92307692307692268</v>
      </c>
      <c r="AK81" cm="1">
        <f t="array" ref="AK81:AK83">MMULT(_xlfn.ANCHORARRAY(AH81),AG76:AG78)</f>
        <v>3.8461538461538112</v>
      </c>
      <c r="AL81" s="184" t="s">
        <v>267</v>
      </c>
      <c r="AM81" s="98"/>
      <c r="AQ81" s="222"/>
      <c r="AR81" s="223"/>
      <c r="AS81" s="223"/>
      <c r="AT81" s="223"/>
      <c r="AU81" s="223"/>
      <c r="AW81" s="79" t="s">
        <v>265</v>
      </c>
      <c r="AX81" s="34" t="s">
        <v>10</v>
      </c>
      <c r="AY81" s="34">
        <v>1</v>
      </c>
      <c r="AZ81" s="34">
        <v>1</v>
      </c>
      <c r="BA81" s="34">
        <v>2</v>
      </c>
      <c r="BB81" s="34" t="s">
        <v>305</v>
      </c>
      <c r="BC81" s="34">
        <v>150</v>
      </c>
      <c r="BD81" s="34" t="s">
        <v>15</v>
      </c>
      <c r="BE81" s="34"/>
      <c r="BF81" s="34"/>
      <c r="BG81" s="34"/>
      <c r="BM81" s="98"/>
    </row>
    <row r="82" spans="22:65" x14ac:dyDescent="0.2">
      <c r="V82" s="99"/>
      <c r="Z82" s="183"/>
      <c r="AB82" s="34"/>
      <c r="AC82" s="34">
        <v>20</v>
      </c>
      <c r="AD82" s="34">
        <v>12</v>
      </c>
      <c r="AE82" s="34">
        <v>12</v>
      </c>
      <c r="AF82" s="34">
        <v>1000</v>
      </c>
      <c r="AH82">
        <v>0.10769230769230768</v>
      </c>
      <c r="AI82">
        <v>-5.7692307692307696E-2</v>
      </c>
      <c r="AJ82">
        <v>-3.1538461538461537</v>
      </c>
      <c r="AK82">
        <v>7.692307692307736</v>
      </c>
      <c r="AL82" s="184" t="s">
        <v>268</v>
      </c>
      <c r="AM82" s="98"/>
      <c r="AQ82" s="99"/>
      <c r="AW82" s="34" t="s">
        <v>319</v>
      </c>
      <c r="AX82" s="34" t="s">
        <v>307</v>
      </c>
      <c r="AY82" s="34">
        <v>90</v>
      </c>
      <c r="AZ82" s="34">
        <v>100</v>
      </c>
      <c r="BA82" s="34">
        <v>150</v>
      </c>
      <c r="BB82" s="34" t="s">
        <v>93</v>
      </c>
      <c r="BC82" s="34">
        <v>6000</v>
      </c>
      <c r="BD82" s="34" t="s">
        <v>320</v>
      </c>
      <c r="BE82" s="34" t="s">
        <v>323</v>
      </c>
      <c r="BF82" s="81" t="s">
        <v>324</v>
      </c>
      <c r="BG82" s="34"/>
      <c r="BM82" s="98"/>
    </row>
    <row r="83" spans="22:65" x14ac:dyDescent="0.2">
      <c r="V83" s="99"/>
      <c r="Z83" s="183"/>
      <c r="AB83" s="34"/>
      <c r="AC83" s="34">
        <v>1</v>
      </c>
      <c r="AD83" s="34">
        <v>1</v>
      </c>
      <c r="AE83" s="34">
        <v>2</v>
      </c>
      <c r="AF83" s="34">
        <v>150</v>
      </c>
      <c r="AH83">
        <v>-3.0769230769230771E-2</v>
      </c>
      <c r="AI83">
        <v>-1.9230769230769228E-2</v>
      </c>
      <c r="AJ83">
        <v>1.6153846153846154</v>
      </c>
      <c r="AK83">
        <v>69.230769230769226</v>
      </c>
      <c r="AL83" s="184" t="s">
        <v>269</v>
      </c>
      <c r="AM83" s="98"/>
      <c r="AQ83" s="99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M83" s="98"/>
    </row>
    <row r="84" spans="22:65" x14ac:dyDescent="0.2">
      <c r="V84" s="99"/>
      <c r="Z84" s="183"/>
      <c r="AB84" s="34"/>
      <c r="AC84" s="34"/>
      <c r="AD84" s="34"/>
      <c r="AE84" s="34"/>
      <c r="AF84" s="34"/>
      <c r="AL84" s="184"/>
      <c r="AM84" s="98"/>
      <c r="AQ84" s="99"/>
      <c r="AW84" s="53" t="s">
        <v>321</v>
      </c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M84" s="98"/>
    </row>
    <row r="85" spans="22:65" x14ac:dyDescent="0.2">
      <c r="V85" s="99"/>
      <c r="Z85" s="183"/>
      <c r="AB85" s="34"/>
      <c r="AC85" s="134">
        <f>AC83</f>
        <v>1</v>
      </c>
      <c r="AD85" s="135">
        <f t="shared" ref="AD85:AF85" si="5">AD83</f>
        <v>1</v>
      </c>
      <c r="AE85" s="135">
        <f t="shared" si="5"/>
        <v>2</v>
      </c>
      <c r="AF85" s="136">
        <f t="shared" si="5"/>
        <v>150</v>
      </c>
      <c r="AL85" s="184"/>
      <c r="AM85" s="98"/>
      <c r="AQ85" s="99"/>
      <c r="AW85" s="34"/>
      <c r="AX85" s="34"/>
      <c r="AY85" s="34">
        <f t="shared" ref="AY85:BA85" si="6">AY77</f>
        <v>40</v>
      </c>
      <c r="AZ85" s="34">
        <f t="shared" si="6"/>
        <v>45</v>
      </c>
      <c r="BA85" s="34">
        <f t="shared" si="6"/>
        <v>65</v>
      </c>
      <c r="BB85" s="34">
        <v>0</v>
      </c>
      <c r="BC85" s="34">
        <v>0</v>
      </c>
      <c r="BD85" s="34">
        <v>0</v>
      </c>
      <c r="BE85" s="34">
        <v>100</v>
      </c>
      <c r="BF85" s="34"/>
      <c r="BG85" s="34"/>
      <c r="BM85" s="98"/>
    </row>
    <row r="86" spans="22:65" x14ac:dyDescent="0.2">
      <c r="V86" s="99"/>
      <c r="Z86" s="183"/>
      <c r="AB86" s="34"/>
      <c r="AC86" s="54">
        <f>AC81+AC85*(-40)</f>
        <v>0</v>
      </c>
      <c r="AD86" s="34">
        <f t="shared" ref="AD86:AF86" si="7">AD81+AD85*(-40)</f>
        <v>5</v>
      </c>
      <c r="AE86" s="34">
        <f t="shared" si="7"/>
        <v>-15</v>
      </c>
      <c r="AF86" s="137">
        <f t="shared" si="7"/>
        <v>-1000</v>
      </c>
      <c r="AL86" s="184"/>
      <c r="AM86" s="98"/>
      <c r="AQ86" s="99"/>
      <c r="AW86" s="249" t="s">
        <v>322</v>
      </c>
      <c r="AX86" s="249"/>
      <c r="AY86" s="139" t="s">
        <v>16</v>
      </c>
      <c r="AZ86" s="139" t="s">
        <v>17</v>
      </c>
      <c r="BA86" s="139" t="s">
        <v>18</v>
      </c>
      <c r="BB86" s="139" t="s">
        <v>20</v>
      </c>
      <c r="BC86" s="139" t="s">
        <v>21</v>
      </c>
      <c r="BD86" s="139" t="s">
        <v>122</v>
      </c>
      <c r="BE86" s="139" t="s">
        <v>125</v>
      </c>
      <c r="BF86" s="217" t="s">
        <v>11</v>
      </c>
      <c r="BG86" s="139" t="s">
        <v>23</v>
      </c>
      <c r="BM86" s="98"/>
    </row>
    <row r="87" spans="22:65" x14ac:dyDescent="0.2">
      <c r="V87" s="99"/>
      <c r="Z87" s="183"/>
      <c r="AB87" s="34"/>
      <c r="AC87" s="138">
        <f>AC82+AC85*(-20)</f>
        <v>0</v>
      </c>
      <c r="AD87" s="139">
        <f t="shared" ref="AD87:AF87" si="8">AD82+AD85*(-20)</f>
        <v>-8</v>
      </c>
      <c r="AE87" s="139">
        <f t="shared" si="8"/>
        <v>-28</v>
      </c>
      <c r="AF87" s="140">
        <f t="shared" si="8"/>
        <v>-2000</v>
      </c>
      <c r="AL87" s="184"/>
      <c r="AM87" s="98"/>
      <c r="AQ87" s="99"/>
      <c r="AW87" s="34">
        <f>BB85</f>
        <v>0</v>
      </c>
      <c r="AX87" s="34" t="str">
        <f>BB86</f>
        <v>d2</v>
      </c>
      <c r="AY87" s="134">
        <f>AY80</f>
        <v>20</v>
      </c>
      <c r="AZ87" s="34">
        <f t="shared" ref="AZ87:BA87" si="9">AZ80</f>
        <v>12</v>
      </c>
      <c r="BA87" s="90">
        <f t="shared" si="9"/>
        <v>12</v>
      </c>
      <c r="BB87" s="34">
        <v>1</v>
      </c>
      <c r="BC87" s="34">
        <v>0</v>
      </c>
      <c r="BD87" s="34">
        <v>0</v>
      </c>
      <c r="BE87" s="34">
        <v>0</v>
      </c>
      <c r="BF87" s="136">
        <f>BC80</f>
        <v>1000</v>
      </c>
      <c r="BG87" s="157">
        <f>BF87/BA87</f>
        <v>83.333333333333329</v>
      </c>
      <c r="BM87" s="98"/>
    </row>
    <row r="88" spans="22:65" x14ac:dyDescent="0.2">
      <c r="V88" s="99"/>
      <c r="Z88" s="183"/>
      <c r="AB88" s="34"/>
      <c r="AC88" s="34"/>
      <c r="AD88" s="34"/>
      <c r="AE88" s="34"/>
      <c r="AF88" s="34"/>
      <c r="AL88" s="184"/>
      <c r="AM88" s="98"/>
      <c r="AQ88" s="99"/>
      <c r="AW88" s="34">
        <f>BC85</f>
        <v>0</v>
      </c>
      <c r="AX88" s="34" t="str">
        <f>BC86</f>
        <v>d3</v>
      </c>
      <c r="AY88" s="54">
        <f>AY81</f>
        <v>1</v>
      </c>
      <c r="AZ88" s="34">
        <f>AZ81</f>
        <v>1</v>
      </c>
      <c r="BA88" s="90">
        <f>BA81</f>
        <v>2</v>
      </c>
      <c r="BB88" s="34">
        <v>0</v>
      </c>
      <c r="BC88" s="34">
        <v>1</v>
      </c>
      <c r="BD88" s="34">
        <v>0</v>
      </c>
      <c r="BE88" s="34">
        <v>0</v>
      </c>
      <c r="BF88" s="137">
        <f>BC81</f>
        <v>150</v>
      </c>
      <c r="BG88" s="157">
        <f t="shared" ref="BG88:BG89" si="10">BF88/BA88</f>
        <v>75</v>
      </c>
      <c r="BM88" s="98"/>
    </row>
    <row r="89" spans="22:65" ht="17" thickBot="1" x14ac:dyDescent="0.25">
      <c r="V89" s="99"/>
      <c r="Z89" s="183"/>
      <c r="AB89" s="34"/>
      <c r="AC89" s="134">
        <f>AC85+AC90*(-1)</f>
        <v>1</v>
      </c>
      <c r="AD89" s="135">
        <f t="shared" ref="AD89:AF89" si="11">AD85+AD90*(-1)</f>
        <v>0</v>
      </c>
      <c r="AE89" s="135">
        <f t="shared" si="11"/>
        <v>5</v>
      </c>
      <c r="AF89" s="136">
        <f t="shared" si="11"/>
        <v>350</v>
      </c>
      <c r="AL89" s="184"/>
      <c r="AM89" s="98"/>
      <c r="AQ89" s="99"/>
      <c r="AW89" s="34">
        <f>BE85</f>
        <v>100</v>
      </c>
      <c r="AX89" s="34" t="str">
        <f>BE86</f>
        <v>p4</v>
      </c>
      <c r="AY89" s="218">
        <f>AY82</f>
        <v>90</v>
      </c>
      <c r="AZ89" s="90">
        <f>AZ82</f>
        <v>100</v>
      </c>
      <c r="BA89" s="90">
        <f>BA82</f>
        <v>150</v>
      </c>
      <c r="BB89" s="90">
        <v>0</v>
      </c>
      <c r="BC89" s="90">
        <v>0</v>
      </c>
      <c r="BD89" s="90">
        <v>-1</v>
      </c>
      <c r="BE89" s="90">
        <v>1</v>
      </c>
      <c r="BF89" s="219">
        <f>BC82</f>
        <v>6000</v>
      </c>
      <c r="BG89" s="157">
        <f t="shared" si="10"/>
        <v>40</v>
      </c>
      <c r="BM89" s="98"/>
    </row>
    <row r="90" spans="22:65" ht="17" thickBot="1" x14ac:dyDescent="0.25">
      <c r="V90" s="99"/>
      <c r="Z90" s="183"/>
      <c r="AB90" s="34"/>
      <c r="AC90" s="54" cm="1">
        <f t="array" ref="AC90:AF90">AC86:AF86/5</f>
        <v>0</v>
      </c>
      <c r="AD90" s="34">
        <v>1</v>
      </c>
      <c r="AE90" s="34">
        <v>-3</v>
      </c>
      <c r="AF90" s="137">
        <v>-200</v>
      </c>
      <c r="AL90" s="184"/>
      <c r="AM90" s="98"/>
      <c r="AQ90" s="99"/>
      <c r="AW90" s="241" t="s">
        <v>22</v>
      </c>
      <c r="AX90" s="242"/>
      <c r="AY90" s="220">
        <f>SUMPRODUCT(AY87:AY89,$AW$87:$AW$89)-AY85</f>
        <v>8960</v>
      </c>
      <c r="AZ90" s="220">
        <f t="shared" ref="AZ90:BF90" si="12">SUMPRODUCT(AZ87:AZ89,$AW$87:$AW$89)-AZ85</f>
        <v>9955</v>
      </c>
      <c r="BA90" s="220">
        <f t="shared" si="12"/>
        <v>14935</v>
      </c>
      <c r="BB90" s="220">
        <f t="shared" si="12"/>
        <v>0</v>
      </c>
      <c r="BC90" s="220">
        <f t="shared" si="12"/>
        <v>0</v>
      </c>
      <c r="BD90" s="220">
        <f t="shared" si="12"/>
        <v>-100</v>
      </c>
      <c r="BE90" s="220">
        <f t="shared" si="12"/>
        <v>0</v>
      </c>
      <c r="BF90" s="220">
        <f t="shared" si="12"/>
        <v>600000</v>
      </c>
      <c r="BG90" s="202"/>
      <c r="BM90" s="98"/>
    </row>
    <row r="91" spans="22:65" x14ac:dyDescent="0.2">
      <c r="V91" s="99"/>
      <c r="Z91" s="183"/>
      <c r="AB91" s="34"/>
      <c r="AC91" s="138">
        <f>AC87+AC90*8</f>
        <v>0</v>
      </c>
      <c r="AD91" s="139">
        <f t="shared" ref="AD91:AF91" si="13">AD87+AD90*8</f>
        <v>0</v>
      </c>
      <c r="AE91" s="139">
        <f t="shared" si="13"/>
        <v>-52</v>
      </c>
      <c r="AF91" s="140">
        <f t="shared" si="13"/>
        <v>-3600</v>
      </c>
      <c r="AL91" s="184"/>
      <c r="AM91" s="98"/>
      <c r="AQ91" s="99"/>
      <c r="AW91" s="34">
        <f>BB85</f>
        <v>0</v>
      </c>
      <c r="AX91" s="34" t="str">
        <f>BB86</f>
        <v>d2</v>
      </c>
      <c r="AY91" s="148" cm="1">
        <f t="array" ref="AY91:BF91">AY87:BF87-12*_xlfn.ANCHORARRAY(AY93)</f>
        <v>12.8</v>
      </c>
      <c r="AZ91" s="157">
        <v>4</v>
      </c>
      <c r="BA91" s="157">
        <v>0</v>
      </c>
      <c r="BB91" s="157">
        <v>1</v>
      </c>
      <c r="BC91" s="157">
        <v>0</v>
      </c>
      <c r="BD91" s="157">
        <v>0.08</v>
      </c>
      <c r="BE91" s="157">
        <v>-0.08</v>
      </c>
      <c r="BF91" s="142">
        <v>520</v>
      </c>
      <c r="BG91" s="157"/>
      <c r="BM91" s="98"/>
    </row>
    <row r="92" spans="22:65" x14ac:dyDescent="0.2">
      <c r="V92" s="99"/>
      <c r="Z92" s="183"/>
      <c r="AB92" s="34"/>
      <c r="AC92" s="34"/>
      <c r="AD92" s="34"/>
      <c r="AE92" s="34"/>
      <c r="AF92" s="34"/>
      <c r="AL92" s="184"/>
      <c r="AM92" s="98"/>
      <c r="AQ92" s="99"/>
      <c r="AW92" s="34">
        <f>BC85</f>
        <v>0</v>
      </c>
      <c r="AX92" s="34" t="str">
        <f>BC86</f>
        <v>d3</v>
      </c>
      <c r="AY92" s="148" cm="1">
        <f t="array" ref="AY92:BF92">AY88:BF88-2*_xlfn.ANCHORARRAY(AY93)</f>
        <v>-0.19999999999999996</v>
      </c>
      <c r="AZ92" s="157">
        <v>-0.33333333333333326</v>
      </c>
      <c r="BA92" s="157">
        <v>0</v>
      </c>
      <c r="BB92" s="157">
        <v>0</v>
      </c>
      <c r="BC92" s="157">
        <v>1</v>
      </c>
      <c r="BD92" s="157">
        <v>1.3333333333333334E-2</v>
      </c>
      <c r="BE92" s="157">
        <v>-1.3333333333333334E-2</v>
      </c>
      <c r="BF92" s="142">
        <v>70</v>
      </c>
      <c r="BG92" s="157"/>
      <c r="BM92" s="98"/>
    </row>
    <row r="93" spans="22:65" ht="17" thickBot="1" x14ac:dyDescent="0.25">
      <c r="V93" s="99"/>
      <c r="Z93" s="183"/>
      <c r="AB93" s="34"/>
      <c r="AC93" s="134">
        <f>AC89+AC95*(-5)</f>
        <v>1</v>
      </c>
      <c r="AD93" s="135">
        <f t="shared" ref="AD93:AF93" si="14">AD89+AD95*(-5)</f>
        <v>0</v>
      </c>
      <c r="AE93" s="135">
        <f t="shared" si="14"/>
        <v>0</v>
      </c>
      <c r="AF93" s="141">
        <f t="shared" si="14"/>
        <v>3.846153846153868</v>
      </c>
      <c r="AG93" s="78" t="s">
        <v>155</v>
      </c>
      <c r="AH93" t="s">
        <v>267</v>
      </c>
      <c r="AL93" s="184"/>
      <c r="AM93" s="98"/>
      <c r="AQ93" s="99"/>
      <c r="AW93" s="34">
        <f>BA85</f>
        <v>65</v>
      </c>
      <c r="AX93" s="34" t="str">
        <f>BA86</f>
        <v>x3</v>
      </c>
      <c r="AY93" s="148" cm="1">
        <f t="array" ref="AY93:BF93">AY89:BF89/150</f>
        <v>0.6</v>
      </c>
      <c r="AZ93" s="157">
        <v>0.66666666666666663</v>
      </c>
      <c r="BA93" s="157">
        <v>1</v>
      </c>
      <c r="BB93" s="157">
        <v>0</v>
      </c>
      <c r="BC93" s="157">
        <v>0</v>
      </c>
      <c r="BD93" s="157">
        <v>-6.6666666666666671E-3</v>
      </c>
      <c r="BE93" s="157">
        <v>6.6666666666666671E-3</v>
      </c>
      <c r="BF93" s="142">
        <v>40</v>
      </c>
      <c r="BG93" s="157"/>
      <c r="BM93" s="98"/>
    </row>
    <row r="94" spans="22:65" ht="17" thickBot="1" x14ac:dyDescent="0.25">
      <c r="V94" s="99"/>
      <c r="Z94" s="183"/>
      <c r="AB94" s="34"/>
      <c r="AC94" s="54">
        <f>AC90+AC95*3</f>
        <v>0</v>
      </c>
      <c r="AD94" s="34">
        <f t="shared" ref="AD94:AF94" si="15">AD90+AD95*3</f>
        <v>1</v>
      </c>
      <c r="AE94" s="34">
        <f t="shared" si="15"/>
        <v>0</v>
      </c>
      <c r="AF94" s="142">
        <f t="shared" si="15"/>
        <v>7.6923076923076792</v>
      </c>
      <c r="AG94" s="78" t="s">
        <v>155</v>
      </c>
      <c r="AH94" t="s">
        <v>268</v>
      </c>
      <c r="AL94" s="184"/>
      <c r="AM94" s="98"/>
      <c r="AQ94" s="99"/>
      <c r="AW94" s="241" t="s">
        <v>22</v>
      </c>
      <c r="AX94" s="242"/>
      <c r="AY94" s="221">
        <f>SUMPRODUCT(AY91:AY93,$AW$91:$AW$93)-AY85</f>
        <v>-1</v>
      </c>
      <c r="AZ94" s="221">
        <f t="shared" ref="AZ94:BE94" si="16">SUMPRODUCT(AZ91:AZ93,$AW$91:$AW$93)-AZ85</f>
        <v>-1.6666666666666714</v>
      </c>
      <c r="BA94" s="221">
        <f t="shared" si="16"/>
        <v>0</v>
      </c>
      <c r="BB94" s="221">
        <f t="shared" si="16"/>
        <v>0</v>
      </c>
      <c r="BC94" s="221">
        <f t="shared" si="16"/>
        <v>0</v>
      </c>
      <c r="BD94" s="221">
        <f t="shared" si="16"/>
        <v>-0.43333333333333335</v>
      </c>
      <c r="BE94" s="221">
        <f t="shared" si="16"/>
        <v>-99.566666666666663</v>
      </c>
      <c r="BF94" s="221">
        <f>SUMPRODUCT(BF91:BF93,$AW$91:$AW$93)-BF85</f>
        <v>2600</v>
      </c>
      <c r="BG94" s="202"/>
      <c r="BM94" s="98"/>
    </row>
    <row r="95" spans="22:65" x14ac:dyDescent="0.2">
      <c r="V95" s="99"/>
      <c r="Z95" s="183"/>
      <c r="AB95" s="34"/>
      <c r="AC95" s="138">
        <f>AC91/(-52)</f>
        <v>0</v>
      </c>
      <c r="AD95" s="139">
        <f t="shared" ref="AD95:AF95" si="17">AD91/(-52)</f>
        <v>0</v>
      </c>
      <c r="AE95" s="139">
        <f t="shared" si="17"/>
        <v>1</v>
      </c>
      <c r="AF95" s="143">
        <f t="shared" si="17"/>
        <v>69.230769230769226</v>
      </c>
      <c r="AG95" s="78" t="s">
        <v>155</v>
      </c>
      <c r="AH95" t="s">
        <v>269</v>
      </c>
      <c r="AL95" s="184"/>
      <c r="AM95" s="98"/>
      <c r="AQ95" s="99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M95" s="98"/>
    </row>
    <row r="96" spans="22:65" x14ac:dyDescent="0.2">
      <c r="V96" s="99"/>
      <c r="Z96" s="185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8"/>
      <c r="AM96" s="98"/>
      <c r="AQ96" s="99"/>
      <c r="BM96" s="98"/>
    </row>
    <row r="97" spans="22:65" x14ac:dyDescent="0.2">
      <c r="V97" s="99"/>
      <c r="AA97" s="180" t="s">
        <v>272</v>
      </c>
      <c r="AB97" s="181"/>
      <c r="AC97" s="181"/>
      <c r="AD97" s="181"/>
      <c r="AE97" s="181"/>
      <c r="AF97" s="181"/>
      <c r="AG97" s="181"/>
      <c r="AH97" s="181"/>
      <c r="AI97" s="181"/>
      <c r="AJ97" s="181"/>
      <c r="AK97" s="182"/>
      <c r="AM97" s="98"/>
      <c r="AQ97" s="99"/>
      <c r="BM97" s="98"/>
    </row>
    <row r="98" spans="22:65" ht="17" thickBot="1" x14ac:dyDescent="0.25">
      <c r="V98" s="99"/>
      <c r="AA98" s="183"/>
      <c r="AK98" s="184"/>
      <c r="AM98" s="98"/>
      <c r="AQ98" s="107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2"/>
    </row>
    <row r="99" spans="22:65" ht="16" customHeight="1" x14ac:dyDescent="0.2">
      <c r="V99" s="99"/>
      <c r="AA99" s="245" t="s">
        <v>273</v>
      </c>
      <c r="AB99" s="246"/>
      <c r="AC99" s="246"/>
      <c r="AD99" s="246"/>
      <c r="AE99" s="246"/>
      <c r="AF99" s="246"/>
      <c r="AG99" s="246"/>
      <c r="AH99" s="246"/>
      <c r="AI99" s="246"/>
      <c r="AJ99" s="156"/>
      <c r="AK99" s="184"/>
      <c r="AM99" s="98"/>
    </row>
    <row r="100" spans="22:65" x14ac:dyDescent="0.2">
      <c r="V100" s="99"/>
      <c r="AA100" s="245"/>
      <c r="AB100" s="246"/>
      <c r="AC100" s="246"/>
      <c r="AD100" s="246"/>
      <c r="AE100" s="246"/>
      <c r="AF100" s="246"/>
      <c r="AG100" s="246"/>
      <c r="AH100" s="246"/>
      <c r="AI100" s="246"/>
      <c r="AJ100" s="156"/>
      <c r="AK100" s="184"/>
      <c r="AM100" s="98"/>
    </row>
    <row r="101" spans="22:65" x14ac:dyDescent="0.2">
      <c r="V101" s="99"/>
      <c r="AA101" s="193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84"/>
      <c r="AM101" s="98"/>
    </row>
    <row r="102" spans="22:65" x14ac:dyDescent="0.2">
      <c r="V102" s="99"/>
      <c r="AA102" s="183"/>
      <c r="AK102" s="184"/>
      <c r="AM102" s="98"/>
    </row>
    <row r="103" spans="22:65" x14ac:dyDescent="0.2">
      <c r="V103" s="99"/>
      <c r="AA103" s="194" t="s">
        <v>233</v>
      </c>
      <c r="AB103" s="34"/>
      <c r="AC103" s="34"/>
      <c r="AD103" s="34"/>
      <c r="AE103" s="34"/>
      <c r="AF103" s="34"/>
      <c r="AG103" s="34"/>
      <c r="AK103" s="184"/>
      <c r="AM103" s="98"/>
    </row>
    <row r="104" spans="22:65" x14ac:dyDescent="0.2">
      <c r="V104" s="99"/>
      <c r="AA104" s="54"/>
      <c r="AB104" s="34" t="s">
        <v>162</v>
      </c>
      <c r="AC104" s="34" t="s">
        <v>163</v>
      </c>
      <c r="AD104" s="34" t="s">
        <v>274</v>
      </c>
      <c r="AE104" s="34" t="s">
        <v>12</v>
      </c>
      <c r="AF104" s="53" t="s">
        <v>11</v>
      </c>
      <c r="AG104" s="34"/>
      <c r="AK104" s="184"/>
      <c r="AM104" s="98"/>
    </row>
    <row r="105" spans="22:65" x14ac:dyDescent="0.2">
      <c r="V105" s="99"/>
      <c r="AA105" s="54" t="s">
        <v>8</v>
      </c>
      <c r="AB105" s="34">
        <v>1</v>
      </c>
      <c r="AC105" s="34">
        <v>1</v>
      </c>
      <c r="AD105" s="34">
        <v>1</v>
      </c>
      <c r="AE105" s="34" t="s">
        <v>263</v>
      </c>
      <c r="AF105" s="34">
        <v>420</v>
      </c>
      <c r="AG105" s="34" t="s">
        <v>15</v>
      </c>
      <c r="AH105" s="78" t="s">
        <v>276</v>
      </c>
      <c r="AK105" s="184"/>
      <c r="AM105" s="98"/>
    </row>
    <row r="106" spans="22:65" x14ac:dyDescent="0.2">
      <c r="V106" s="99"/>
      <c r="AA106" s="54" t="s">
        <v>9</v>
      </c>
      <c r="AB106" s="34">
        <v>-1</v>
      </c>
      <c r="AC106" s="34">
        <v>1.5</v>
      </c>
      <c r="AD106" s="34">
        <v>1.5</v>
      </c>
      <c r="AE106" s="34" t="s">
        <v>263</v>
      </c>
      <c r="AF106" s="34">
        <v>0</v>
      </c>
      <c r="AG106" s="34" t="s">
        <v>15</v>
      </c>
      <c r="AH106" s="78" t="s">
        <v>277</v>
      </c>
      <c r="AK106" s="184"/>
      <c r="AM106" s="98"/>
    </row>
    <row r="107" spans="22:65" x14ac:dyDescent="0.2">
      <c r="V107" s="99"/>
      <c r="AA107" s="54" t="s">
        <v>10</v>
      </c>
      <c r="AB107" s="34">
        <v>0</v>
      </c>
      <c r="AC107" s="34">
        <v>-1</v>
      </c>
      <c r="AD107" s="34">
        <v>1.1000000000000001</v>
      </c>
      <c r="AE107" s="34" t="s">
        <v>263</v>
      </c>
      <c r="AF107" s="34">
        <v>0</v>
      </c>
      <c r="AG107" s="34" t="s">
        <v>15</v>
      </c>
      <c r="AH107" s="78" t="s">
        <v>278</v>
      </c>
      <c r="AK107" s="184"/>
      <c r="AM107" s="98"/>
    </row>
    <row r="108" spans="22:65" x14ac:dyDescent="0.2">
      <c r="V108" s="99"/>
      <c r="AA108" s="195" t="s">
        <v>275</v>
      </c>
      <c r="AK108" s="184"/>
      <c r="AM108" s="98"/>
    </row>
    <row r="109" spans="22:65" x14ac:dyDescent="0.2">
      <c r="V109" s="99"/>
      <c r="AA109" s="183"/>
      <c r="AB109" s="144">
        <f>AB105</f>
        <v>1</v>
      </c>
      <c r="AC109" s="145">
        <v>0</v>
      </c>
      <c r="AD109" s="146">
        <v>0</v>
      </c>
      <c r="AE109" s="147">
        <v>252</v>
      </c>
      <c r="AF109" t="s">
        <v>162</v>
      </c>
      <c r="AK109" s="184"/>
      <c r="AM109" s="98"/>
    </row>
    <row r="110" spans="22:65" x14ac:dyDescent="0.2">
      <c r="V110" s="99"/>
      <c r="AA110" s="183"/>
      <c r="AB110" s="148">
        <v>0</v>
      </c>
      <c r="AC110" s="157">
        <v>1</v>
      </c>
      <c r="AD110" s="149">
        <v>0</v>
      </c>
      <c r="AE110" s="150">
        <v>88</v>
      </c>
      <c r="AF110" t="s">
        <v>163</v>
      </c>
      <c r="AK110" s="184"/>
      <c r="AM110" s="98"/>
    </row>
    <row r="111" spans="22:65" x14ac:dyDescent="0.2">
      <c r="V111" s="99"/>
      <c r="AA111" s="183"/>
      <c r="AB111" s="151">
        <v>0</v>
      </c>
      <c r="AC111" s="152">
        <v>0</v>
      </c>
      <c r="AD111" s="153">
        <v>1</v>
      </c>
      <c r="AE111" s="154">
        <v>80</v>
      </c>
      <c r="AF111" t="s">
        <v>274</v>
      </c>
      <c r="AK111" s="184"/>
      <c r="AM111" s="98"/>
    </row>
    <row r="112" spans="22:65" ht="17" thickBot="1" x14ac:dyDescent="0.25">
      <c r="V112" s="107"/>
      <c r="W112" s="101"/>
      <c r="X112" s="101"/>
      <c r="Y112" s="101"/>
      <c r="Z112" s="101"/>
      <c r="AA112" s="19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96"/>
      <c r="AL112" s="101"/>
      <c r="AM112" s="102"/>
    </row>
    <row r="119" spans="22:23" x14ac:dyDescent="0.2">
      <c r="V119" s="244" t="s">
        <v>341</v>
      </c>
      <c r="W119" s="244"/>
    </row>
    <row r="120" spans="22:23" x14ac:dyDescent="0.2">
      <c r="V120" s="244"/>
      <c r="W120" s="244"/>
    </row>
    <row r="122" spans="22:23" x14ac:dyDescent="0.2">
      <c r="V122" t="s">
        <v>344</v>
      </c>
    </row>
    <row r="124" spans="22:23" ht="20" x14ac:dyDescent="0.2">
      <c r="W124" s="224" t="s">
        <v>342</v>
      </c>
    </row>
    <row r="125" spans="22:23" ht="20" x14ac:dyDescent="0.2">
      <c r="W125" s="224" t="s">
        <v>343</v>
      </c>
    </row>
  </sheetData>
  <mergeCells count="15">
    <mergeCell ref="AW94:AX94"/>
    <mergeCell ref="BO2:BR3"/>
    <mergeCell ref="V119:W120"/>
    <mergeCell ref="AA99:AI100"/>
    <mergeCell ref="AQ2:AU3"/>
    <mergeCell ref="AV57:AW57"/>
    <mergeCell ref="AV63:AW63"/>
    <mergeCell ref="AV70:AW70"/>
    <mergeCell ref="AW86:AX86"/>
    <mergeCell ref="AW90:AX90"/>
    <mergeCell ref="B2:D3"/>
    <mergeCell ref="V2:X3"/>
    <mergeCell ref="V42:Z43"/>
    <mergeCell ref="B12:D13"/>
    <mergeCell ref="C21:F2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5A41-8EB4-4645-B18E-A8CB9E5C0DFF}">
  <dimension ref="A1:CE185"/>
  <sheetViews>
    <sheetView tabSelected="1" topLeftCell="A138" zoomScale="110" zoomScaleNormal="100" workbookViewId="0">
      <selection activeCell="B98" sqref="B98"/>
    </sheetView>
  </sheetViews>
  <sheetFormatPr baseColWidth="10" defaultRowHeight="16" x14ac:dyDescent="0.2"/>
  <cols>
    <col min="17" max="17" width="12.6640625" bestFit="1" customWidth="1"/>
    <col min="18" max="18" width="10.83203125" customWidth="1"/>
  </cols>
  <sheetData>
    <row r="1" spans="1:80" ht="20" customHeight="1" x14ac:dyDescent="0.2">
      <c r="A1" s="233" t="s">
        <v>347</v>
      </c>
      <c r="B1" s="233"/>
      <c r="C1" s="233"/>
      <c r="N1" s="104"/>
      <c r="O1" s="250" t="s">
        <v>189</v>
      </c>
      <c r="P1" s="250"/>
      <c r="Q1" s="250"/>
      <c r="R1" s="250"/>
      <c r="S1" s="250"/>
      <c r="T1" s="250"/>
      <c r="U1" s="250"/>
      <c r="V1" s="250"/>
      <c r="W1" s="96"/>
      <c r="X1" s="96"/>
      <c r="Y1" s="96"/>
      <c r="Z1" s="96"/>
      <c r="AA1" s="96"/>
      <c r="AB1" s="97"/>
      <c r="AN1" s="104"/>
      <c r="AO1" s="250" t="s">
        <v>190</v>
      </c>
      <c r="AP1" s="250"/>
      <c r="AQ1" s="250"/>
      <c r="AR1" s="250"/>
      <c r="AS1" s="250"/>
      <c r="AT1" s="250"/>
      <c r="AU1" s="250"/>
      <c r="AV1" s="250"/>
      <c r="AW1" s="96"/>
      <c r="AX1" s="96"/>
      <c r="AY1" s="96"/>
      <c r="AZ1" s="96"/>
      <c r="BA1" s="97"/>
      <c r="BT1" s="253" t="s">
        <v>329</v>
      </c>
      <c r="BU1" s="253"/>
      <c r="BV1" s="253"/>
    </row>
    <row r="2" spans="1:80" ht="16" customHeight="1" x14ac:dyDescent="0.2">
      <c r="A2" s="233"/>
      <c r="B2" s="233"/>
      <c r="C2" s="233"/>
      <c r="N2" s="99"/>
      <c r="O2" s="239"/>
      <c r="P2" s="239"/>
      <c r="Q2" s="239"/>
      <c r="R2" s="239"/>
      <c r="S2" s="239"/>
      <c r="T2" s="239"/>
      <c r="U2" s="239"/>
      <c r="V2" s="239"/>
      <c r="AB2" s="98"/>
      <c r="AN2" s="99"/>
      <c r="AO2" s="239"/>
      <c r="AP2" s="239"/>
      <c r="AQ2" s="239"/>
      <c r="AR2" s="239"/>
      <c r="AS2" s="239"/>
      <c r="AT2" s="239"/>
      <c r="AU2" s="239"/>
      <c r="AV2" s="239"/>
      <c r="BA2" s="98"/>
      <c r="BT2" s="253"/>
      <c r="BU2" s="253"/>
      <c r="BV2" s="253"/>
    </row>
    <row r="3" spans="1:80" ht="16" customHeight="1" x14ac:dyDescent="0.2">
      <c r="A3" t="s">
        <v>348</v>
      </c>
      <c r="B3" t="s">
        <v>349</v>
      </c>
      <c r="C3" t="s">
        <v>350</v>
      </c>
      <c r="D3" t="s">
        <v>351</v>
      </c>
      <c r="E3" t="s">
        <v>352</v>
      </c>
      <c r="F3" t="s">
        <v>353</v>
      </c>
      <c r="G3" t="s">
        <v>356</v>
      </c>
      <c r="H3" t="s">
        <v>355</v>
      </c>
      <c r="J3" t="s">
        <v>354</v>
      </c>
      <c r="N3" s="99"/>
      <c r="O3" s="110"/>
      <c r="P3" s="110"/>
      <c r="Q3" s="110"/>
      <c r="AB3" s="98"/>
      <c r="AN3" s="99"/>
      <c r="BA3" s="98"/>
    </row>
    <row r="4" spans="1:80" ht="16" customHeight="1" x14ac:dyDescent="0.2">
      <c r="A4">
        <v>87.5</v>
      </c>
      <c r="B4">
        <v>69</v>
      </c>
      <c r="C4">
        <v>0</v>
      </c>
      <c r="D4">
        <v>0</v>
      </c>
      <c r="E4">
        <v>0</v>
      </c>
      <c r="F4">
        <v>0</v>
      </c>
      <c r="G4">
        <f>AVERAGE(A4:F4)</f>
        <v>26.083333333333332</v>
      </c>
      <c r="H4">
        <f>100-J4</f>
        <v>61.54</v>
      </c>
      <c r="J4">
        <v>38.46</v>
      </c>
      <c r="N4" s="99"/>
      <c r="O4" s="110"/>
      <c r="P4" s="110"/>
      <c r="Q4" s="110"/>
      <c r="AB4" s="98"/>
      <c r="AN4" s="99"/>
      <c r="BA4" s="98"/>
    </row>
    <row r="5" spans="1:80" x14ac:dyDescent="0.2">
      <c r="N5" s="99"/>
      <c r="AB5" s="98"/>
      <c r="AN5" s="99"/>
      <c r="BA5" s="98"/>
      <c r="BU5" t="s">
        <v>74</v>
      </c>
    </row>
    <row r="6" spans="1:80" x14ac:dyDescent="0.2">
      <c r="N6" s="99"/>
      <c r="AB6" s="98"/>
      <c r="AN6" s="99"/>
      <c r="BA6" s="98"/>
    </row>
    <row r="7" spans="1:80" x14ac:dyDescent="0.2">
      <c r="B7" t="s">
        <v>357</v>
      </c>
      <c r="C7" t="str">
        <f>IF($G$4&gt;=$H$4, "Mám", " Nemám")</f>
        <v xml:space="preserve"> Nemám</v>
      </c>
      <c r="N7" s="99"/>
      <c r="U7" t="s">
        <v>4</v>
      </c>
      <c r="AB7" s="98"/>
      <c r="AN7" s="99"/>
      <c r="BA7" s="98"/>
      <c r="BU7" t="s">
        <v>330</v>
      </c>
      <c r="BX7">
        <v>314</v>
      </c>
      <c r="CA7" t="s">
        <v>8</v>
      </c>
      <c r="CB7" t="s">
        <v>338</v>
      </c>
    </row>
    <row r="8" spans="1:80" x14ac:dyDescent="0.2">
      <c r="N8" s="99"/>
      <c r="Q8" s="1"/>
      <c r="R8" s="1"/>
      <c r="S8" s="1"/>
      <c r="T8" s="1"/>
      <c r="U8" s="1">
        <v>-1</v>
      </c>
      <c r="V8" s="1">
        <v>-5</v>
      </c>
      <c r="W8" s="1">
        <v>-19</v>
      </c>
      <c r="X8" s="1">
        <v>17</v>
      </c>
      <c r="Y8" s="1">
        <v>-3</v>
      </c>
      <c r="AB8" s="98"/>
      <c r="AN8" s="99"/>
      <c r="AO8" t="s">
        <v>75</v>
      </c>
      <c r="BA8" s="98"/>
      <c r="BU8" t="s">
        <v>331</v>
      </c>
      <c r="BX8">
        <v>364.5</v>
      </c>
      <c r="CA8" t="s">
        <v>9</v>
      </c>
      <c r="CB8" t="s">
        <v>339</v>
      </c>
    </row>
    <row r="9" spans="1:80" x14ac:dyDescent="0.2">
      <c r="N9" s="99"/>
      <c r="Q9" s="1"/>
      <c r="R9" s="1"/>
      <c r="S9" s="1"/>
      <c r="T9" s="1"/>
      <c r="U9" s="1">
        <v>8</v>
      </c>
      <c r="V9" s="1">
        <v>-14</v>
      </c>
      <c r="W9" s="1">
        <v>-16</v>
      </c>
      <c r="X9" s="1">
        <v>-7</v>
      </c>
      <c r="Y9" s="1">
        <v>-20</v>
      </c>
      <c r="AB9" s="98"/>
      <c r="AN9" s="99"/>
      <c r="BA9" s="98"/>
      <c r="BU9" t="s">
        <v>335</v>
      </c>
      <c r="BX9">
        <v>417.5</v>
      </c>
      <c r="CA9" t="s">
        <v>10</v>
      </c>
      <c r="CB9" s="78" t="s">
        <v>340</v>
      </c>
    </row>
    <row r="10" spans="1:80" x14ac:dyDescent="0.2">
      <c r="N10" s="99"/>
      <c r="Q10" s="1"/>
      <c r="R10" s="1"/>
      <c r="S10" s="1"/>
      <c r="T10" s="1"/>
      <c r="U10" s="1">
        <v>-6</v>
      </c>
      <c r="V10" s="1">
        <v>10</v>
      </c>
      <c r="W10" s="1">
        <v>12</v>
      </c>
      <c r="X10" s="1">
        <v>11</v>
      </c>
      <c r="Y10" s="1">
        <v>1</v>
      </c>
      <c r="AB10" s="98"/>
      <c r="AN10" s="99"/>
      <c r="AO10" t="s">
        <v>132</v>
      </c>
      <c r="BA10" s="98"/>
    </row>
    <row r="11" spans="1:80" x14ac:dyDescent="0.2">
      <c r="N11" s="99"/>
      <c r="Q11" s="1"/>
      <c r="R11" s="1"/>
      <c r="S11" s="1"/>
      <c r="T11" s="1"/>
      <c r="U11" s="1">
        <v>-17</v>
      </c>
      <c r="V11" s="1">
        <v>-4</v>
      </c>
      <c r="W11" s="1">
        <v>18</v>
      </c>
      <c r="X11" s="1">
        <v>-2</v>
      </c>
      <c r="Y11" s="1">
        <v>-13</v>
      </c>
      <c r="AB11" s="98"/>
      <c r="AN11" s="99"/>
      <c r="AP11">
        <v>14</v>
      </c>
      <c r="AQ11">
        <v>13</v>
      </c>
      <c r="AR11">
        <v>1</v>
      </c>
      <c r="AS11">
        <v>8</v>
      </c>
      <c r="AT11">
        <v>0</v>
      </c>
      <c r="AU11">
        <v>0</v>
      </c>
      <c r="AV11">
        <v>-100</v>
      </c>
      <c r="AW11">
        <v>0</v>
      </c>
      <c r="AX11">
        <v>-100</v>
      </c>
      <c r="BA11" s="98"/>
      <c r="BU11" t="s">
        <v>332</v>
      </c>
      <c r="BV11" t="s">
        <v>3</v>
      </c>
      <c r="BW11" t="s">
        <v>4</v>
      </c>
      <c r="BX11" t="s">
        <v>5</v>
      </c>
      <c r="BY11" t="s">
        <v>148</v>
      </c>
    </row>
    <row r="12" spans="1:80" ht="17" thickBot="1" x14ac:dyDescent="0.25">
      <c r="N12" s="99"/>
      <c r="P12" t="s">
        <v>3</v>
      </c>
      <c r="Q12" s="1">
        <v>-6</v>
      </c>
      <c r="R12" s="1">
        <v>15</v>
      </c>
      <c r="S12" s="1">
        <v>-16</v>
      </c>
      <c r="T12" s="1">
        <v>19</v>
      </c>
      <c r="U12" s="1">
        <f>(Q12*U8)+(R12*U9)+(S12*U10)+(U11*T12)</f>
        <v>-101</v>
      </c>
      <c r="V12" s="1"/>
      <c r="W12" s="1"/>
      <c r="X12" s="1"/>
      <c r="Y12" s="1"/>
      <c r="AB12" s="98"/>
      <c r="AN12" s="99"/>
      <c r="AP12" t="s">
        <v>16</v>
      </c>
      <c r="AQ12" t="s">
        <v>17</v>
      </c>
      <c r="AR12" t="s">
        <v>18</v>
      </c>
      <c r="AS12" t="s">
        <v>131</v>
      </c>
      <c r="AT12" t="s">
        <v>130</v>
      </c>
      <c r="AU12" t="s">
        <v>129</v>
      </c>
      <c r="AV12" t="s">
        <v>128</v>
      </c>
      <c r="AW12" t="s">
        <v>127</v>
      </c>
      <c r="AX12" t="s">
        <v>126</v>
      </c>
      <c r="AY12" t="s">
        <v>11</v>
      </c>
      <c r="BA12" s="98"/>
      <c r="BU12" t="s">
        <v>333</v>
      </c>
      <c r="BV12">
        <v>4</v>
      </c>
      <c r="BW12">
        <v>3</v>
      </c>
      <c r="BX12">
        <v>9</v>
      </c>
      <c r="BY12">
        <v>6.5</v>
      </c>
    </row>
    <row r="13" spans="1:80" x14ac:dyDescent="0.2">
      <c r="A13" s="251" t="s">
        <v>188</v>
      </c>
      <c r="B13" s="250"/>
      <c r="C13" s="250"/>
      <c r="D13" s="250"/>
      <c r="E13" s="250"/>
      <c r="F13" s="250"/>
      <c r="G13" s="250"/>
      <c r="H13" s="250"/>
      <c r="I13" s="96"/>
      <c r="J13" s="96"/>
      <c r="K13" s="96"/>
      <c r="L13" s="97"/>
      <c r="N13" s="99"/>
      <c r="Q13" s="1">
        <v>-14</v>
      </c>
      <c r="R13" s="1">
        <v>-10</v>
      </c>
      <c r="S13" s="1">
        <v>13</v>
      </c>
      <c r="T13" s="1">
        <v>8</v>
      </c>
      <c r="U13" s="1"/>
      <c r="V13" s="1"/>
      <c r="W13" s="1"/>
      <c r="X13" s="1"/>
      <c r="Y13" s="1"/>
      <c r="AB13" s="98"/>
      <c r="AN13" s="99"/>
      <c r="AO13">
        <v>0</v>
      </c>
      <c r="AP13">
        <v>-11</v>
      </c>
      <c r="AQ13">
        <v>-6.5</v>
      </c>
      <c r="AR13">
        <v>0</v>
      </c>
      <c r="AS13">
        <v>-1.5</v>
      </c>
      <c r="AT13">
        <v>1</v>
      </c>
      <c r="AU13">
        <v>0</v>
      </c>
      <c r="AV13">
        <v>0</v>
      </c>
      <c r="AW13">
        <v>7.5</v>
      </c>
      <c r="AX13">
        <v>-7.5</v>
      </c>
      <c r="AY13">
        <v>30</v>
      </c>
      <c r="BA13" s="98"/>
      <c r="BU13" t="s">
        <v>334</v>
      </c>
      <c r="BV13">
        <v>3.5</v>
      </c>
      <c r="BW13">
        <v>9.5</v>
      </c>
      <c r="BX13">
        <v>0</v>
      </c>
      <c r="BY13">
        <v>12</v>
      </c>
    </row>
    <row r="14" spans="1:80" x14ac:dyDescent="0.2">
      <c r="A14" s="252"/>
      <c r="B14" s="239"/>
      <c r="C14" s="239"/>
      <c r="D14" s="239"/>
      <c r="E14" s="239"/>
      <c r="F14" s="239"/>
      <c r="G14" s="239"/>
      <c r="H14" s="239"/>
      <c r="L14" s="98"/>
      <c r="N14" s="99"/>
      <c r="Q14" s="1">
        <v>-3</v>
      </c>
      <c r="R14" s="1">
        <v>-5</v>
      </c>
      <c r="S14" s="1">
        <v>11</v>
      </c>
      <c r="T14" s="1">
        <v>-20</v>
      </c>
      <c r="U14" s="1"/>
      <c r="V14" s="1" t="s">
        <v>155</v>
      </c>
      <c r="W14" s="1"/>
      <c r="X14" s="1"/>
      <c r="Y14" s="1"/>
      <c r="AB14" s="98"/>
      <c r="AN14" s="99"/>
      <c r="AO14">
        <v>0</v>
      </c>
      <c r="AP14">
        <v>2.5</v>
      </c>
      <c r="AQ14">
        <v>-10</v>
      </c>
      <c r="AR14">
        <v>0</v>
      </c>
      <c r="AS14">
        <v>-7</v>
      </c>
      <c r="AT14">
        <v>0</v>
      </c>
      <c r="AU14">
        <v>1</v>
      </c>
      <c r="AV14">
        <v>0</v>
      </c>
      <c r="AW14">
        <v>-8</v>
      </c>
      <c r="AX14">
        <v>8</v>
      </c>
      <c r="AY14">
        <v>36</v>
      </c>
      <c r="BA14" s="98"/>
      <c r="BU14" t="s">
        <v>336</v>
      </c>
      <c r="BV14">
        <v>12</v>
      </c>
      <c r="BW14">
        <v>10.5</v>
      </c>
      <c r="BX14">
        <v>3</v>
      </c>
      <c r="BY14">
        <v>4</v>
      </c>
    </row>
    <row r="15" spans="1:80" x14ac:dyDescent="0.2">
      <c r="A15" s="99"/>
      <c r="L15" s="98"/>
      <c r="N15" s="99"/>
      <c r="Q15" s="1"/>
      <c r="R15" s="1"/>
      <c r="S15" s="1"/>
      <c r="T15" s="1"/>
      <c r="U15" s="1"/>
      <c r="V15" s="1"/>
      <c r="W15" s="1"/>
      <c r="X15" s="1"/>
      <c r="Y15" s="1"/>
      <c r="AB15" s="98"/>
      <c r="AN15" s="99"/>
      <c r="AO15">
        <v>1</v>
      </c>
      <c r="AP15">
        <v>7.5</v>
      </c>
      <c r="AQ15">
        <v>-2.5</v>
      </c>
      <c r="AR15">
        <v>1</v>
      </c>
      <c r="AS15">
        <v>3</v>
      </c>
      <c r="AT15">
        <v>0</v>
      </c>
      <c r="AU15">
        <v>0</v>
      </c>
      <c r="AV15">
        <v>0</v>
      </c>
      <c r="AW15">
        <v>6</v>
      </c>
      <c r="AX15">
        <v>-6</v>
      </c>
      <c r="AY15">
        <v>41</v>
      </c>
      <c r="BA15" s="98"/>
    </row>
    <row r="16" spans="1:80" x14ac:dyDescent="0.2">
      <c r="A16" s="99"/>
      <c r="B16" t="s">
        <v>74</v>
      </c>
      <c r="L16" s="98"/>
      <c r="N16" s="99"/>
      <c r="Q16" s="1"/>
      <c r="R16" s="1"/>
      <c r="S16" s="1"/>
      <c r="T16" s="1"/>
      <c r="U16" s="1"/>
      <c r="V16" s="1"/>
      <c r="W16" s="1"/>
      <c r="X16" s="1"/>
      <c r="Y16" s="1"/>
      <c r="AB16" s="98"/>
      <c r="AN16" s="99"/>
      <c r="AO16">
        <v>-100</v>
      </c>
      <c r="AP16">
        <v>5</v>
      </c>
      <c r="AQ16">
        <v>-12</v>
      </c>
      <c r="AR16">
        <v>0</v>
      </c>
      <c r="AS16">
        <v>-10.5</v>
      </c>
      <c r="AT16">
        <v>0</v>
      </c>
      <c r="AU16">
        <v>0</v>
      </c>
      <c r="AV16">
        <v>1</v>
      </c>
      <c r="AW16">
        <v>-10</v>
      </c>
      <c r="AX16">
        <v>10</v>
      </c>
      <c r="AY16">
        <v>25</v>
      </c>
      <c r="BA16" s="98"/>
      <c r="BU16" t="s">
        <v>337</v>
      </c>
      <c r="BV16">
        <v>1</v>
      </c>
      <c r="BW16">
        <v>3</v>
      </c>
      <c r="BX16">
        <v>14</v>
      </c>
      <c r="BY16">
        <v>11</v>
      </c>
    </row>
    <row r="17" spans="1:83" x14ac:dyDescent="0.2">
      <c r="A17" s="99"/>
      <c r="L17" s="98"/>
      <c r="N17" s="99"/>
      <c r="Q17" s="1"/>
      <c r="R17" s="1"/>
      <c r="S17" s="1"/>
      <c r="T17" s="1"/>
      <c r="U17" s="1"/>
      <c r="V17" s="1"/>
      <c r="W17" s="1"/>
      <c r="X17" s="1"/>
      <c r="Y17" s="1"/>
      <c r="AB17" s="98"/>
      <c r="AN17" s="99"/>
      <c r="AO17" t="s">
        <v>22</v>
      </c>
      <c r="AP17">
        <f t="shared" ref="AP17:AY17" si="0">SUMPRODUCT($AO$13:$AO$16,AP13:AP16)-AP11</f>
        <v>-506.5</v>
      </c>
      <c r="AQ17">
        <f t="shared" si="0"/>
        <v>1184.5</v>
      </c>
      <c r="AR17">
        <f t="shared" si="0"/>
        <v>0</v>
      </c>
      <c r="AS17">
        <f t="shared" si="0"/>
        <v>1045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1006</v>
      </c>
      <c r="AX17">
        <f t="shared" si="0"/>
        <v>-906</v>
      </c>
      <c r="AY17">
        <f t="shared" si="0"/>
        <v>-2459</v>
      </c>
      <c r="BA17" s="98"/>
    </row>
    <row r="18" spans="1:83" x14ac:dyDescent="0.2">
      <c r="A18" s="99"/>
      <c r="B18">
        <v>6</v>
      </c>
      <c r="C18">
        <v>12</v>
      </c>
      <c r="D18">
        <v>-6</v>
      </c>
      <c r="F18">
        <v>-6</v>
      </c>
      <c r="G18">
        <v>14</v>
      </c>
      <c r="H18">
        <v>-4</v>
      </c>
      <c r="L18" s="98"/>
      <c r="N18" s="99"/>
      <c r="Q18" s="1"/>
      <c r="R18" s="1"/>
      <c r="S18" s="1"/>
      <c r="T18" s="1"/>
      <c r="U18" s="1"/>
      <c r="V18" s="1"/>
      <c r="W18" s="1"/>
      <c r="X18" s="1"/>
      <c r="Y18" s="1"/>
      <c r="AB18" s="98"/>
      <c r="AN18" s="99"/>
      <c r="BA18" s="98"/>
    </row>
    <row r="19" spans="1:83" x14ac:dyDescent="0.2">
      <c r="A19" s="99"/>
      <c r="B19">
        <v>15</v>
      </c>
      <c r="C19">
        <v>1</v>
      </c>
      <c r="D19">
        <v>-17</v>
      </c>
      <c r="F19">
        <v>-13</v>
      </c>
      <c r="G19">
        <v>7</v>
      </c>
      <c r="H19">
        <v>13</v>
      </c>
      <c r="L19" s="98"/>
      <c r="N19" s="99"/>
      <c r="Q19" cm="1">
        <f t="array" ref="Q19:U21">MMULT(Q12:T14,U8:Y11)</f>
        <v>-101</v>
      </c>
      <c r="R19" s="1">
        <v>-416</v>
      </c>
      <c r="S19" s="1">
        <v>24</v>
      </c>
      <c r="T19" s="1">
        <v>-421</v>
      </c>
      <c r="U19" s="1">
        <v>-545</v>
      </c>
      <c r="V19" s="1"/>
      <c r="W19" s="1"/>
      <c r="X19" s="1"/>
      <c r="Y19" s="1"/>
      <c r="AB19" s="98"/>
      <c r="AN19" s="99"/>
      <c r="BA19" s="98"/>
      <c r="BV19">
        <v>1</v>
      </c>
      <c r="BW19">
        <v>3</v>
      </c>
      <c r="BX19">
        <v>14</v>
      </c>
      <c r="BY19">
        <v>11</v>
      </c>
      <c r="BZ19">
        <v>0</v>
      </c>
      <c r="CA19">
        <v>0</v>
      </c>
      <c r="CB19">
        <v>0</v>
      </c>
      <c r="CC19">
        <v>-100</v>
      </c>
    </row>
    <row r="20" spans="1:83" x14ac:dyDescent="0.2">
      <c r="A20" s="99"/>
      <c r="B20">
        <v>-10</v>
      </c>
      <c r="C20">
        <v>-12</v>
      </c>
      <c r="D20">
        <v>-2</v>
      </c>
      <c r="F20">
        <v>19</v>
      </c>
      <c r="G20">
        <v>11</v>
      </c>
      <c r="H20">
        <v>15</v>
      </c>
      <c r="L20" s="98"/>
      <c r="N20" s="99"/>
      <c r="Q20">
        <v>-280</v>
      </c>
      <c r="R20">
        <v>308</v>
      </c>
      <c r="S20">
        <v>726</v>
      </c>
      <c r="T20">
        <v>-41</v>
      </c>
      <c r="U20">
        <v>151</v>
      </c>
      <c r="AB20" s="98"/>
      <c r="AN20" s="99"/>
      <c r="BA20" s="98"/>
      <c r="BV20" t="s">
        <v>16</v>
      </c>
      <c r="BW20" t="s">
        <v>17</v>
      </c>
      <c r="BX20" t="s">
        <v>18</v>
      </c>
      <c r="BY20" t="s">
        <v>131</v>
      </c>
      <c r="BZ20" t="s">
        <v>19</v>
      </c>
      <c r="CA20" t="s">
        <v>20</v>
      </c>
      <c r="CB20" t="s">
        <v>21</v>
      </c>
      <c r="CC20" t="s">
        <v>122</v>
      </c>
      <c r="CD20" t="s">
        <v>11</v>
      </c>
      <c r="CE20" t="s">
        <v>23</v>
      </c>
    </row>
    <row r="21" spans="1:83" x14ac:dyDescent="0.2">
      <c r="A21" s="99"/>
      <c r="L21" s="98"/>
      <c r="N21" s="99"/>
      <c r="Q21">
        <v>237</v>
      </c>
      <c r="R21">
        <v>275</v>
      </c>
      <c r="S21">
        <v>-91</v>
      </c>
      <c r="T21">
        <v>145</v>
      </c>
      <c r="U21">
        <v>380</v>
      </c>
      <c r="AB21" s="98"/>
      <c r="AN21" s="99"/>
      <c r="AO21" t="s">
        <v>88</v>
      </c>
      <c r="BA21" s="98"/>
      <c r="BT21">
        <v>0</v>
      </c>
      <c r="BU21" t="s">
        <v>19</v>
      </c>
      <c r="BV21">
        <v>4</v>
      </c>
      <c r="BW21">
        <v>3</v>
      </c>
      <c r="BX21">
        <v>9</v>
      </c>
      <c r="BY21">
        <v>6.5</v>
      </c>
      <c r="BZ21">
        <v>1</v>
      </c>
      <c r="CA21">
        <v>0</v>
      </c>
      <c r="CB21">
        <v>0</v>
      </c>
      <c r="CC21">
        <v>0</v>
      </c>
      <c r="CD21">
        <v>314</v>
      </c>
    </row>
    <row r="22" spans="1:83" x14ac:dyDescent="0.2">
      <c r="A22" s="99"/>
      <c r="L22" s="98"/>
      <c r="N22" s="99"/>
      <c r="AB22" s="98"/>
      <c r="AN22" s="99"/>
      <c r="BA22" s="98"/>
      <c r="BT22">
        <v>0</v>
      </c>
      <c r="BU22" t="s">
        <v>122</v>
      </c>
      <c r="BV22">
        <v>3.5</v>
      </c>
      <c r="BW22">
        <v>9.5</v>
      </c>
      <c r="BX22">
        <v>0</v>
      </c>
      <c r="BY22">
        <v>12</v>
      </c>
      <c r="BZ22">
        <v>0</v>
      </c>
      <c r="CA22">
        <v>-1</v>
      </c>
      <c r="CB22">
        <v>0</v>
      </c>
      <c r="CC22">
        <v>1</v>
      </c>
      <c r="CD22">
        <v>364.5</v>
      </c>
    </row>
    <row r="23" spans="1:83" x14ac:dyDescent="0.2">
      <c r="A23" s="99"/>
      <c r="B23" s="109" cm="1">
        <f t="array" ref="B23:D25">MMULT(B18:D20,F18:H20)</f>
        <v>-306</v>
      </c>
      <c r="C23" s="109">
        <v>102</v>
      </c>
      <c r="D23" s="109">
        <v>42</v>
      </c>
      <c r="L23" s="98"/>
      <c r="N23" s="99"/>
      <c r="AB23" s="98"/>
      <c r="AN23" s="99"/>
      <c r="AP23">
        <v>7</v>
      </c>
      <c r="AQ23">
        <v>10</v>
      </c>
      <c r="AR23">
        <v>4</v>
      </c>
      <c r="AS23">
        <v>11</v>
      </c>
      <c r="AT23">
        <v>0</v>
      </c>
      <c r="AU23">
        <v>0</v>
      </c>
      <c r="AV23">
        <v>100</v>
      </c>
      <c r="AW23">
        <v>0</v>
      </c>
      <c r="AX23">
        <v>100</v>
      </c>
      <c r="BA23" s="98"/>
      <c r="BT23">
        <v>0</v>
      </c>
      <c r="BU23" t="s">
        <v>21</v>
      </c>
      <c r="BV23">
        <v>12</v>
      </c>
      <c r="BW23">
        <v>10.5</v>
      </c>
      <c r="BX23">
        <v>3</v>
      </c>
      <c r="BY23">
        <v>4</v>
      </c>
      <c r="BZ23">
        <v>0</v>
      </c>
      <c r="CA23">
        <v>0</v>
      </c>
      <c r="CB23">
        <v>1</v>
      </c>
      <c r="CC23">
        <v>0</v>
      </c>
      <c r="CD23">
        <v>417.5</v>
      </c>
    </row>
    <row r="24" spans="1:83" ht="17" customHeight="1" x14ac:dyDescent="0.2">
      <c r="A24" s="99"/>
      <c r="B24">
        <v>-426</v>
      </c>
      <c r="C24" s="109">
        <v>30</v>
      </c>
      <c r="D24">
        <v>-302</v>
      </c>
      <c r="L24" s="98"/>
      <c r="N24" s="99"/>
      <c r="AB24" s="98"/>
      <c r="AN24" s="99"/>
      <c r="AP24" t="s">
        <v>16</v>
      </c>
      <c r="AQ24" t="s">
        <v>17</v>
      </c>
      <c r="AR24" t="s">
        <v>18</v>
      </c>
      <c r="AS24" t="s">
        <v>131</v>
      </c>
      <c r="AT24" t="s">
        <v>130</v>
      </c>
      <c r="AU24" t="s">
        <v>129</v>
      </c>
      <c r="AV24" t="s">
        <v>128</v>
      </c>
      <c r="AW24" t="s">
        <v>127</v>
      </c>
      <c r="AX24" t="s">
        <v>126</v>
      </c>
      <c r="AY24" t="s">
        <v>11</v>
      </c>
      <c r="AZ24" t="s">
        <v>23</v>
      </c>
      <c r="BA24" s="98"/>
      <c r="BU24" t="s">
        <v>22</v>
      </c>
      <c r="BV24">
        <f>SUMPRODUCT(BV21:BV23,$BT$21:$BT$23)-BV19</f>
        <v>-1</v>
      </c>
      <c r="BW24">
        <f t="shared" ref="BW24:CC24" si="1">SUMPRODUCT(BW21:BW23,$BT$21:$BT$23)-BW19</f>
        <v>-3</v>
      </c>
      <c r="BX24">
        <f t="shared" si="1"/>
        <v>-14</v>
      </c>
      <c r="BY24">
        <f t="shared" si="1"/>
        <v>-11</v>
      </c>
      <c r="BZ24">
        <f t="shared" si="1"/>
        <v>0</v>
      </c>
      <c r="CA24">
        <f t="shared" si="1"/>
        <v>0</v>
      </c>
      <c r="CB24">
        <f t="shared" si="1"/>
        <v>0</v>
      </c>
      <c r="CC24">
        <f t="shared" si="1"/>
        <v>100</v>
      </c>
    </row>
    <row r="25" spans="1:83" ht="15" customHeight="1" x14ac:dyDescent="0.2">
      <c r="A25" s="99"/>
      <c r="B25">
        <v>178</v>
      </c>
      <c r="C25" s="109">
        <v>-246</v>
      </c>
      <c r="D25">
        <v>-146</v>
      </c>
      <c r="L25" s="98"/>
      <c r="N25" s="99"/>
      <c r="AB25" s="98"/>
      <c r="AN25" s="99">
        <v>11</v>
      </c>
      <c r="AO25" t="s">
        <v>131</v>
      </c>
      <c r="AP25">
        <v>0</v>
      </c>
      <c r="AQ25" s="109">
        <v>3.5</v>
      </c>
      <c r="AR25">
        <v>0</v>
      </c>
      <c r="AS25">
        <v>1</v>
      </c>
      <c r="AT25">
        <v>0</v>
      </c>
      <c r="AU25">
        <v>-9.5</v>
      </c>
      <c r="AV25">
        <v>-4</v>
      </c>
      <c r="AW25">
        <v>-8</v>
      </c>
      <c r="AX25">
        <v>8</v>
      </c>
      <c r="AY25">
        <v>25</v>
      </c>
      <c r="AZ25" cm="1">
        <f t="array" ref="AZ25:AZ28">AY25:AY28/AQ25:AQ28</f>
        <v>7.1428571428571432</v>
      </c>
      <c r="BA25" s="98"/>
    </row>
    <row r="26" spans="1:83" x14ac:dyDescent="0.2">
      <c r="A26" s="99"/>
      <c r="L26" s="98"/>
      <c r="N26" s="99"/>
      <c r="P26" t="s">
        <v>75</v>
      </c>
      <c r="AB26" s="98"/>
      <c r="AN26" s="99">
        <v>7</v>
      </c>
      <c r="AO26" t="s">
        <v>16</v>
      </c>
      <c r="AP26">
        <v>1</v>
      </c>
      <c r="AQ26" s="109">
        <v>7.5</v>
      </c>
      <c r="AR26">
        <v>0</v>
      </c>
      <c r="AS26">
        <v>0</v>
      </c>
      <c r="AT26">
        <v>0</v>
      </c>
      <c r="AU26">
        <v>-11</v>
      </c>
      <c r="AV26">
        <v>-5</v>
      </c>
      <c r="AW26">
        <v>-10.5</v>
      </c>
      <c r="AX26">
        <v>10.5</v>
      </c>
      <c r="AY26">
        <v>43</v>
      </c>
      <c r="AZ26">
        <v>5.7333333333333334</v>
      </c>
      <c r="BA26" s="98"/>
    </row>
    <row r="27" spans="1:83" x14ac:dyDescent="0.2">
      <c r="A27" s="99"/>
      <c r="L27" s="98"/>
      <c r="N27" s="99"/>
      <c r="Q27">
        <v>27</v>
      </c>
      <c r="R27">
        <v>21</v>
      </c>
      <c r="S27">
        <v>24</v>
      </c>
      <c r="T27">
        <v>9</v>
      </c>
      <c r="U27">
        <v>-6</v>
      </c>
      <c r="AB27" s="98"/>
      <c r="AN27" s="99">
        <v>0</v>
      </c>
      <c r="AO27" t="s">
        <v>130</v>
      </c>
      <c r="AP27" s="109">
        <v>0</v>
      </c>
      <c r="AQ27" s="109">
        <v>-1.5</v>
      </c>
      <c r="AR27" s="109">
        <v>0</v>
      </c>
      <c r="AS27" s="109">
        <v>0</v>
      </c>
      <c r="AT27" s="109">
        <v>1</v>
      </c>
      <c r="AU27" s="109">
        <v>7</v>
      </c>
      <c r="AV27" s="109">
        <v>-11</v>
      </c>
      <c r="AW27" s="109">
        <v>-6.5</v>
      </c>
      <c r="AX27" s="109">
        <v>6.5</v>
      </c>
      <c r="AY27" s="109">
        <v>35</v>
      </c>
      <c r="AZ27" s="109">
        <v>-23.333333333333332</v>
      </c>
      <c r="BA27" s="98"/>
    </row>
    <row r="28" spans="1:83" ht="17" thickBot="1" x14ac:dyDescent="0.25">
      <c r="A28" s="99"/>
      <c r="L28" s="98"/>
      <c r="N28" s="99"/>
      <c r="Q28">
        <v>14</v>
      </c>
      <c r="R28">
        <v>10</v>
      </c>
      <c r="S28">
        <v>10</v>
      </c>
      <c r="T28">
        <v>2</v>
      </c>
      <c r="U28">
        <v>4</v>
      </c>
      <c r="AB28" s="98"/>
      <c r="AN28" s="99">
        <v>4</v>
      </c>
      <c r="AO28" t="s">
        <v>131</v>
      </c>
      <c r="AP28">
        <v>0</v>
      </c>
      <c r="AQ28" s="109">
        <v>3.5</v>
      </c>
      <c r="AR28">
        <v>1</v>
      </c>
      <c r="AS28">
        <v>0</v>
      </c>
      <c r="AT28">
        <v>0</v>
      </c>
      <c r="AU28">
        <v>1</v>
      </c>
      <c r="AV28">
        <v>4</v>
      </c>
      <c r="AW28">
        <v>7</v>
      </c>
      <c r="AX28">
        <v>-7</v>
      </c>
      <c r="AY28">
        <v>40</v>
      </c>
      <c r="AZ28">
        <v>11.428571428571429</v>
      </c>
      <c r="BA28" s="98"/>
    </row>
    <row r="29" spans="1:83" ht="17" thickBot="1" x14ac:dyDescent="0.25">
      <c r="A29" s="99"/>
      <c r="E29">
        <v>-6</v>
      </c>
      <c r="F29">
        <v>14</v>
      </c>
      <c r="G29">
        <v>-4</v>
      </c>
      <c r="L29" s="98"/>
      <c r="N29" s="99"/>
      <c r="Q29">
        <v>-6</v>
      </c>
      <c r="R29">
        <v>-6</v>
      </c>
      <c r="S29">
        <v>-9</v>
      </c>
      <c r="T29">
        <v>-6</v>
      </c>
      <c r="U29">
        <v>12</v>
      </c>
      <c r="AB29" s="98"/>
      <c r="AN29" s="99"/>
      <c r="AO29" s="91" t="s">
        <v>22</v>
      </c>
      <c r="AP29" s="89">
        <v>0</v>
      </c>
      <c r="AQ29" s="89">
        <v>95</v>
      </c>
      <c r="AR29" s="89">
        <v>0</v>
      </c>
      <c r="AS29" s="89">
        <v>0</v>
      </c>
      <c r="AT29" s="89">
        <v>0</v>
      </c>
      <c r="AU29" s="89">
        <v>-177.5</v>
      </c>
      <c r="AV29" s="89">
        <v>-163</v>
      </c>
      <c r="AW29" s="89">
        <v>-133.5</v>
      </c>
      <c r="AX29" s="89">
        <v>33.5</v>
      </c>
      <c r="AY29" s="92">
        <v>736</v>
      </c>
      <c r="BA29" s="98"/>
    </row>
    <row r="30" spans="1:83" x14ac:dyDescent="0.2">
      <c r="A30" s="99"/>
      <c r="E30">
        <v>-13</v>
      </c>
      <c r="F30">
        <v>7</v>
      </c>
      <c r="G30">
        <v>13</v>
      </c>
      <c r="L30" s="98"/>
      <c r="N30" s="99"/>
      <c r="AB30" s="98"/>
      <c r="AN30" s="99">
        <v>11</v>
      </c>
      <c r="AP30" cm="1">
        <f t="array" ref="AP30:AY30">AP25:AY25-AQ25*_xlfn.ANCHORARRAY(AP32)</f>
        <v>0</v>
      </c>
      <c r="AQ30">
        <v>0</v>
      </c>
      <c r="AR30">
        <v>0</v>
      </c>
      <c r="AS30">
        <v>1</v>
      </c>
      <c r="AT30">
        <v>2.333333333333333</v>
      </c>
      <c r="AU30">
        <v>6.8333333333333357</v>
      </c>
      <c r="AV30">
        <v>-29.666666666666664</v>
      </c>
      <c r="AW30">
        <v>-23.166666666666664</v>
      </c>
      <c r="AX30">
        <v>23.166666666666664</v>
      </c>
      <c r="AY30">
        <v>106.66666666666666</v>
      </c>
      <c r="BA30" s="98"/>
    </row>
    <row r="31" spans="1:83" x14ac:dyDescent="0.2">
      <c r="A31" s="99"/>
      <c r="E31">
        <v>19</v>
      </c>
      <c r="F31">
        <v>11</v>
      </c>
      <c r="G31">
        <v>15</v>
      </c>
      <c r="L31" s="98"/>
      <c r="N31" s="99"/>
      <c r="AB31" s="98"/>
      <c r="AN31" s="99">
        <v>7</v>
      </c>
      <c r="AP31" cm="1">
        <f t="array" ref="AP31:AY31">AP26:AY26-AQ26*_xlfn.ANCHORARRAY(AP32)</f>
        <v>1</v>
      </c>
      <c r="AQ31">
        <v>0</v>
      </c>
      <c r="AR31">
        <v>0</v>
      </c>
      <c r="AS31">
        <v>0</v>
      </c>
      <c r="AT31">
        <v>5</v>
      </c>
      <c r="AU31">
        <v>24</v>
      </c>
      <c r="AV31">
        <v>-60</v>
      </c>
      <c r="AW31">
        <v>-43</v>
      </c>
      <c r="AX31">
        <v>43</v>
      </c>
      <c r="AY31">
        <v>218</v>
      </c>
      <c r="BA31" s="98"/>
    </row>
    <row r="32" spans="1:83" x14ac:dyDescent="0.2">
      <c r="A32" s="99"/>
      <c r="B32">
        <v>6</v>
      </c>
      <c r="C32">
        <v>12</v>
      </c>
      <c r="D32">
        <v>-6</v>
      </c>
      <c r="E32" s="109" cm="1">
        <f t="array" ref="E32:G34">MMULT(B18:D20,F18:H20)</f>
        <v>-306</v>
      </c>
      <c r="F32" s="109">
        <v>102</v>
      </c>
      <c r="G32" s="109">
        <v>42</v>
      </c>
      <c r="L32" s="98"/>
      <c r="N32" s="99"/>
      <c r="Q32" cm="1">
        <f t="array" ref="Q32:U32">Q27:U27/Q27</f>
        <v>1</v>
      </c>
      <c r="R32">
        <v>0.77777777777777779</v>
      </c>
      <c r="S32">
        <v>0.88888888888888884</v>
      </c>
      <c r="T32">
        <v>0.33333333333333331</v>
      </c>
      <c r="U32">
        <v>-0.22222222222222221</v>
      </c>
      <c r="AB32" s="98"/>
      <c r="AN32" s="99">
        <v>10</v>
      </c>
      <c r="AP32" cm="1">
        <f t="array" ref="AP32:AY32">AP27:AY27/-1.5</f>
        <v>0</v>
      </c>
      <c r="AQ32">
        <v>1</v>
      </c>
      <c r="AR32">
        <v>0</v>
      </c>
      <c r="AS32">
        <v>0</v>
      </c>
      <c r="AT32">
        <v>-0.66666666666666663</v>
      </c>
      <c r="AU32">
        <v>-4.666666666666667</v>
      </c>
      <c r="AV32">
        <v>7.333333333333333</v>
      </c>
      <c r="AW32">
        <v>4.333333333333333</v>
      </c>
      <c r="AX32">
        <v>-4.333333333333333</v>
      </c>
      <c r="AY32">
        <v>-23.333333333333332</v>
      </c>
      <c r="BA32" s="98"/>
    </row>
    <row r="33" spans="1:53" x14ac:dyDescent="0.2">
      <c r="A33" s="99"/>
      <c r="B33">
        <v>15</v>
      </c>
      <c r="C33">
        <v>1</v>
      </c>
      <c r="D33">
        <v>-17</v>
      </c>
      <c r="E33">
        <v>-426</v>
      </c>
      <c r="F33" s="109">
        <v>30</v>
      </c>
      <c r="G33">
        <v>-302</v>
      </c>
      <c r="L33" s="98"/>
      <c r="N33" s="99"/>
      <c r="Q33" cm="1">
        <f t="array" ref="Q33:U33">Q28:U28-Q28*_xlfn.ANCHORARRAY(Q32)</f>
        <v>0</v>
      </c>
      <c r="R33">
        <v>-0.88888888888888928</v>
      </c>
      <c r="S33">
        <v>-2.4444444444444429</v>
      </c>
      <c r="T33">
        <v>-2.6666666666666661</v>
      </c>
      <c r="U33">
        <v>7.1111111111111107</v>
      </c>
      <c r="AB33" s="98"/>
      <c r="AN33" s="99">
        <v>4</v>
      </c>
      <c r="AP33" cm="1">
        <f t="array" ref="AP33:AY33">AP28:AY28-AQ28*_xlfn.ANCHORARRAY(AP32)</f>
        <v>0</v>
      </c>
      <c r="AQ33">
        <v>0</v>
      </c>
      <c r="AR33">
        <v>1</v>
      </c>
      <c r="AS33">
        <v>0</v>
      </c>
      <c r="AT33">
        <v>2.333333333333333</v>
      </c>
      <c r="AU33">
        <v>17.333333333333336</v>
      </c>
      <c r="AV33">
        <v>-21.666666666666664</v>
      </c>
      <c r="AW33">
        <v>-8.1666666666666661</v>
      </c>
      <c r="AX33">
        <v>8.1666666666666661</v>
      </c>
      <c r="AY33">
        <v>121.66666666666666</v>
      </c>
      <c r="BA33" s="98"/>
    </row>
    <row r="34" spans="1:53" x14ac:dyDescent="0.2">
      <c r="A34" s="99"/>
      <c r="B34">
        <v>-10</v>
      </c>
      <c r="C34">
        <v>-12</v>
      </c>
      <c r="D34">
        <v>-2</v>
      </c>
      <c r="E34">
        <v>178</v>
      </c>
      <c r="F34" s="109">
        <v>-246</v>
      </c>
      <c r="G34">
        <v>-146</v>
      </c>
      <c r="L34" s="98"/>
      <c r="N34" s="99"/>
      <c r="AB34" s="98"/>
      <c r="AN34" s="99"/>
      <c r="AO34" t="s">
        <v>22</v>
      </c>
      <c r="AP34">
        <f t="shared" ref="AP34:AY34" si="2">SUMPRODUCT($AN$30:$AN$33,AP30:AP33)-AP23</f>
        <v>0</v>
      </c>
      <c r="AQ34">
        <f t="shared" si="2"/>
        <v>0</v>
      </c>
      <c r="AR34">
        <f t="shared" si="2"/>
        <v>0</v>
      </c>
      <c r="AS34">
        <f t="shared" si="2"/>
        <v>0</v>
      </c>
      <c r="AT34">
        <f t="shared" si="2"/>
        <v>63.333333333333329</v>
      </c>
      <c r="AU34">
        <f t="shared" si="2"/>
        <v>265.83333333333337</v>
      </c>
      <c r="AV34">
        <f t="shared" si="2"/>
        <v>-859.66666666666652</v>
      </c>
      <c r="AW34">
        <f t="shared" si="2"/>
        <v>-545.16666666666652</v>
      </c>
      <c r="AX34">
        <f t="shared" si="2"/>
        <v>445.16666666666652</v>
      </c>
      <c r="AY34">
        <f t="shared" si="2"/>
        <v>2952.6666666666661</v>
      </c>
      <c r="BA34" s="98"/>
    </row>
    <row r="35" spans="1:53" x14ac:dyDescent="0.2">
      <c r="A35" s="99"/>
      <c r="L35" s="98"/>
      <c r="N35" s="99"/>
      <c r="AB35" s="98"/>
      <c r="AN35" s="99"/>
      <c r="BA35" s="98"/>
    </row>
    <row r="36" spans="1:53" x14ac:dyDescent="0.2">
      <c r="A36" s="99"/>
      <c r="L36" s="98"/>
      <c r="N36" s="99"/>
      <c r="AB36" s="98"/>
      <c r="AN36" s="99"/>
      <c r="BA36" s="98"/>
    </row>
    <row r="37" spans="1:53" x14ac:dyDescent="0.2">
      <c r="A37" s="99"/>
      <c r="L37" s="98"/>
      <c r="N37" s="99"/>
      <c r="AB37" s="98"/>
      <c r="AN37" s="99"/>
      <c r="BA37" s="98"/>
    </row>
    <row r="38" spans="1:53" x14ac:dyDescent="0.2">
      <c r="A38" s="99"/>
      <c r="L38" s="98"/>
      <c r="N38" s="99"/>
      <c r="AB38" s="98"/>
      <c r="AN38" s="99"/>
      <c r="BA38" s="98"/>
    </row>
    <row r="39" spans="1:53" x14ac:dyDescent="0.2">
      <c r="A39" s="99"/>
      <c r="L39" s="98"/>
      <c r="N39" s="99"/>
      <c r="AB39" s="98"/>
      <c r="AN39" s="99"/>
      <c r="BA39" s="98"/>
    </row>
    <row r="40" spans="1:53" x14ac:dyDescent="0.2">
      <c r="A40" s="99"/>
      <c r="L40" s="98"/>
      <c r="N40" s="99"/>
      <c r="AB40" s="98"/>
      <c r="AN40" s="99"/>
      <c r="BA40" s="98"/>
    </row>
    <row r="41" spans="1:53" x14ac:dyDescent="0.2">
      <c r="A41" s="99"/>
      <c r="B41" t="s">
        <v>75</v>
      </c>
      <c r="L41" s="98"/>
      <c r="N41" s="99"/>
      <c r="AB41" s="98"/>
      <c r="AN41" s="99"/>
      <c r="BA41" s="98"/>
    </row>
    <row r="42" spans="1:53" x14ac:dyDescent="0.2">
      <c r="A42" s="99"/>
      <c r="L42" s="98"/>
      <c r="N42" s="99"/>
      <c r="AB42" s="98"/>
      <c r="AN42" s="99"/>
      <c r="BA42" s="98"/>
    </row>
    <row r="43" spans="1:53" x14ac:dyDescent="0.2">
      <c r="A43" s="99"/>
      <c r="B43">
        <v>3</v>
      </c>
      <c r="C43">
        <v>-21</v>
      </c>
      <c r="D43">
        <v>-15</v>
      </c>
      <c r="E43">
        <v>18</v>
      </c>
      <c r="L43" s="98"/>
      <c r="N43" s="99"/>
      <c r="AB43" s="98"/>
      <c r="AN43" s="99"/>
      <c r="BA43" s="98"/>
    </row>
    <row r="44" spans="1:53" x14ac:dyDescent="0.2">
      <c r="A44" s="99"/>
      <c r="B44">
        <v>8</v>
      </c>
      <c r="C44">
        <v>0</v>
      </c>
      <c r="D44">
        <v>-14</v>
      </c>
      <c r="E44">
        <v>30</v>
      </c>
      <c r="L44" s="98"/>
      <c r="N44" s="99"/>
      <c r="AB44" s="98"/>
      <c r="AN44" s="99"/>
      <c r="BA44" s="98"/>
    </row>
    <row r="45" spans="1:53" x14ac:dyDescent="0.2">
      <c r="A45" s="99"/>
      <c r="B45">
        <v>-12</v>
      </c>
      <c r="C45">
        <v>-28</v>
      </c>
      <c r="D45">
        <v>8</v>
      </c>
      <c r="E45">
        <v>-36</v>
      </c>
      <c r="L45" s="98"/>
      <c r="N45" s="99"/>
      <c r="AB45" s="98"/>
      <c r="AN45" s="99"/>
      <c r="BA45" s="98"/>
    </row>
    <row r="46" spans="1:53" x14ac:dyDescent="0.2">
      <c r="A46" s="99"/>
      <c r="B46">
        <v>-3</v>
      </c>
      <c r="C46">
        <v>-7</v>
      </c>
      <c r="D46">
        <v>2</v>
      </c>
      <c r="E46">
        <v>-9</v>
      </c>
      <c r="L46" s="98"/>
      <c r="N46" s="99"/>
      <c r="AB46" s="98"/>
      <c r="AN46" s="99"/>
      <c r="BA46" s="98"/>
    </row>
    <row r="47" spans="1:53" x14ac:dyDescent="0.2">
      <c r="A47" s="99"/>
      <c r="L47" s="98"/>
      <c r="N47" s="99"/>
      <c r="AB47" s="98"/>
      <c r="AN47" s="99"/>
      <c r="BA47" s="98"/>
    </row>
    <row r="48" spans="1:53" x14ac:dyDescent="0.2">
      <c r="A48" s="99"/>
      <c r="B48" cm="1">
        <f t="array" ref="B48:E48">B43:E43/3</f>
        <v>1</v>
      </c>
      <c r="C48">
        <v>-7</v>
      </c>
      <c r="D48">
        <v>-5</v>
      </c>
      <c r="E48">
        <v>6</v>
      </c>
      <c r="L48" s="98"/>
      <c r="N48" s="99"/>
      <c r="AB48" s="98"/>
      <c r="AN48" s="99"/>
      <c r="AO48" t="s">
        <v>143</v>
      </c>
      <c r="BA48" s="98"/>
    </row>
    <row r="49" spans="1:53" x14ac:dyDescent="0.2">
      <c r="A49" s="99"/>
      <c r="B49" cm="1">
        <f t="array" ref="B49:E49">_xlfn.ANCHORARRAY(B48)*-8+B44:E44</f>
        <v>0</v>
      </c>
      <c r="C49">
        <v>56</v>
      </c>
      <c r="D49">
        <v>26</v>
      </c>
      <c r="E49">
        <v>-18</v>
      </c>
      <c r="L49" s="98"/>
      <c r="N49" s="99"/>
      <c r="AB49" s="98"/>
      <c r="AN49" s="99"/>
      <c r="BA49" s="98"/>
    </row>
    <row r="50" spans="1:53" ht="19" x14ac:dyDescent="0.2">
      <c r="A50" s="99"/>
      <c r="B50" cm="1">
        <f t="array" ref="B50:E50">_xlfn.ANCHORARRAY(B48)*12+B45:E45</f>
        <v>0</v>
      </c>
      <c r="C50">
        <v>-112</v>
      </c>
      <c r="D50">
        <v>-52</v>
      </c>
      <c r="E50">
        <v>36</v>
      </c>
      <c r="L50" s="98"/>
      <c r="N50" s="99"/>
      <c r="AB50" s="98"/>
      <c r="AN50" s="99"/>
      <c r="AP50" s="111">
        <v>11</v>
      </c>
      <c r="AQ50" s="111">
        <v>12</v>
      </c>
      <c r="AR50" s="111">
        <v>5</v>
      </c>
      <c r="AS50" s="111">
        <v>9</v>
      </c>
      <c r="AT50" s="111">
        <v>0</v>
      </c>
      <c r="AU50" s="111">
        <v>0</v>
      </c>
      <c r="AV50" s="111">
        <v>100</v>
      </c>
      <c r="AW50" s="111">
        <v>0</v>
      </c>
      <c r="AX50" s="111">
        <v>100</v>
      </c>
      <c r="BA50" s="98"/>
    </row>
    <row r="51" spans="1:53" ht="19" x14ac:dyDescent="0.2">
      <c r="A51" s="99"/>
      <c r="B51" cm="1">
        <f t="array" ref="B51:E51">_xlfn.ANCHORARRAY(B48)*3+B46:E46</f>
        <v>0</v>
      </c>
      <c r="C51">
        <v>-28</v>
      </c>
      <c r="D51">
        <v>-13</v>
      </c>
      <c r="E51">
        <v>9</v>
      </c>
      <c r="L51" s="98"/>
      <c r="N51" s="99"/>
      <c r="P51" t="s">
        <v>76</v>
      </c>
      <c r="AB51" s="98"/>
      <c r="AN51" s="99"/>
      <c r="AO51" s="111"/>
      <c r="AP51" s="111" t="s">
        <v>133</v>
      </c>
      <c r="AQ51" s="111" t="s">
        <v>134</v>
      </c>
      <c r="AR51" s="111" t="s">
        <v>135</v>
      </c>
      <c r="AS51" s="111" t="s">
        <v>136</v>
      </c>
      <c r="AT51" s="111" t="s">
        <v>137</v>
      </c>
      <c r="AU51" s="111" t="s">
        <v>138</v>
      </c>
      <c r="AV51" s="111" t="s">
        <v>139</v>
      </c>
      <c r="AW51" s="111" t="s">
        <v>140</v>
      </c>
      <c r="AX51" s="111" t="s">
        <v>141</v>
      </c>
      <c r="AY51" s="111" t="s">
        <v>11</v>
      </c>
      <c r="AZ51" s="111" t="s">
        <v>23</v>
      </c>
      <c r="BA51" s="98"/>
    </row>
    <row r="52" spans="1:53" ht="19" x14ac:dyDescent="0.2">
      <c r="A52" s="99"/>
      <c r="L52" s="98"/>
      <c r="N52" s="99"/>
      <c r="Q52">
        <v>-18</v>
      </c>
      <c r="R52">
        <v>-14</v>
      </c>
      <c r="S52">
        <v>-4</v>
      </c>
      <c r="V52" t="s">
        <v>184</v>
      </c>
      <c r="AB52" s="98"/>
      <c r="AN52" s="99"/>
      <c r="AO52" s="111">
        <v>100</v>
      </c>
      <c r="AP52" s="111">
        <v>-1.5</v>
      </c>
      <c r="AQ52" s="112">
        <v>9</v>
      </c>
      <c r="AR52" s="111">
        <v>-4</v>
      </c>
      <c r="AS52" s="111">
        <v>0</v>
      </c>
      <c r="AT52" s="111">
        <v>0</v>
      </c>
      <c r="AU52" s="111">
        <v>-10</v>
      </c>
      <c r="AV52" s="111">
        <v>1</v>
      </c>
      <c r="AW52" s="111">
        <v>0</v>
      </c>
      <c r="AX52" s="111">
        <v>0</v>
      </c>
      <c r="AY52" s="111">
        <v>40</v>
      </c>
      <c r="AZ52" cm="1">
        <f t="array" ref="AZ52:AZ55">AY52:AY55/AQ52:AQ55</f>
        <v>4.4444444444444446</v>
      </c>
      <c r="BA52" s="98"/>
    </row>
    <row r="53" spans="1:53" ht="19" x14ac:dyDescent="0.2">
      <c r="A53" s="99"/>
      <c r="B53" cm="1">
        <f t="array" ref="B53:E53">B54:E54*7+B48:E48</f>
        <v>1</v>
      </c>
      <c r="C53">
        <v>0</v>
      </c>
      <c r="D53">
        <v>-1.75</v>
      </c>
      <c r="E53">
        <v>3.75</v>
      </c>
      <c r="L53" s="98"/>
      <c r="N53" s="99"/>
      <c r="Q53">
        <v>6</v>
      </c>
      <c r="R53">
        <v>0</v>
      </c>
      <c r="S53">
        <v>-20</v>
      </c>
      <c r="AB53" s="98"/>
      <c r="AN53" s="99"/>
      <c r="AO53" s="111">
        <v>9</v>
      </c>
      <c r="AP53" s="111">
        <v>0</v>
      </c>
      <c r="AQ53" s="112">
        <v>9.5</v>
      </c>
      <c r="AR53" s="111">
        <v>7.5</v>
      </c>
      <c r="AS53" s="111">
        <v>1</v>
      </c>
      <c r="AT53" s="111">
        <v>0</v>
      </c>
      <c r="AU53" s="111">
        <v>-12</v>
      </c>
      <c r="AV53" s="111">
        <v>0</v>
      </c>
      <c r="AW53" s="111">
        <v>0</v>
      </c>
      <c r="AX53" s="111">
        <v>0</v>
      </c>
      <c r="AY53" s="111">
        <v>28</v>
      </c>
      <c r="AZ53">
        <v>2.9473684210526314</v>
      </c>
      <c r="BA53" s="98"/>
    </row>
    <row r="54" spans="1:53" ht="19" x14ac:dyDescent="0.2">
      <c r="A54" s="99"/>
      <c r="B54" cm="1">
        <f t="array" ref="B54:E54">_xlfn.ANCHORARRAY(B49)/56</f>
        <v>0</v>
      </c>
      <c r="C54">
        <v>1</v>
      </c>
      <c r="D54">
        <v>0.4642857142857143</v>
      </c>
      <c r="E54">
        <v>-0.32142857142857145</v>
      </c>
      <c r="L54" s="98"/>
      <c r="N54" s="99"/>
      <c r="Q54">
        <v>-6</v>
      </c>
      <c r="R54">
        <v>-7</v>
      </c>
      <c r="S54">
        <v>-12</v>
      </c>
      <c r="AB54" s="98"/>
      <c r="AN54" s="99"/>
      <c r="AO54" s="111">
        <v>0</v>
      </c>
      <c r="AP54" s="112">
        <v>-6.5</v>
      </c>
      <c r="AQ54" s="112">
        <v>10</v>
      </c>
      <c r="AR54" s="112">
        <v>-5.5</v>
      </c>
      <c r="AS54" s="112">
        <v>0</v>
      </c>
      <c r="AT54" s="112">
        <v>1</v>
      </c>
      <c r="AU54" s="112">
        <v>-11</v>
      </c>
      <c r="AV54" s="112">
        <v>0</v>
      </c>
      <c r="AW54" s="112">
        <v>0</v>
      </c>
      <c r="AX54" s="112">
        <v>0</v>
      </c>
      <c r="AY54" s="112">
        <v>29</v>
      </c>
      <c r="AZ54">
        <v>2.9</v>
      </c>
      <c r="BA54" s="98"/>
    </row>
    <row r="55" spans="1:53" ht="20" thickBot="1" x14ac:dyDescent="0.25">
      <c r="A55" s="99"/>
      <c r="B55" cm="1">
        <f t="array" ref="B55:E55">_xlfn.ANCHORARRAY(B54)*112+_xlfn.ANCHORARRAY(B50)</f>
        <v>0</v>
      </c>
      <c r="C55">
        <v>0</v>
      </c>
      <c r="D55">
        <v>0</v>
      </c>
      <c r="E55">
        <v>0</v>
      </c>
      <c r="L55" s="98"/>
      <c r="N55" s="99"/>
      <c r="AB55" s="98"/>
      <c r="AN55" s="99"/>
      <c r="AO55" s="111">
        <v>0</v>
      </c>
      <c r="AP55" s="111">
        <v>-11.5</v>
      </c>
      <c r="AQ55" s="112">
        <v>7.5</v>
      </c>
      <c r="AR55" s="111">
        <v>9.5</v>
      </c>
      <c r="AS55" s="111">
        <v>0</v>
      </c>
      <c r="AT55" s="111">
        <v>0</v>
      </c>
      <c r="AU55" s="111">
        <v>-1.5</v>
      </c>
      <c r="AV55" s="111">
        <v>0</v>
      </c>
      <c r="AW55" s="111">
        <v>1</v>
      </c>
      <c r="AX55" s="111">
        <v>-1</v>
      </c>
      <c r="AY55" s="111">
        <v>32</v>
      </c>
      <c r="AZ55">
        <v>4.2666666666666666</v>
      </c>
      <c r="BA55" s="98"/>
    </row>
    <row r="56" spans="1:53" ht="20" thickBot="1" x14ac:dyDescent="0.25">
      <c r="A56" s="99"/>
      <c r="B56" cm="1">
        <f t="array" ref="B56:E56">_xlfn.ANCHORARRAY(B54)*28+_xlfn.ANCHORARRAY(B51)</f>
        <v>0</v>
      </c>
      <c r="C56">
        <v>0</v>
      </c>
      <c r="D56">
        <v>0</v>
      </c>
      <c r="E56">
        <v>0</v>
      </c>
      <c r="L56" s="98"/>
      <c r="N56" s="99"/>
      <c r="AB56" s="98"/>
      <c r="AN56" s="99"/>
      <c r="AO56" s="93" t="s">
        <v>142</v>
      </c>
      <c r="AP56" s="94">
        <f t="shared" ref="AP56:AY56" si="3">SUMPRODUCT($AO$52:$AO$55,AP52:AP55)-AP50</f>
        <v>-161</v>
      </c>
      <c r="AQ56" s="94">
        <f t="shared" si="3"/>
        <v>973.5</v>
      </c>
      <c r="AR56" s="94">
        <f t="shared" si="3"/>
        <v>-337.5</v>
      </c>
      <c r="AS56" s="94">
        <f t="shared" si="3"/>
        <v>0</v>
      </c>
      <c r="AT56" s="94">
        <f t="shared" si="3"/>
        <v>0</v>
      </c>
      <c r="AU56" s="94">
        <f t="shared" si="3"/>
        <v>-1108</v>
      </c>
      <c r="AV56" s="94">
        <f t="shared" si="3"/>
        <v>0</v>
      </c>
      <c r="AW56" s="94">
        <f t="shared" si="3"/>
        <v>0</v>
      </c>
      <c r="AX56" s="94">
        <f t="shared" si="3"/>
        <v>-100</v>
      </c>
      <c r="AY56" s="95">
        <f t="shared" si="3"/>
        <v>4252</v>
      </c>
      <c r="BA56" s="98"/>
    </row>
    <row r="57" spans="1:53" ht="19" x14ac:dyDescent="0.2">
      <c r="A57" s="99"/>
      <c r="L57" s="98"/>
      <c r="N57" s="99"/>
      <c r="Q57" s="71">
        <f>MDETERM(Q52:S54)</f>
        <v>4.4764192352886302E-13</v>
      </c>
      <c r="AB57" s="98"/>
      <c r="AN57" s="99"/>
      <c r="AO57" s="111">
        <v>100</v>
      </c>
      <c r="AP57" s="109" cm="1">
        <f t="array" ref="AP57:AY57">AP52:AY52-AQ52*_xlfn.ANCHORARRAY(AP59)</f>
        <v>4.3500000000000005</v>
      </c>
      <c r="AQ57">
        <v>0</v>
      </c>
      <c r="AR57">
        <v>0.95000000000000018</v>
      </c>
      <c r="AS57">
        <v>0</v>
      </c>
      <c r="AT57">
        <v>-0.9</v>
      </c>
      <c r="AU57">
        <v>-9.9999999999999645E-2</v>
      </c>
      <c r="AV57">
        <v>1</v>
      </c>
      <c r="AW57">
        <v>0</v>
      </c>
      <c r="AX57">
        <v>0</v>
      </c>
      <c r="AY57">
        <v>13.900000000000002</v>
      </c>
      <c r="AZ57" cm="1">
        <f t="array" ref="AZ57:AZ60">AY57:AY60/AP57:AP60</f>
        <v>3.195402298850575</v>
      </c>
      <c r="BA57" s="98"/>
    </row>
    <row r="58" spans="1:53" ht="19" x14ac:dyDescent="0.2">
      <c r="A58" s="99"/>
      <c r="L58" s="98"/>
      <c r="N58" s="99"/>
      <c r="AB58" s="98"/>
      <c r="AN58" s="99"/>
      <c r="AO58" s="111">
        <v>9</v>
      </c>
      <c r="AP58" s="109" cm="1">
        <f t="array" ref="AP58:AY58">AP53:AY53-AQ53*_xlfn.ANCHORARRAY(AP59)</f>
        <v>6.1749999999999998</v>
      </c>
      <c r="AQ58">
        <v>0</v>
      </c>
      <c r="AR58">
        <v>12.725000000000001</v>
      </c>
      <c r="AS58">
        <v>1</v>
      </c>
      <c r="AT58">
        <v>-0.95000000000000007</v>
      </c>
      <c r="AU58">
        <v>-1.5499999999999989</v>
      </c>
      <c r="AV58">
        <v>0</v>
      </c>
      <c r="AW58">
        <v>0</v>
      </c>
      <c r="AX58">
        <v>0</v>
      </c>
      <c r="AY58">
        <v>0.44999999999999929</v>
      </c>
      <c r="AZ58">
        <v>7.2874493927125389E-2</v>
      </c>
      <c r="BA58" s="98"/>
    </row>
    <row r="59" spans="1:53" x14ac:dyDescent="0.2">
      <c r="A59" s="99"/>
      <c r="L59" s="98"/>
      <c r="N59" s="99"/>
      <c r="AB59" s="98"/>
      <c r="AN59" s="99"/>
      <c r="AO59">
        <v>12</v>
      </c>
      <c r="AP59" s="109" cm="1">
        <f t="array" ref="AP59:AY59">AP54:AY54/10</f>
        <v>-0.65</v>
      </c>
      <c r="AQ59">
        <v>1</v>
      </c>
      <c r="AR59">
        <v>-0.55000000000000004</v>
      </c>
      <c r="AS59">
        <v>0</v>
      </c>
      <c r="AT59">
        <v>0.1</v>
      </c>
      <c r="AU59">
        <v>-1.1000000000000001</v>
      </c>
      <c r="AV59">
        <v>0</v>
      </c>
      <c r="AW59">
        <v>0</v>
      </c>
      <c r="AX59">
        <v>0</v>
      </c>
      <c r="AY59">
        <v>2.9</v>
      </c>
      <c r="AZ59">
        <v>-4.4615384615384617</v>
      </c>
      <c r="BA59" s="98"/>
    </row>
    <row r="60" spans="1:53" ht="20" thickBot="1" x14ac:dyDescent="0.25">
      <c r="A60" s="99"/>
      <c r="L60" s="98"/>
      <c r="N60" s="99"/>
      <c r="AB60" s="98"/>
      <c r="AN60" s="99"/>
      <c r="AO60" s="111">
        <v>0</v>
      </c>
      <c r="AP60" s="109" cm="1">
        <f t="array" ref="AP60:AY60">AP55:AY55-AQ55*_xlfn.ANCHORARRAY(AP59)</f>
        <v>-6.625</v>
      </c>
      <c r="AQ60">
        <v>0</v>
      </c>
      <c r="AR60">
        <v>13.625</v>
      </c>
      <c r="AS60">
        <v>0</v>
      </c>
      <c r="AT60">
        <v>-0.75</v>
      </c>
      <c r="AU60">
        <v>6.75</v>
      </c>
      <c r="AV60">
        <v>0</v>
      </c>
      <c r="AW60">
        <v>1</v>
      </c>
      <c r="AX60">
        <v>-1</v>
      </c>
      <c r="AY60">
        <v>10.25</v>
      </c>
      <c r="AZ60">
        <v>-1.5471698113207548</v>
      </c>
      <c r="BA60" s="98"/>
    </row>
    <row r="61" spans="1:53" ht="17" thickBot="1" x14ac:dyDescent="0.25">
      <c r="A61" s="99"/>
      <c r="L61" s="98"/>
      <c r="N61" s="99"/>
      <c r="P61" t="s">
        <v>77</v>
      </c>
      <c r="U61" t="s">
        <v>186</v>
      </c>
      <c r="Y61" t="s">
        <v>185</v>
      </c>
      <c r="AB61" s="98"/>
      <c r="AN61" s="99"/>
      <c r="AO61" s="91" t="s">
        <v>22</v>
      </c>
      <c r="AP61" s="89">
        <f t="shared" ref="AP61:AY61" si="4">SUMPRODUCT($AO$57:$AO$60,AP57:AP60)-AP50</f>
        <v>471.77500000000003</v>
      </c>
      <c r="AQ61" s="89">
        <f t="shared" si="4"/>
        <v>0</v>
      </c>
      <c r="AR61" s="89">
        <f t="shared" si="4"/>
        <v>197.92500000000004</v>
      </c>
      <c r="AS61" s="89">
        <f t="shared" si="4"/>
        <v>0</v>
      </c>
      <c r="AT61" s="89">
        <f t="shared" si="4"/>
        <v>-97.35</v>
      </c>
      <c r="AU61" s="89">
        <f t="shared" si="4"/>
        <v>-37.149999999999956</v>
      </c>
      <c r="AV61" s="89">
        <f t="shared" si="4"/>
        <v>0</v>
      </c>
      <c r="AW61" s="89">
        <f t="shared" si="4"/>
        <v>0</v>
      </c>
      <c r="AX61" s="89">
        <f t="shared" si="4"/>
        <v>-100</v>
      </c>
      <c r="AY61" s="92">
        <f t="shared" si="4"/>
        <v>1428.8500000000001</v>
      </c>
      <c r="BA61" s="98"/>
    </row>
    <row r="62" spans="1:53" x14ac:dyDescent="0.2">
      <c r="A62" s="99"/>
      <c r="B62" t="s">
        <v>76</v>
      </c>
      <c r="L62" s="98"/>
      <c r="N62" s="99"/>
      <c r="Q62">
        <v>16</v>
      </c>
      <c r="R62">
        <v>8</v>
      </c>
      <c r="S62">
        <v>-6</v>
      </c>
      <c r="U62" cm="1">
        <f t="array" ref="U62:W64">MINVERSE(Q62:S64)</f>
        <v>0</v>
      </c>
      <c r="V62">
        <v>6.6666666666666666E-2</v>
      </c>
      <c r="W62">
        <v>-3.9999999999999994E-2</v>
      </c>
      <c r="X62" t="s">
        <v>187</v>
      </c>
      <c r="Y62">
        <v>152</v>
      </c>
      <c r="AB62" s="98"/>
      <c r="AN62" s="99"/>
      <c r="BA62" s="98"/>
    </row>
    <row r="63" spans="1:53" x14ac:dyDescent="0.2">
      <c r="A63" s="99"/>
      <c r="L63" s="98"/>
      <c r="N63" s="99"/>
      <c r="Q63">
        <v>3</v>
      </c>
      <c r="R63">
        <v>-6</v>
      </c>
      <c r="S63">
        <v>3</v>
      </c>
      <c r="U63">
        <v>-0.25</v>
      </c>
      <c r="V63">
        <v>-0.13333333333333333</v>
      </c>
      <c r="W63">
        <v>-0.22</v>
      </c>
      <c r="X63" t="s">
        <v>187</v>
      </c>
      <c r="Y63">
        <v>111</v>
      </c>
      <c r="AB63" s="98"/>
      <c r="AN63" s="99"/>
      <c r="BA63" s="98"/>
    </row>
    <row r="64" spans="1:53" x14ac:dyDescent="0.2">
      <c r="A64" s="99"/>
      <c r="B64">
        <v>12</v>
      </c>
      <c r="C64">
        <v>-13</v>
      </c>
      <c r="D64">
        <v>7</v>
      </c>
      <c r="F64" s="71">
        <v>12</v>
      </c>
      <c r="G64" s="71">
        <v>-13</v>
      </c>
      <c r="H64" s="71">
        <v>7</v>
      </c>
      <c r="I64" s="71">
        <v>1</v>
      </c>
      <c r="J64" s="71">
        <v>0</v>
      </c>
      <c r="K64" s="71">
        <v>0</v>
      </c>
      <c r="L64" s="98"/>
      <c r="N64" s="99"/>
      <c r="Q64">
        <v>-20</v>
      </c>
      <c r="R64">
        <v>-10</v>
      </c>
      <c r="S64">
        <v>5</v>
      </c>
      <c r="U64">
        <v>-0.5</v>
      </c>
      <c r="V64">
        <v>0</v>
      </c>
      <c r="W64">
        <v>-0.4</v>
      </c>
      <c r="X64" t="s">
        <v>187</v>
      </c>
      <c r="Y64">
        <v>-240</v>
      </c>
      <c r="AB64" s="98"/>
      <c r="AN64" s="99"/>
      <c r="BA64" s="98"/>
    </row>
    <row r="65" spans="1:53" ht="17" thickBot="1" x14ac:dyDescent="0.25">
      <c r="A65" s="99"/>
      <c r="B65">
        <v>-18</v>
      </c>
      <c r="C65">
        <v>20</v>
      </c>
      <c r="D65">
        <v>-13</v>
      </c>
      <c r="F65" s="71">
        <v>-18</v>
      </c>
      <c r="G65" s="71">
        <v>20</v>
      </c>
      <c r="H65" s="71">
        <v>-13</v>
      </c>
      <c r="I65" s="71">
        <v>0</v>
      </c>
      <c r="J65" s="71">
        <v>1</v>
      </c>
      <c r="K65" s="71">
        <v>0</v>
      </c>
      <c r="L65" s="98"/>
      <c r="N65" s="99"/>
      <c r="AB65" s="98"/>
      <c r="AN65" s="107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2"/>
    </row>
    <row r="66" spans="1:53" x14ac:dyDescent="0.2">
      <c r="A66" s="99"/>
      <c r="B66">
        <v>-4</v>
      </c>
      <c r="C66">
        <v>8</v>
      </c>
      <c r="D66">
        <v>9</v>
      </c>
      <c r="F66" s="71">
        <v>-4</v>
      </c>
      <c r="G66" s="71">
        <v>8</v>
      </c>
      <c r="H66" s="71">
        <v>9</v>
      </c>
      <c r="I66" s="71">
        <v>0</v>
      </c>
      <c r="J66" s="71">
        <v>0</v>
      </c>
      <c r="K66" s="71">
        <v>1</v>
      </c>
      <c r="L66" s="98"/>
      <c r="N66" s="99"/>
      <c r="AB66" s="98"/>
    </row>
    <row r="67" spans="1:53" x14ac:dyDescent="0.2">
      <c r="A67" s="99"/>
      <c r="F67" s="71"/>
      <c r="G67" s="71"/>
      <c r="H67" s="71"/>
      <c r="I67" s="71"/>
      <c r="J67" s="71"/>
      <c r="K67" s="71"/>
      <c r="L67" s="98"/>
      <c r="N67" s="99"/>
      <c r="P67" s="79" t="s">
        <v>185</v>
      </c>
      <c r="Q67">
        <v>152</v>
      </c>
      <c r="R67">
        <v>111</v>
      </c>
      <c r="S67">
        <v>-240</v>
      </c>
      <c r="AB67" s="98"/>
    </row>
    <row r="68" spans="1:53" x14ac:dyDescent="0.2">
      <c r="A68" s="99"/>
      <c r="B68" s="71" cm="1">
        <f t="array" ref="B68:D70">MINVERSE(B64:D66)</f>
        <v>1.5955056179775307</v>
      </c>
      <c r="C68" s="71">
        <v>0.97191011235955238</v>
      </c>
      <c r="D68" s="71">
        <v>0.16292134831460706</v>
      </c>
      <c r="F68" s="71" cm="1">
        <f t="array" ref="F68:K68">F64:K64/12</f>
        <v>1</v>
      </c>
      <c r="G68" s="71">
        <v>-1.0833333333333333</v>
      </c>
      <c r="H68" s="71">
        <v>0.58333333333333337</v>
      </c>
      <c r="I68" s="71">
        <v>8.3333333333333329E-2</v>
      </c>
      <c r="J68" s="71">
        <v>0</v>
      </c>
      <c r="K68" s="71">
        <v>0</v>
      </c>
      <c r="L68" s="98"/>
      <c r="N68" s="99"/>
      <c r="X68">
        <v>152</v>
      </c>
      <c r="AB68" s="98"/>
    </row>
    <row r="69" spans="1:53" x14ac:dyDescent="0.2">
      <c r="A69" s="99"/>
      <c r="B69" s="71">
        <v>1.202247191011238</v>
      </c>
      <c r="C69" s="71">
        <v>0.76404494382022603</v>
      </c>
      <c r="D69" s="71">
        <v>0.16853932584269687</v>
      </c>
      <c r="F69" s="71" cm="1">
        <f t="array" ref="F69:K69">_xlfn.ANCHORARRAY(F68)*18+F65:K65</f>
        <v>0</v>
      </c>
      <c r="G69" s="71">
        <v>0.5</v>
      </c>
      <c r="H69" s="71">
        <v>-2.5</v>
      </c>
      <c r="I69" s="71">
        <v>1.5</v>
      </c>
      <c r="J69" s="71">
        <v>1</v>
      </c>
      <c r="K69" s="71">
        <v>0</v>
      </c>
      <c r="L69" s="98"/>
      <c r="N69" s="99"/>
      <c r="X69">
        <v>111</v>
      </c>
      <c r="AB69" s="98"/>
    </row>
    <row r="70" spans="1:53" x14ac:dyDescent="0.2">
      <c r="A70" s="99"/>
      <c r="B70" s="71">
        <v>-0.35955056179775341</v>
      </c>
      <c r="C70" s="71">
        <v>-0.24719101123595541</v>
      </c>
      <c r="D70" s="71">
        <v>3.3707865168539262E-2</v>
      </c>
      <c r="F70" s="71" cm="1">
        <f t="array" ref="F70:K70">_xlfn.ANCHORARRAY(F68)*4+F66:K66</f>
        <v>0</v>
      </c>
      <c r="G70" s="71">
        <v>3.666666666666667</v>
      </c>
      <c r="H70" s="71">
        <v>11.333333333333334</v>
      </c>
      <c r="I70" s="71">
        <v>0.33333333333333331</v>
      </c>
      <c r="J70" s="71">
        <v>0</v>
      </c>
      <c r="K70" s="71">
        <v>1</v>
      </c>
      <c r="L70" s="98"/>
      <c r="N70" s="99"/>
      <c r="X70">
        <v>-240</v>
      </c>
      <c r="AB70" s="98"/>
    </row>
    <row r="71" spans="1:53" x14ac:dyDescent="0.2">
      <c r="A71" s="99"/>
      <c r="F71" s="71"/>
      <c r="G71" s="71"/>
      <c r="H71" s="71"/>
      <c r="I71" s="71"/>
      <c r="J71" s="71"/>
      <c r="K71" s="71"/>
      <c r="L71" s="98"/>
      <c r="N71" s="99"/>
      <c r="U71" cm="1">
        <f t="array" ref="U71:W73">MINVERSE(Q62:S64)</f>
        <v>0</v>
      </c>
      <c r="V71">
        <v>6.6666666666666666E-2</v>
      </c>
      <c r="W71">
        <v>-3.9999999999999994E-2</v>
      </c>
      <c r="X71">
        <v>17</v>
      </c>
      <c r="AB71" s="98"/>
    </row>
    <row r="72" spans="1:53" x14ac:dyDescent="0.2">
      <c r="A72" s="99"/>
      <c r="F72" s="71" cm="1">
        <f t="array" ref="F72:K72">_xlfn.ANCHORARRAY(F73)*1.08+_xlfn.ANCHORARRAY(F68)</f>
        <v>1</v>
      </c>
      <c r="G72" s="71">
        <v>-3.3333333333331883E-3</v>
      </c>
      <c r="H72" s="71">
        <v>-4.8166666666666673</v>
      </c>
      <c r="I72" s="71">
        <v>3.3233333333333337</v>
      </c>
      <c r="J72" s="71">
        <v>2.16</v>
      </c>
      <c r="K72" s="71">
        <v>0</v>
      </c>
      <c r="L72" s="98"/>
      <c r="N72" s="99"/>
      <c r="U72">
        <v>-0.25</v>
      </c>
      <c r="V72">
        <v>-0.13333333333333333</v>
      </c>
      <c r="W72">
        <v>-0.22</v>
      </c>
      <c r="X72">
        <v>0</v>
      </c>
      <c r="AB72" s="98"/>
    </row>
    <row r="73" spans="1:53" x14ac:dyDescent="0.2">
      <c r="A73" s="99"/>
      <c r="F73" s="71" cm="1">
        <f t="array" ref="F73:K73">_xlfn.ANCHORARRAY(F69)/0.5</f>
        <v>0</v>
      </c>
      <c r="G73" s="71">
        <v>1</v>
      </c>
      <c r="H73" s="71">
        <v>-5</v>
      </c>
      <c r="I73" s="71">
        <v>3</v>
      </c>
      <c r="J73" s="71">
        <v>2</v>
      </c>
      <c r="K73" s="71">
        <v>0</v>
      </c>
      <c r="L73" s="98"/>
      <c r="N73" s="99"/>
      <c r="U73">
        <v>-0.5</v>
      </c>
      <c r="V73">
        <v>0</v>
      </c>
      <c r="W73">
        <v>-0.4</v>
      </c>
      <c r="X73">
        <v>20</v>
      </c>
      <c r="AB73" s="98"/>
    </row>
    <row r="74" spans="1:53" x14ac:dyDescent="0.2">
      <c r="A74" s="99"/>
      <c r="F74" s="71" cm="1">
        <f t="array" ref="F74:K74">_xlfn.ANCHORARRAY(F73)*-3.67+_xlfn.ANCHORARRAY(F70)</f>
        <v>0</v>
      </c>
      <c r="G74" s="71">
        <v>-3.3333333333329662E-3</v>
      </c>
      <c r="H74" s="71">
        <v>29.683333333333337</v>
      </c>
      <c r="I74" s="71">
        <v>-10.676666666666666</v>
      </c>
      <c r="J74" s="71">
        <v>-7.34</v>
      </c>
      <c r="K74" s="71">
        <v>1</v>
      </c>
      <c r="L74" s="98"/>
      <c r="N74" s="99"/>
      <c r="AB74" s="98"/>
    </row>
    <row r="75" spans="1:53" x14ac:dyDescent="0.2">
      <c r="A75" s="99"/>
      <c r="F75" s="71"/>
      <c r="G75" s="71"/>
      <c r="H75" s="71"/>
      <c r="I75" s="71"/>
      <c r="J75" s="71"/>
      <c r="K75" s="71"/>
      <c r="L75" s="98"/>
      <c r="N75" s="99"/>
      <c r="AB75" s="98"/>
    </row>
    <row r="76" spans="1:53" x14ac:dyDescent="0.2">
      <c r="A76" s="99"/>
      <c r="F76" s="71" cm="1">
        <f t="array" ref="F76:K76">_xlfn.ANCHORARRAY(F78)*4.82+_xlfn.ANCHORARRAY(F72)</f>
        <v>1</v>
      </c>
      <c r="G76" s="71">
        <v>-3.8746630727760755E-3</v>
      </c>
      <c r="H76" s="71">
        <v>3.8746630727768405E-3</v>
      </c>
      <c r="I76" s="71">
        <v>1.5894541778975746</v>
      </c>
      <c r="J76" s="71">
        <v>0.96799191374663085</v>
      </c>
      <c r="K76" s="71">
        <v>0.1623989218328841</v>
      </c>
      <c r="L76" s="98"/>
      <c r="N76" s="99"/>
      <c r="AB76" s="98"/>
    </row>
    <row r="77" spans="1:53" x14ac:dyDescent="0.2">
      <c r="A77" s="99"/>
      <c r="F77" s="71" cm="1">
        <f t="array" ref="F77:K77">_xlfn.ANCHORARRAY(F78)*5+_xlfn.ANCHORARRAY(F73)</f>
        <v>0</v>
      </c>
      <c r="G77" s="71">
        <v>0.99943845462713399</v>
      </c>
      <c r="H77" s="71">
        <v>5.6154537286712269E-4</v>
      </c>
      <c r="I77" s="71">
        <v>1.2013701707097937</v>
      </c>
      <c r="J77" s="71">
        <v>0.76347708894878696</v>
      </c>
      <c r="K77" s="71">
        <v>0.16846361185983827</v>
      </c>
      <c r="L77" s="98"/>
      <c r="N77" s="99"/>
      <c r="AB77" s="98"/>
    </row>
    <row r="78" spans="1:53" x14ac:dyDescent="0.2">
      <c r="A78" s="99"/>
      <c r="F78" s="71" cm="1">
        <f t="array" ref="F78:K78">_xlfn.ANCHORARRAY(F74)/29.68</f>
        <v>0</v>
      </c>
      <c r="G78" s="71">
        <v>-1.1230907457321315E-4</v>
      </c>
      <c r="H78" s="71">
        <v>1.0001123090745734</v>
      </c>
      <c r="I78" s="71">
        <v>-0.35972596585804129</v>
      </c>
      <c r="J78" s="71">
        <v>-0.2473045822102426</v>
      </c>
      <c r="K78" s="71">
        <v>3.3692722371967652E-2</v>
      </c>
      <c r="L78" s="98"/>
      <c r="N78" s="99"/>
      <c r="AB78" s="98"/>
    </row>
    <row r="79" spans="1:53" x14ac:dyDescent="0.2">
      <c r="A79" s="99"/>
      <c r="F79" s="71"/>
      <c r="G79" s="71"/>
      <c r="H79" s="71"/>
      <c r="I79" s="71"/>
      <c r="J79" s="71"/>
      <c r="K79" s="71"/>
      <c r="L79" s="98"/>
      <c r="N79" s="99"/>
      <c r="P79" t="s">
        <v>78</v>
      </c>
      <c r="AB79" s="98"/>
    </row>
    <row r="80" spans="1:53" x14ac:dyDescent="0.2">
      <c r="A80" s="99"/>
      <c r="F80" s="71"/>
      <c r="G80" s="71"/>
      <c r="H80" s="71"/>
      <c r="I80" s="71"/>
      <c r="J80" s="71"/>
      <c r="K80" s="71"/>
      <c r="L80" s="98"/>
      <c r="N80" s="99"/>
      <c r="Q80">
        <v>2</v>
      </c>
      <c r="R80">
        <v>2</v>
      </c>
      <c r="S80">
        <v>-1</v>
      </c>
      <c r="T80">
        <v>6</v>
      </c>
      <c r="U80">
        <v>133</v>
      </c>
      <c r="AB80" s="98"/>
    </row>
    <row r="81" spans="1:28" x14ac:dyDescent="0.2">
      <c r="A81" s="99"/>
      <c r="F81" s="71"/>
      <c r="G81" s="71"/>
      <c r="H81" s="71"/>
      <c r="I81" s="71"/>
      <c r="J81" s="71"/>
      <c r="K81" s="71"/>
      <c r="L81" s="98"/>
      <c r="N81" s="99"/>
      <c r="Q81">
        <v>-2</v>
      </c>
      <c r="R81">
        <v>-2</v>
      </c>
      <c r="S81">
        <v>-6</v>
      </c>
      <c r="T81">
        <v>-16</v>
      </c>
      <c r="U81">
        <v>-372</v>
      </c>
      <c r="AB81" s="98"/>
    </row>
    <row r="82" spans="1:28" x14ac:dyDescent="0.2">
      <c r="A82" s="99"/>
      <c r="B82" t="s">
        <v>77</v>
      </c>
      <c r="F82" s="71"/>
      <c r="G82" s="71"/>
      <c r="H82" s="71"/>
      <c r="I82" s="71"/>
      <c r="J82" s="71"/>
      <c r="K82" s="71"/>
      <c r="L82" s="98"/>
      <c r="N82" s="99"/>
      <c r="Q82">
        <v>3</v>
      </c>
      <c r="R82">
        <v>-12</v>
      </c>
      <c r="S82">
        <v>-9</v>
      </c>
      <c r="T82">
        <v>3</v>
      </c>
      <c r="U82">
        <v>18</v>
      </c>
      <c r="AB82" s="98"/>
    </row>
    <row r="83" spans="1:28" x14ac:dyDescent="0.2">
      <c r="A83" s="99"/>
      <c r="F83" s="71"/>
      <c r="G83" s="71"/>
      <c r="H83" s="71"/>
      <c r="I83" s="71"/>
      <c r="J83" s="71"/>
      <c r="K83" s="71"/>
      <c r="L83" s="98"/>
      <c r="N83" s="99"/>
      <c r="Q83">
        <v>-10</v>
      </c>
      <c r="R83">
        <v>-5</v>
      </c>
      <c r="S83">
        <v>-5</v>
      </c>
      <c r="T83">
        <v>-30</v>
      </c>
      <c r="U83">
        <v>-730</v>
      </c>
      <c r="AB83" s="98"/>
    </row>
    <row r="84" spans="1:28" x14ac:dyDescent="0.2">
      <c r="A84" s="99"/>
      <c r="B84">
        <v>8</v>
      </c>
      <c r="C84">
        <v>4</v>
      </c>
      <c r="D84">
        <v>-3</v>
      </c>
      <c r="F84" s="71">
        <v>116</v>
      </c>
      <c r="G84" s="71">
        <v>84</v>
      </c>
      <c r="H84" s="71">
        <v>310</v>
      </c>
      <c r="I84" s="71"/>
      <c r="J84" s="71"/>
      <c r="K84" s="71"/>
      <c r="L84" s="98"/>
      <c r="N84" s="99"/>
      <c r="AB84" s="98"/>
    </row>
    <row r="85" spans="1:28" x14ac:dyDescent="0.2">
      <c r="A85" s="99"/>
      <c r="B85">
        <v>-7</v>
      </c>
      <c r="C85">
        <v>14</v>
      </c>
      <c r="D85">
        <v>-7</v>
      </c>
      <c r="F85" s="71"/>
      <c r="G85" s="71"/>
      <c r="H85" s="71"/>
      <c r="I85" s="71"/>
      <c r="J85" s="71"/>
      <c r="K85" s="71"/>
      <c r="L85" s="98"/>
      <c r="N85" s="99"/>
      <c r="AB85" s="98"/>
    </row>
    <row r="86" spans="1:28" x14ac:dyDescent="0.2">
      <c r="A86" s="99"/>
      <c r="B86">
        <v>20</v>
      </c>
      <c r="C86">
        <v>10</v>
      </c>
      <c r="D86">
        <v>-5</v>
      </c>
      <c r="F86" s="71"/>
      <c r="G86" s="71"/>
      <c r="H86" s="71"/>
      <c r="I86" s="71"/>
      <c r="J86" s="71"/>
      <c r="K86" s="71"/>
      <c r="L86" s="98"/>
      <c r="N86" s="99"/>
      <c r="Q86" cm="1">
        <f t="array" ref="Q86:U86">Q80:U80/2</f>
        <v>1</v>
      </c>
      <c r="R86">
        <v>1</v>
      </c>
      <c r="S86">
        <v>-0.5</v>
      </c>
      <c r="T86">
        <v>3</v>
      </c>
      <c r="U86">
        <v>66.5</v>
      </c>
      <c r="AB86" s="98"/>
    </row>
    <row r="87" spans="1:28" x14ac:dyDescent="0.2">
      <c r="A87" s="99"/>
      <c r="F87" s="71"/>
      <c r="G87" s="71"/>
      <c r="H87" s="71"/>
      <c r="I87" s="71"/>
      <c r="J87" s="71"/>
      <c r="K87" s="71"/>
      <c r="L87" s="98"/>
      <c r="N87" s="99"/>
      <c r="Q87" cm="1">
        <f t="array" ref="Q87:U87">Q81:U81+2*_xlfn.ANCHORARRAY(Q86)</f>
        <v>0</v>
      </c>
      <c r="R87">
        <v>0</v>
      </c>
      <c r="S87">
        <v>-7</v>
      </c>
      <c r="T87">
        <v>-10</v>
      </c>
      <c r="U87">
        <v>-239</v>
      </c>
      <c r="AB87" s="98"/>
    </row>
    <row r="88" spans="1:28" x14ac:dyDescent="0.2">
      <c r="A88" s="99"/>
      <c r="F88" s="71"/>
      <c r="G88" s="71"/>
      <c r="H88" s="71"/>
      <c r="I88" s="71"/>
      <c r="J88" s="71"/>
      <c r="K88" s="71"/>
      <c r="L88" s="98"/>
      <c r="N88" s="99"/>
      <c r="Q88" cm="1">
        <f t="array" ref="Q88:U88">Q82:U82-Q82*_xlfn.ANCHORARRAY(Q86)</f>
        <v>0</v>
      </c>
      <c r="R88">
        <v>-15</v>
      </c>
      <c r="S88">
        <v>-7.5</v>
      </c>
      <c r="T88">
        <v>-6</v>
      </c>
      <c r="U88">
        <v>-181.5</v>
      </c>
      <c r="AB88" s="98"/>
    </row>
    <row r="89" spans="1:28" x14ac:dyDescent="0.2">
      <c r="A89" s="99"/>
      <c r="L89" s="98"/>
      <c r="N89" s="99"/>
      <c r="Q89" cm="1">
        <f t="array" ref="Q89:U89">Q83:U83+10*_xlfn.ANCHORARRAY(Q86)</f>
        <v>0</v>
      </c>
      <c r="R89">
        <v>5</v>
      </c>
      <c r="S89">
        <v>-10</v>
      </c>
      <c r="T89">
        <v>0</v>
      </c>
      <c r="U89">
        <v>-65</v>
      </c>
      <c r="AB89" s="98"/>
    </row>
    <row r="90" spans="1:28" x14ac:dyDescent="0.2">
      <c r="A90" s="99"/>
      <c r="L90" s="98"/>
      <c r="N90" s="99"/>
      <c r="AB90" s="98"/>
    </row>
    <row r="91" spans="1:28" x14ac:dyDescent="0.2">
      <c r="A91" s="99"/>
      <c r="B91" t="s">
        <v>78</v>
      </c>
      <c r="L91" s="98"/>
      <c r="N91" s="99"/>
      <c r="AB91" s="98"/>
    </row>
    <row r="92" spans="1:28" x14ac:dyDescent="0.2">
      <c r="A92" s="99"/>
      <c r="B92" s="71"/>
      <c r="C92" s="71"/>
      <c r="D92" s="71"/>
      <c r="E92" s="71"/>
      <c r="F92" s="71"/>
      <c r="L92" s="98"/>
      <c r="N92" s="99"/>
      <c r="Q92" cm="1">
        <f t="array" ref="Q92:U92">_xlfn.ANCHORARRAY(Q86)-R86*_xlfn.ANCHORARRAY(Q94)</f>
        <v>1</v>
      </c>
      <c r="R92">
        <v>0</v>
      </c>
      <c r="S92">
        <v>-1</v>
      </c>
      <c r="T92">
        <v>2.6</v>
      </c>
      <c r="U92">
        <v>54.4</v>
      </c>
      <c r="AB92" s="98"/>
    </row>
    <row r="93" spans="1:28" x14ac:dyDescent="0.2">
      <c r="A93" s="99"/>
      <c r="B93" s="71">
        <v>18</v>
      </c>
      <c r="C93" s="71">
        <v>-3</v>
      </c>
      <c r="D93" s="71">
        <v>6</v>
      </c>
      <c r="E93" s="71">
        <v>6</v>
      </c>
      <c r="F93" s="71">
        <v>-72</v>
      </c>
      <c r="L93" s="98"/>
      <c r="N93" s="99"/>
      <c r="Q93" cm="1">
        <f t="array" ref="Q93:U93">_xlfn.ANCHORARRAY(Q87)-R87*_xlfn.ANCHORARRAY(Q94)</f>
        <v>0</v>
      </c>
      <c r="R93">
        <v>0</v>
      </c>
      <c r="S93">
        <v>-7</v>
      </c>
      <c r="T93">
        <v>-10</v>
      </c>
      <c r="U93">
        <v>-239</v>
      </c>
      <c r="AB93" s="98"/>
    </row>
    <row r="94" spans="1:28" x14ac:dyDescent="0.2">
      <c r="A94" s="99"/>
      <c r="B94" s="71">
        <v>-2</v>
      </c>
      <c r="C94" s="71">
        <v>-4</v>
      </c>
      <c r="D94" s="71">
        <v>1</v>
      </c>
      <c r="E94" s="71">
        <v>3</v>
      </c>
      <c r="F94" s="71">
        <v>-18</v>
      </c>
      <c r="L94" s="98"/>
      <c r="N94" s="99"/>
      <c r="Q94" cm="1">
        <f t="array" ref="Q94:U94">_xlfn.ANCHORARRAY(Q88)/R88</f>
        <v>0</v>
      </c>
      <c r="R94">
        <v>1</v>
      </c>
      <c r="S94">
        <v>0.5</v>
      </c>
      <c r="T94">
        <v>0.4</v>
      </c>
      <c r="U94">
        <v>12.1</v>
      </c>
      <c r="AB94" s="98"/>
    </row>
    <row r="95" spans="1:28" x14ac:dyDescent="0.2">
      <c r="A95" s="99"/>
      <c r="B95" s="71">
        <v>4</v>
      </c>
      <c r="C95" s="71">
        <v>-5</v>
      </c>
      <c r="D95" s="71">
        <v>3</v>
      </c>
      <c r="E95" s="71">
        <v>5</v>
      </c>
      <c r="F95" s="71">
        <v>-42</v>
      </c>
      <c r="L95" s="98"/>
      <c r="N95" s="99"/>
      <c r="Q95" cm="1">
        <f t="array" ref="Q95:U95">_xlfn.ANCHORARRAY(Q89)-R89*_xlfn.ANCHORARRAY(Q94)</f>
        <v>0</v>
      </c>
      <c r="R95">
        <v>0</v>
      </c>
      <c r="S95">
        <v>-12.5</v>
      </c>
      <c r="T95">
        <v>-2</v>
      </c>
      <c r="U95">
        <v>-125.5</v>
      </c>
      <c r="AB95" s="98"/>
    </row>
    <row r="96" spans="1:28" x14ac:dyDescent="0.2">
      <c r="A96" s="99"/>
      <c r="B96" s="71">
        <v>32</v>
      </c>
      <c r="C96" s="71">
        <v>12</v>
      </c>
      <c r="D96" s="71">
        <v>4</v>
      </c>
      <c r="E96" s="71">
        <v>-4</v>
      </c>
      <c r="F96" s="71">
        <v>-24</v>
      </c>
      <c r="L96" s="98"/>
      <c r="N96" s="99"/>
      <c r="AB96" s="98"/>
    </row>
    <row r="97" spans="1:28" x14ac:dyDescent="0.2">
      <c r="A97" s="99"/>
      <c r="B97" s="71"/>
      <c r="C97" s="71"/>
      <c r="D97" s="71"/>
      <c r="E97" s="71"/>
      <c r="F97" s="71"/>
      <c r="L97" s="98"/>
      <c r="N97" s="99"/>
      <c r="AB97" s="98"/>
    </row>
    <row r="98" spans="1:28" x14ac:dyDescent="0.2">
      <c r="A98" s="99"/>
      <c r="B98" s="71" cm="1">
        <f t="array" ref="B98:F98">B93:F93/18</f>
        <v>1</v>
      </c>
      <c r="C98" s="71">
        <v>-0.16666666666666666</v>
      </c>
      <c r="D98" s="71">
        <v>0.33333333333333331</v>
      </c>
      <c r="E98" s="71">
        <v>0.33333333333333331</v>
      </c>
      <c r="F98" s="71">
        <v>-4</v>
      </c>
      <c r="L98" s="98"/>
      <c r="N98" s="99"/>
      <c r="Q98" cm="1">
        <f t="array" ref="Q98:U98">_xlfn.ANCHORARRAY(Q92)</f>
        <v>1</v>
      </c>
      <c r="R98">
        <v>0</v>
      </c>
      <c r="S98">
        <v>-1</v>
      </c>
      <c r="T98">
        <v>2.6</v>
      </c>
      <c r="U98">
        <v>54.4</v>
      </c>
      <c r="AB98" s="98"/>
    </row>
    <row r="99" spans="1:28" x14ac:dyDescent="0.2">
      <c r="A99" s="99"/>
      <c r="B99" s="71" cm="1">
        <f t="array" ref="B99:F99">_xlfn.ANCHORARRAY(B98)*2+B94:F94</f>
        <v>0</v>
      </c>
      <c r="C99" s="71">
        <v>-4.333333333333333</v>
      </c>
      <c r="D99" s="71">
        <v>1.6666666666666665</v>
      </c>
      <c r="E99" s="71">
        <v>3.6666666666666665</v>
      </c>
      <c r="F99" s="71">
        <v>-26</v>
      </c>
      <c r="L99" s="98"/>
      <c r="N99" s="99"/>
      <c r="Q99" cm="1">
        <f t="array" ref="Q99:U99">_xlfn.ANCHORARRAY(Q94)</f>
        <v>0</v>
      </c>
      <c r="R99">
        <v>1</v>
      </c>
      <c r="S99">
        <v>0.5</v>
      </c>
      <c r="T99">
        <v>0.4</v>
      </c>
      <c r="U99">
        <v>12.1</v>
      </c>
      <c r="AB99" s="98"/>
    </row>
    <row r="100" spans="1:28" x14ac:dyDescent="0.2">
      <c r="A100" s="99"/>
      <c r="B100" s="71" cm="1">
        <f t="array" ref="B100:F100">_xlfn.ANCHORARRAY(B98)*-4+B95:F95</f>
        <v>0</v>
      </c>
      <c r="C100" s="71">
        <v>-4.333333333333333</v>
      </c>
      <c r="D100" s="71">
        <v>1.6666666666666667</v>
      </c>
      <c r="E100" s="71">
        <v>3.666666666666667</v>
      </c>
      <c r="F100" s="71">
        <v>-26</v>
      </c>
      <c r="L100" s="98"/>
      <c r="N100" s="99"/>
      <c r="Q100" cm="1">
        <f t="array" ref="Q100:U100">_xlfn.ANCHORARRAY(Q93)</f>
        <v>0</v>
      </c>
      <c r="R100">
        <v>0</v>
      </c>
      <c r="S100">
        <v>-7</v>
      </c>
      <c r="T100">
        <v>-10</v>
      </c>
      <c r="U100">
        <v>-239</v>
      </c>
      <c r="AB100" s="98"/>
    </row>
    <row r="101" spans="1:28" x14ac:dyDescent="0.2">
      <c r="A101" s="99"/>
      <c r="B101" s="71" cm="1">
        <f t="array" ref="B101:F101">_xlfn.ANCHORARRAY(B98)*-32+B96:F96</f>
        <v>0</v>
      </c>
      <c r="C101" s="71">
        <v>17.333333333333332</v>
      </c>
      <c r="D101" s="71">
        <v>-6.6666666666666661</v>
      </c>
      <c r="E101" s="71">
        <v>-14.666666666666666</v>
      </c>
      <c r="F101" s="71">
        <v>104</v>
      </c>
      <c r="L101" s="98"/>
      <c r="N101" s="99"/>
      <c r="Q101" cm="1">
        <f t="array" ref="Q101:U101">_xlfn.ANCHORARRAY(Q95)</f>
        <v>0</v>
      </c>
      <c r="R101">
        <v>0</v>
      </c>
      <c r="S101">
        <v>-12.5</v>
      </c>
      <c r="T101">
        <v>-2</v>
      </c>
      <c r="U101">
        <v>-125.5</v>
      </c>
      <c r="AB101" s="98"/>
    </row>
    <row r="102" spans="1:28" x14ac:dyDescent="0.2">
      <c r="A102" s="99"/>
      <c r="B102" s="71"/>
      <c r="C102" s="71"/>
      <c r="D102" s="71"/>
      <c r="E102" s="71"/>
      <c r="F102" s="71"/>
      <c r="L102" s="98"/>
      <c r="N102" s="99"/>
      <c r="AB102" s="98"/>
    </row>
    <row r="103" spans="1:28" x14ac:dyDescent="0.2">
      <c r="A103" s="99"/>
      <c r="B103" s="71" cm="1">
        <f t="array" ref="B103:F103">_xlfn.ANCHORARRAY(B104)*0.17+_xlfn.ANCHORARRAY(B98)</f>
        <v>1</v>
      </c>
      <c r="C103" s="71">
        <v>3.4642032332563577E-3</v>
      </c>
      <c r="D103" s="71">
        <v>0.26789838337182448</v>
      </c>
      <c r="E103" s="71">
        <v>0.18937644341801382</v>
      </c>
      <c r="F103" s="71">
        <v>-2.9792147806004619</v>
      </c>
      <c r="L103" s="98"/>
      <c r="N103" s="99"/>
      <c r="AB103" s="98"/>
    </row>
    <row r="104" spans="1:28" x14ac:dyDescent="0.2">
      <c r="A104" s="99"/>
      <c r="B104" s="71" cm="1">
        <f t="array" ref="B104:F104">_xlfn.ANCHORARRAY(B99)/-4.33</f>
        <v>0</v>
      </c>
      <c r="C104" s="71">
        <v>1.0007698229407236</v>
      </c>
      <c r="D104" s="71">
        <v>-0.38491147036181672</v>
      </c>
      <c r="E104" s="71">
        <v>-0.8468052347959969</v>
      </c>
      <c r="F104" s="71">
        <v>6.0046189376443415</v>
      </c>
      <c r="L104" s="98"/>
      <c r="N104" s="99"/>
      <c r="Q104" cm="1">
        <f t="array" ref="Q104:U104">_xlfn.ANCHORARRAY(Q98)+1*_xlfn.ANCHORARRAY(Q106)</f>
        <v>1</v>
      </c>
      <c r="R104">
        <v>0</v>
      </c>
      <c r="S104">
        <v>0</v>
      </c>
      <c r="T104">
        <v>4.0285714285714285</v>
      </c>
      <c r="U104">
        <v>88.542857142857144</v>
      </c>
      <c r="AB104" s="98"/>
    </row>
    <row r="105" spans="1:28" x14ac:dyDescent="0.2">
      <c r="A105" s="99"/>
      <c r="B105" s="71" cm="1">
        <f t="array" ref="B105:F105">_xlfn.ANCHORARRAY(B104)*4.33+_xlfn.ANCHORARRAY(B100)</f>
        <v>0</v>
      </c>
      <c r="C105" s="71">
        <v>0</v>
      </c>
      <c r="D105" s="71">
        <v>0</v>
      </c>
      <c r="E105" s="71">
        <v>0</v>
      </c>
      <c r="F105" s="71">
        <v>0</v>
      </c>
      <c r="L105" s="98"/>
      <c r="N105" s="99"/>
      <c r="Q105" cm="1">
        <f t="array" ref="Q105:U105">_xlfn.ANCHORARRAY(Q99)-S99*_xlfn.ANCHORARRAY(Q106)</f>
        <v>0</v>
      </c>
      <c r="R105">
        <v>1</v>
      </c>
      <c r="S105">
        <v>0</v>
      </c>
      <c r="T105">
        <v>-0.31428571428571428</v>
      </c>
      <c r="U105">
        <v>-4.9714285714285733</v>
      </c>
      <c r="AB105" s="98"/>
    </row>
    <row r="106" spans="1:28" x14ac:dyDescent="0.2">
      <c r="A106" s="99"/>
      <c r="B106" s="71" cm="1">
        <f t="array" ref="B106:F106">_xlfn.ANCHORARRAY(B104)*-17.33+_xlfn.ANCHORARRAY(B101)</f>
        <v>0</v>
      </c>
      <c r="C106" s="71">
        <v>-1.0007698229404838E-2</v>
      </c>
      <c r="D106" s="71">
        <v>3.8491147036170403E-3</v>
      </c>
      <c r="E106" s="71">
        <v>8.4680523479594427E-3</v>
      </c>
      <c r="F106" s="71">
        <v>-6.0046189376421921E-2</v>
      </c>
      <c r="L106" s="98"/>
      <c r="N106" s="99"/>
      <c r="Q106" cm="1">
        <f t="array" ref="Q106:U106">_xlfn.ANCHORARRAY(Q100)/S100</f>
        <v>0</v>
      </c>
      <c r="R106">
        <v>0</v>
      </c>
      <c r="S106">
        <v>1</v>
      </c>
      <c r="T106">
        <v>1.4285714285714286</v>
      </c>
      <c r="U106">
        <v>34.142857142857146</v>
      </c>
      <c r="AB106" s="98"/>
    </row>
    <row r="107" spans="1:28" x14ac:dyDescent="0.2">
      <c r="A107" s="99"/>
      <c r="B107" s="71"/>
      <c r="C107" s="71"/>
      <c r="D107" s="71"/>
      <c r="E107" s="71"/>
      <c r="F107" s="71"/>
      <c r="L107" s="98"/>
      <c r="N107" s="99"/>
      <c r="Q107" cm="1">
        <f t="array" ref="Q107:U107">_xlfn.ANCHORARRAY(Q101)+12.5*_xlfn.ANCHORARRAY(Q106)</f>
        <v>0</v>
      </c>
      <c r="R107">
        <v>0</v>
      </c>
      <c r="S107">
        <v>0</v>
      </c>
      <c r="T107">
        <v>15.857142857142858</v>
      </c>
      <c r="U107">
        <v>301.28571428571433</v>
      </c>
      <c r="AB107" s="98"/>
    </row>
    <row r="108" spans="1:28" x14ac:dyDescent="0.2">
      <c r="A108" s="99"/>
      <c r="B108" s="71"/>
      <c r="C108" s="71"/>
      <c r="D108" s="71"/>
      <c r="E108" s="71"/>
      <c r="F108" s="71"/>
      <c r="L108" s="98"/>
      <c r="N108" s="99"/>
      <c r="AB108" s="98"/>
    </row>
    <row r="109" spans="1:28" x14ac:dyDescent="0.2">
      <c r="A109" s="99"/>
      <c r="B109" s="71"/>
      <c r="C109" s="71"/>
      <c r="D109" s="71"/>
      <c r="E109" s="71"/>
      <c r="F109" s="71"/>
      <c r="L109" s="98"/>
      <c r="N109" s="99"/>
      <c r="AB109" s="98"/>
    </row>
    <row r="110" spans="1:28" ht="17" thickBot="1" x14ac:dyDescent="0.25">
      <c r="A110" s="107"/>
      <c r="B110" s="100"/>
      <c r="C110" s="100"/>
      <c r="D110" s="100"/>
      <c r="E110" s="100"/>
      <c r="F110" s="100"/>
      <c r="G110" s="101"/>
      <c r="H110" s="101"/>
      <c r="I110" s="101"/>
      <c r="J110" s="101"/>
      <c r="K110" s="101"/>
      <c r="L110" s="102"/>
      <c r="N110" s="99"/>
      <c r="Q110" cm="1">
        <f t="array" ref="Q110:U110">_xlfn.ANCHORARRAY(Q104)-T104*_xlfn.ANCHORARRAY(Q113)</f>
        <v>1</v>
      </c>
      <c r="R110">
        <v>0</v>
      </c>
      <c r="S110">
        <v>0</v>
      </c>
      <c r="T110">
        <v>0</v>
      </c>
      <c r="U110">
        <v>11.999999999999986</v>
      </c>
      <c r="AB110" s="98"/>
    </row>
    <row r="111" spans="1:28" x14ac:dyDescent="0.2">
      <c r="N111" s="99"/>
      <c r="Q111" cm="1">
        <f t="array" ref="Q111:U111">_xlfn.ANCHORARRAY(Q105)-T105*_xlfn.ANCHORARRAY(Q113)</f>
        <v>0</v>
      </c>
      <c r="R111">
        <v>1</v>
      </c>
      <c r="S111">
        <v>0</v>
      </c>
      <c r="T111">
        <v>0</v>
      </c>
      <c r="U111">
        <v>0.99999999999999911</v>
      </c>
      <c r="AB111" s="98"/>
    </row>
    <row r="112" spans="1:28" x14ac:dyDescent="0.2">
      <c r="N112" s="99"/>
      <c r="Q112" cm="1">
        <f t="array" ref="Q112:U112">_xlfn.ANCHORARRAY(Q106)-T106*_xlfn.ANCHORARRAY(Q113)</f>
        <v>0</v>
      </c>
      <c r="R112">
        <v>0</v>
      </c>
      <c r="S112">
        <v>1</v>
      </c>
      <c r="T112">
        <v>0</v>
      </c>
      <c r="U112">
        <v>6.9999999999999964</v>
      </c>
      <c r="AB112" s="98"/>
    </row>
    <row r="113" spans="3:28" x14ac:dyDescent="0.2">
      <c r="N113" s="99"/>
      <c r="Q113" cm="1">
        <f t="array" ref="Q113:U113">_xlfn.ANCHORARRAY(Q107)/T107</f>
        <v>0</v>
      </c>
      <c r="R113">
        <v>0</v>
      </c>
      <c r="S113">
        <v>0</v>
      </c>
      <c r="T113">
        <v>1</v>
      </c>
      <c r="U113">
        <v>19.000000000000004</v>
      </c>
      <c r="AB113" s="98"/>
    </row>
    <row r="114" spans="3:28" x14ac:dyDescent="0.2">
      <c r="N114" s="99"/>
      <c r="AB114" s="98"/>
    </row>
    <row r="115" spans="3:28" x14ac:dyDescent="0.2">
      <c r="N115" s="99"/>
      <c r="AB115" s="98"/>
    </row>
    <row r="116" spans="3:28" ht="17" thickBot="1" x14ac:dyDescent="0.25">
      <c r="N116" s="107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2"/>
    </row>
    <row r="124" spans="3:28" x14ac:dyDescent="0.2">
      <c r="C124" s="239" t="s">
        <v>358</v>
      </c>
      <c r="D124" s="239"/>
      <c r="E124" s="239"/>
      <c r="F124" s="239"/>
      <c r="G124" s="239"/>
      <c r="H124" s="239"/>
      <c r="I124" s="239"/>
    </row>
    <row r="125" spans="3:28" x14ac:dyDescent="0.2">
      <c r="C125" s="239"/>
      <c r="D125" s="239"/>
      <c r="E125" s="239"/>
      <c r="F125" s="239"/>
      <c r="G125" s="239"/>
      <c r="H125" s="239"/>
      <c r="I125" s="239"/>
    </row>
    <row r="131" spans="3:13" x14ac:dyDescent="0.2">
      <c r="C131">
        <v>-9</v>
      </c>
      <c r="D131">
        <v>-16</v>
      </c>
      <c r="E131">
        <v>14</v>
      </c>
      <c r="F131">
        <v>1</v>
      </c>
      <c r="I131">
        <v>15</v>
      </c>
      <c r="J131">
        <v>15</v>
      </c>
      <c r="K131">
        <v>15</v>
      </c>
      <c r="L131">
        <v>-16</v>
      </c>
      <c r="M131">
        <v>18</v>
      </c>
    </row>
    <row r="132" spans="3:13" x14ac:dyDescent="0.2">
      <c r="C132">
        <v>-18</v>
      </c>
      <c r="D132">
        <v>3</v>
      </c>
      <c r="E132">
        <v>15</v>
      </c>
      <c r="F132">
        <v>-19</v>
      </c>
      <c r="I132">
        <v>14</v>
      </c>
      <c r="J132">
        <v>-4</v>
      </c>
      <c r="K132">
        <v>20</v>
      </c>
      <c r="L132">
        <v>9</v>
      </c>
      <c r="M132">
        <v>10</v>
      </c>
    </row>
    <row r="133" spans="3:13" x14ac:dyDescent="0.2">
      <c r="C133">
        <v>-13</v>
      </c>
      <c r="D133">
        <v>-3</v>
      </c>
      <c r="E133">
        <v>20</v>
      </c>
      <c r="F133">
        <v>11</v>
      </c>
      <c r="I133">
        <v>-1</v>
      </c>
      <c r="J133">
        <v>2</v>
      </c>
      <c r="K133">
        <v>-9</v>
      </c>
      <c r="L133">
        <v>-19</v>
      </c>
      <c r="M133">
        <v>12</v>
      </c>
    </row>
    <row r="134" spans="3:13" x14ac:dyDescent="0.2">
      <c r="I134">
        <v>-14</v>
      </c>
      <c r="J134">
        <v>6</v>
      </c>
      <c r="K134">
        <v>4</v>
      </c>
      <c r="L134">
        <v>11</v>
      </c>
      <c r="M134">
        <v>1</v>
      </c>
    </row>
    <row r="138" spans="3:13" x14ac:dyDescent="0.2">
      <c r="C138" cm="1">
        <f t="array" ref="C138:G140">MMULT(C131:F133,I131:M134)</f>
        <v>-387</v>
      </c>
      <c r="D138">
        <v>-37</v>
      </c>
      <c r="E138">
        <v>-577</v>
      </c>
      <c r="F138">
        <v>-255</v>
      </c>
      <c r="G138">
        <v>-153</v>
      </c>
    </row>
    <row r="139" spans="3:13" x14ac:dyDescent="0.2">
      <c r="C139">
        <v>23</v>
      </c>
      <c r="D139">
        <v>-366</v>
      </c>
      <c r="E139">
        <v>-421</v>
      </c>
      <c r="F139">
        <v>-179</v>
      </c>
      <c r="G139">
        <v>-133</v>
      </c>
    </row>
    <row r="140" spans="3:13" x14ac:dyDescent="0.2">
      <c r="C140">
        <v>-411</v>
      </c>
      <c r="D140">
        <v>-77</v>
      </c>
      <c r="E140">
        <v>-391</v>
      </c>
      <c r="F140">
        <v>-78</v>
      </c>
      <c r="G140">
        <v>-13</v>
      </c>
    </row>
    <row r="145" spans="3:13" x14ac:dyDescent="0.2">
      <c r="I145">
        <v>15</v>
      </c>
      <c r="J145">
        <v>15</v>
      </c>
      <c r="K145">
        <v>15</v>
      </c>
      <c r="L145">
        <v>-16</v>
      </c>
      <c r="M145">
        <v>18</v>
      </c>
    </row>
    <row r="146" spans="3:13" x14ac:dyDescent="0.2">
      <c r="I146">
        <v>14</v>
      </c>
      <c r="J146">
        <v>-4</v>
      </c>
      <c r="K146">
        <v>20</v>
      </c>
      <c r="L146">
        <v>9</v>
      </c>
      <c r="M146">
        <v>10</v>
      </c>
    </row>
    <row r="147" spans="3:13" x14ac:dyDescent="0.2">
      <c r="I147">
        <v>-1</v>
      </c>
      <c r="J147">
        <v>2</v>
      </c>
      <c r="K147">
        <v>-9</v>
      </c>
      <c r="L147">
        <v>-19</v>
      </c>
      <c r="M147">
        <v>12</v>
      </c>
    </row>
    <row r="148" spans="3:13" x14ac:dyDescent="0.2">
      <c r="I148">
        <v>-14</v>
      </c>
      <c r="J148">
        <v>6</v>
      </c>
      <c r="K148">
        <v>4</v>
      </c>
      <c r="L148">
        <v>11</v>
      </c>
      <c r="M148">
        <v>1</v>
      </c>
    </row>
    <row r="149" spans="3:13" x14ac:dyDescent="0.2">
      <c r="E149">
        <v>-9</v>
      </c>
      <c r="F149">
        <v>-16</v>
      </c>
      <c r="G149">
        <v>14</v>
      </c>
      <c r="H149">
        <v>1</v>
      </c>
    </row>
    <row r="150" spans="3:13" x14ac:dyDescent="0.2">
      <c r="E150">
        <v>-18</v>
      </c>
      <c r="F150">
        <v>3</v>
      </c>
      <c r="G150">
        <v>15</v>
      </c>
      <c r="H150">
        <v>-19</v>
      </c>
      <c r="K150" t="s">
        <v>155</v>
      </c>
    </row>
    <row r="151" spans="3:13" x14ac:dyDescent="0.2">
      <c r="E151">
        <v>-13</v>
      </c>
      <c r="F151">
        <v>-3</v>
      </c>
      <c r="G151">
        <v>20</v>
      </c>
      <c r="H151">
        <v>11</v>
      </c>
    </row>
    <row r="158" spans="3:13" x14ac:dyDescent="0.2">
      <c r="C158">
        <v>-4</v>
      </c>
      <c r="D158">
        <v>-16</v>
      </c>
      <c r="E158">
        <v>-2</v>
      </c>
      <c r="F158">
        <v>-10</v>
      </c>
    </row>
    <row r="159" spans="3:13" x14ac:dyDescent="0.2">
      <c r="C159">
        <v>4</v>
      </c>
      <c r="D159">
        <v>0</v>
      </c>
      <c r="E159">
        <v>15</v>
      </c>
      <c r="F159">
        <v>-7</v>
      </c>
    </row>
    <row r="160" spans="3:13" x14ac:dyDescent="0.2">
      <c r="C160">
        <v>1</v>
      </c>
      <c r="D160">
        <v>-7</v>
      </c>
      <c r="E160">
        <v>6</v>
      </c>
      <c r="F160">
        <v>-5</v>
      </c>
    </row>
    <row r="161" spans="3:13" x14ac:dyDescent="0.2">
      <c r="C161">
        <v>9</v>
      </c>
      <c r="D161">
        <v>21</v>
      </c>
      <c r="E161">
        <v>27</v>
      </c>
      <c r="F161">
        <v>-6</v>
      </c>
    </row>
    <row r="166" spans="3:13" x14ac:dyDescent="0.2">
      <c r="C166" s="71">
        <v>0</v>
      </c>
      <c r="D166" s="71">
        <v>-6</v>
      </c>
      <c r="E166" s="71">
        <v>5</v>
      </c>
      <c r="F166" s="71">
        <v>1</v>
      </c>
      <c r="G166" s="71">
        <v>0</v>
      </c>
      <c r="H166" s="71">
        <v>0</v>
      </c>
      <c r="K166" s="71" cm="1">
        <f t="array" ref="K166:M168">MINVERSE(C166:E168)</f>
        <v>-0.21482098251457118</v>
      </c>
      <c r="L166" s="71">
        <v>-8.3263946711075051E-4</v>
      </c>
      <c r="M166" s="71">
        <v>7.5770191507077436E-2</v>
      </c>
    </row>
    <row r="167" spans="3:13" x14ac:dyDescent="0.2">
      <c r="C167" s="71">
        <v>-18</v>
      </c>
      <c r="D167" s="71">
        <v>1</v>
      </c>
      <c r="E167" s="71">
        <v>-16</v>
      </c>
      <c r="F167" s="71">
        <v>0</v>
      </c>
      <c r="G167" s="71">
        <v>1</v>
      </c>
      <c r="H167" s="71">
        <v>0</v>
      </c>
      <c r="K167" s="71">
        <v>3.6636136552872609E-2</v>
      </c>
      <c r="L167" s="71">
        <v>-5.4121565362198164E-2</v>
      </c>
      <c r="M167" s="71">
        <v>-7.4937552039966687E-2</v>
      </c>
    </row>
    <row r="168" spans="3:13" x14ac:dyDescent="0.2">
      <c r="C168" s="71">
        <v>13</v>
      </c>
      <c r="D168" s="71">
        <v>-17</v>
      </c>
      <c r="E168" s="71">
        <v>14</v>
      </c>
      <c r="F168" s="71">
        <v>0</v>
      </c>
      <c r="G168" s="71">
        <v>0</v>
      </c>
      <c r="H168" s="71">
        <v>1</v>
      </c>
      <c r="K168" s="71">
        <v>0.24396336386344714</v>
      </c>
      <c r="L168" s="71">
        <v>-6.4945878434637797E-2</v>
      </c>
      <c r="M168" s="71">
        <v>-8.992506244796003E-2</v>
      </c>
    </row>
    <row r="169" spans="3:13" x14ac:dyDescent="0.2">
      <c r="C169" s="71"/>
      <c r="D169" s="71"/>
      <c r="E169" s="71"/>
      <c r="F169" s="71"/>
      <c r="G169" s="71"/>
      <c r="H169" s="71"/>
    </row>
    <row r="170" spans="3:13" x14ac:dyDescent="0.2">
      <c r="C170" s="71" cm="1">
        <f t="array" ref="C170:H170">C166:H166</f>
        <v>0</v>
      </c>
      <c r="D170" s="71">
        <v>-6</v>
      </c>
      <c r="E170" s="71">
        <v>5</v>
      </c>
      <c r="F170" s="71">
        <v>1</v>
      </c>
      <c r="G170" s="71">
        <v>0</v>
      </c>
      <c r="H170" s="71">
        <v>0</v>
      </c>
    </row>
    <row r="171" spans="3:13" x14ac:dyDescent="0.2">
      <c r="C171" s="71" cm="1">
        <f t="array" ref="C171:H171">C167:H167/C167</f>
        <v>1</v>
      </c>
      <c r="D171" s="71">
        <v>-5.5555555555555552E-2</v>
      </c>
      <c r="E171" s="71">
        <v>0.88888888888888884</v>
      </c>
      <c r="F171" s="71">
        <v>0</v>
      </c>
      <c r="G171" s="71">
        <v>-5.5555555555555552E-2</v>
      </c>
      <c r="H171" s="71">
        <v>0</v>
      </c>
    </row>
    <row r="172" spans="3:13" x14ac:dyDescent="0.2">
      <c r="C172" s="71" cm="1">
        <f t="array" ref="C172:H172">C168:H168-C168*_xlfn.ANCHORARRAY(C171)</f>
        <v>0</v>
      </c>
      <c r="D172" s="71">
        <v>-16.277777777777779</v>
      </c>
      <c r="E172" s="71">
        <v>2.4444444444444446</v>
      </c>
      <c r="F172" s="71">
        <v>0</v>
      </c>
      <c r="G172" s="71">
        <v>0.72222222222222221</v>
      </c>
      <c r="H172" s="71">
        <v>1</v>
      </c>
    </row>
    <row r="173" spans="3:13" x14ac:dyDescent="0.2">
      <c r="C173" s="71"/>
      <c r="D173" s="71"/>
      <c r="E173" s="71"/>
      <c r="F173" s="71"/>
      <c r="G173" s="71"/>
      <c r="H173" s="71"/>
    </row>
    <row r="174" spans="3:13" x14ac:dyDescent="0.2">
      <c r="C174" s="71" cm="1">
        <f t="array" ref="C174:H174">_xlfn.ANCHORARRAY(C170)/D170</f>
        <v>0</v>
      </c>
      <c r="D174" s="71">
        <v>1</v>
      </c>
      <c r="E174" s="71">
        <v>-0.83333333333333337</v>
      </c>
      <c r="F174" s="71">
        <v>-0.16666666666666666</v>
      </c>
      <c r="G174" s="71">
        <v>0</v>
      </c>
      <c r="H174" s="71">
        <v>0</v>
      </c>
    </row>
    <row r="175" spans="3:13" x14ac:dyDescent="0.2">
      <c r="C175" s="71" cm="1">
        <f t="array" ref="C175:H175">_xlfn.ANCHORARRAY(C171)-D171*_xlfn.ANCHORARRAY(C174)</f>
        <v>1</v>
      </c>
      <c r="D175" s="71">
        <v>0</v>
      </c>
      <c r="E175" s="71">
        <v>0.84259259259259256</v>
      </c>
      <c r="F175" s="71">
        <v>-9.2592592592592587E-3</v>
      </c>
      <c r="G175" s="71">
        <v>-5.5555555555555552E-2</v>
      </c>
      <c r="H175" s="71">
        <v>0</v>
      </c>
    </row>
    <row r="176" spans="3:13" x14ac:dyDescent="0.2">
      <c r="C176" s="71" cm="1">
        <f t="array" ref="C176:H176">_xlfn.ANCHORARRAY(C172)-D172*_xlfn.ANCHORARRAY(C174)</f>
        <v>0</v>
      </c>
      <c r="D176" s="71">
        <v>0</v>
      </c>
      <c r="E176" s="71">
        <v>-11.120370370370372</v>
      </c>
      <c r="F176" s="71">
        <v>-2.7129629629629628</v>
      </c>
      <c r="G176" s="71">
        <v>0.72222222222222221</v>
      </c>
      <c r="H176" s="71">
        <v>1</v>
      </c>
    </row>
    <row r="177" spans="3:8" x14ac:dyDescent="0.2">
      <c r="C177" s="71"/>
      <c r="D177" s="71"/>
      <c r="E177" s="71"/>
      <c r="F177" s="71"/>
      <c r="G177" s="71"/>
      <c r="H177" s="71"/>
    </row>
    <row r="178" spans="3:8" x14ac:dyDescent="0.2">
      <c r="C178" s="71" cm="1">
        <f t="array" ref="C178:H178">_xlfn.ANCHORARRAY(C174)-E174*_xlfn.ANCHORARRAY(C180)</f>
        <v>0</v>
      </c>
      <c r="D178" s="71">
        <v>1</v>
      </c>
      <c r="E178" s="71">
        <v>0</v>
      </c>
      <c r="F178" s="71">
        <v>3.6636136552872595E-2</v>
      </c>
      <c r="G178" s="71">
        <v>-5.4121565362198164E-2</v>
      </c>
      <c r="H178" s="71">
        <v>-7.4937552039966687E-2</v>
      </c>
    </row>
    <row r="179" spans="3:8" x14ac:dyDescent="0.2">
      <c r="C179" s="71" cm="1">
        <f t="array" ref="C179:H179">_xlfn.ANCHORARRAY(C175)-E175*_xlfn.ANCHORARRAY(C180)</f>
        <v>1</v>
      </c>
      <c r="D179" s="71">
        <v>0</v>
      </c>
      <c r="E179" s="71">
        <v>0</v>
      </c>
      <c r="F179" s="71">
        <v>-0.21482098251457116</v>
      </c>
      <c r="G179" s="71">
        <v>-8.3263946711074205E-4</v>
      </c>
      <c r="H179" s="71">
        <v>7.5770191507077422E-2</v>
      </c>
    </row>
    <row r="180" spans="3:8" x14ac:dyDescent="0.2">
      <c r="C180" s="71" cm="1">
        <f t="array" ref="C180:H180">_xlfn.ANCHORARRAY(C176)/E176</f>
        <v>0</v>
      </c>
      <c r="D180" s="71">
        <v>0</v>
      </c>
      <c r="E180" s="71">
        <v>1</v>
      </c>
      <c r="F180" s="71">
        <v>0.24396336386344708</v>
      </c>
      <c r="G180" s="71">
        <v>-6.4945878434637797E-2</v>
      </c>
      <c r="H180" s="71">
        <v>-8.9925062447960016E-2</v>
      </c>
    </row>
    <row r="181" spans="3:8" x14ac:dyDescent="0.2">
      <c r="C181" s="71"/>
      <c r="D181" s="71"/>
      <c r="E181" s="71"/>
      <c r="F181" s="71"/>
      <c r="G181" s="71"/>
      <c r="H181" s="71"/>
    </row>
    <row r="182" spans="3:8" x14ac:dyDescent="0.2">
      <c r="C182" s="71"/>
      <c r="D182" s="71"/>
      <c r="E182" s="71"/>
      <c r="F182" s="71"/>
      <c r="G182" s="71"/>
      <c r="H182" s="71"/>
    </row>
    <row r="183" spans="3:8" x14ac:dyDescent="0.2">
      <c r="C183" s="71"/>
      <c r="D183" s="71"/>
      <c r="E183" s="71"/>
      <c r="F183" s="71"/>
      <c r="G183" s="71"/>
      <c r="H183" s="71"/>
    </row>
    <row r="184" spans="3:8" x14ac:dyDescent="0.2">
      <c r="C184" s="71"/>
      <c r="D184" s="71"/>
      <c r="E184" s="71"/>
      <c r="F184" s="71"/>
      <c r="G184" s="71"/>
      <c r="H184" s="71"/>
    </row>
    <row r="185" spans="3:8" x14ac:dyDescent="0.2">
      <c r="C185" s="71"/>
      <c r="D185" s="71"/>
      <c r="E185" s="71"/>
      <c r="F185" s="71"/>
      <c r="G185" s="71"/>
      <c r="H185" s="71"/>
    </row>
  </sheetData>
  <mergeCells count="6">
    <mergeCell ref="C124:I125"/>
    <mergeCell ref="AO1:AV2"/>
    <mergeCell ref="A13:H14"/>
    <mergeCell ref="O1:V2"/>
    <mergeCell ref="BT1:BV2"/>
    <mergeCell ref="A1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C0FF-154C-C147-BE57-1F1499513219}">
  <dimension ref="B1:AP34"/>
  <sheetViews>
    <sheetView topLeftCell="O1" workbookViewId="0">
      <selection activeCell="T15" sqref="T15"/>
    </sheetView>
  </sheetViews>
  <sheetFormatPr baseColWidth="10" defaultRowHeight="16" x14ac:dyDescent="0.2"/>
  <sheetData>
    <row r="1" spans="2:42" x14ac:dyDescent="0.2">
      <c r="B1" s="256" t="s">
        <v>31</v>
      </c>
      <c r="C1" s="257"/>
      <c r="D1" s="257"/>
      <c r="E1" s="257"/>
      <c r="F1" s="257"/>
      <c r="T1" s="255" t="s">
        <v>45</v>
      </c>
      <c r="U1" s="255"/>
      <c r="V1" s="255"/>
      <c r="W1" s="255"/>
      <c r="AJ1" s="255" t="s">
        <v>53</v>
      </c>
      <c r="AK1" s="255"/>
      <c r="AL1" s="255"/>
      <c r="AM1" s="255"/>
      <c r="AN1" s="255"/>
    </row>
    <row r="2" spans="2:42" x14ac:dyDescent="0.2">
      <c r="B2" s="257"/>
      <c r="C2" s="257"/>
      <c r="D2" s="257"/>
      <c r="E2" s="257"/>
      <c r="F2" s="257"/>
      <c r="T2" s="255"/>
      <c r="U2" s="255"/>
      <c r="V2" s="255"/>
      <c r="W2" s="255"/>
      <c r="AJ2" s="255"/>
      <c r="AK2" s="255"/>
      <c r="AL2" s="255"/>
      <c r="AM2" s="255"/>
      <c r="AN2" s="255"/>
    </row>
    <row r="4" spans="2:42" x14ac:dyDescent="0.2">
      <c r="B4" s="254" t="s">
        <v>35</v>
      </c>
      <c r="C4" s="254"/>
      <c r="D4" s="254"/>
      <c r="E4" s="254"/>
      <c r="F4" s="254"/>
      <c r="G4" s="254"/>
      <c r="H4" s="254"/>
      <c r="I4" s="254"/>
      <c r="J4" s="254"/>
      <c r="K4" s="254"/>
      <c r="L4" s="254"/>
    </row>
    <row r="5" spans="2:42" x14ac:dyDescent="0.2">
      <c r="B5" s="254" t="s">
        <v>36</v>
      </c>
      <c r="C5" s="254"/>
      <c r="D5" s="254"/>
      <c r="E5" s="254"/>
      <c r="F5" s="254"/>
      <c r="G5" s="254"/>
      <c r="H5" s="254"/>
      <c r="I5" s="254"/>
      <c r="J5" s="254"/>
      <c r="K5" s="254"/>
      <c r="L5" s="254"/>
      <c r="AJ5" t="s">
        <v>54</v>
      </c>
      <c r="AK5" s="53" t="s">
        <v>42</v>
      </c>
      <c r="AL5" s="54">
        <v>40</v>
      </c>
      <c r="AM5" s="34">
        <v>20</v>
      </c>
      <c r="AN5" s="55">
        <v>1</v>
      </c>
    </row>
    <row r="6" spans="2:42" x14ac:dyDescent="0.2">
      <c r="B6" s="254" t="s">
        <v>37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T6" s="51" t="s">
        <v>3</v>
      </c>
      <c r="U6" s="52" t="s">
        <v>46</v>
      </c>
      <c r="V6" s="48"/>
      <c r="W6" s="48"/>
      <c r="X6" s="51" t="s">
        <v>4</v>
      </c>
      <c r="Y6" s="52" t="s">
        <v>47</v>
      </c>
      <c r="Z6" s="48"/>
      <c r="AA6" s="51" t="s">
        <v>5</v>
      </c>
      <c r="AB6" s="52" t="s">
        <v>48</v>
      </c>
      <c r="AC6" s="48"/>
      <c r="AK6" s="53"/>
      <c r="AL6" s="34"/>
      <c r="AM6" s="34"/>
      <c r="AN6" s="34"/>
    </row>
    <row r="7" spans="2:42" x14ac:dyDescent="0.2">
      <c r="B7" s="254" t="s">
        <v>38</v>
      </c>
      <c r="C7" s="254"/>
      <c r="D7" s="254"/>
      <c r="E7" s="254"/>
      <c r="F7" s="254"/>
      <c r="G7" s="254"/>
      <c r="H7" s="254"/>
      <c r="I7" s="254"/>
      <c r="J7" s="254"/>
      <c r="K7" s="254"/>
      <c r="L7" s="254"/>
      <c r="T7" s="49">
        <v>2</v>
      </c>
      <c r="U7" s="48">
        <v>5</v>
      </c>
      <c r="V7" s="50">
        <v>3</v>
      </c>
      <c r="W7" s="48"/>
      <c r="X7" s="49">
        <v>-2</v>
      </c>
      <c r="Y7" s="50">
        <v>3</v>
      </c>
      <c r="Z7" s="48"/>
      <c r="AA7" s="49">
        <v>5</v>
      </c>
      <c r="AB7" s="48">
        <v>2</v>
      </c>
      <c r="AC7" s="50">
        <v>0</v>
      </c>
      <c r="AJ7" t="s">
        <v>55</v>
      </c>
      <c r="AK7" s="53" t="s">
        <v>11</v>
      </c>
      <c r="AL7" s="54">
        <v>45</v>
      </c>
      <c r="AM7" s="34">
        <v>12</v>
      </c>
      <c r="AN7" s="55">
        <v>1</v>
      </c>
    </row>
    <row r="8" spans="2:42" ht="18" x14ac:dyDescent="0.25">
      <c r="B8" s="254" t="s">
        <v>39</v>
      </c>
      <c r="C8" s="254"/>
      <c r="D8" s="254"/>
      <c r="E8" s="254"/>
      <c r="F8" s="254"/>
      <c r="G8" s="254"/>
      <c r="H8" s="254"/>
      <c r="I8" s="254"/>
      <c r="J8" s="254"/>
      <c r="K8" s="254"/>
      <c r="L8" s="254"/>
      <c r="T8" s="49">
        <v>0</v>
      </c>
      <c r="U8" s="48">
        <v>2</v>
      </c>
      <c r="V8" s="50">
        <v>5</v>
      </c>
      <c r="W8" s="48"/>
      <c r="X8" s="49">
        <v>1</v>
      </c>
      <c r="Y8" s="50">
        <v>2</v>
      </c>
      <c r="Z8" s="48"/>
      <c r="AA8" s="49">
        <v>0</v>
      </c>
      <c r="AB8" s="48">
        <v>-2</v>
      </c>
      <c r="AC8" s="50">
        <v>1</v>
      </c>
      <c r="AK8" s="53"/>
      <c r="AL8" s="34"/>
      <c r="AM8" s="34"/>
      <c r="AN8" s="34"/>
    </row>
    <row r="9" spans="2:42" ht="18" x14ac:dyDescent="0.25">
      <c r="B9" s="254" t="s">
        <v>40</v>
      </c>
      <c r="C9" s="254"/>
      <c r="D9" s="254"/>
      <c r="E9" s="254"/>
      <c r="F9" s="254"/>
      <c r="G9" s="254"/>
      <c r="H9" s="254"/>
      <c r="I9" s="254"/>
      <c r="J9" s="254"/>
      <c r="K9" s="254"/>
      <c r="L9" s="254"/>
      <c r="T9" s="49">
        <v>-1</v>
      </c>
      <c r="U9" s="48">
        <v>1</v>
      </c>
      <c r="V9" s="50">
        <v>7</v>
      </c>
      <c r="W9" s="48"/>
      <c r="X9" s="49">
        <v>-3</v>
      </c>
      <c r="Y9" s="50">
        <v>0</v>
      </c>
      <c r="Z9" s="48"/>
      <c r="AA9" s="48"/>
      <c r="AB9" s="48"/>
      <c r="AC9" s="48"/>
      <c r="AJ9" t="s">
        <v>56</v>
      </c>
      <c r="AK9" s="53" t="s">
        <v>43</v>
      </c>
      <c r="AL9" s="54">
        <v>65</v>
      </c>
      <c r="AM9" s="34">
        <v>12</v>
      </c>
      <c r="AN9" s="55">
        <v>2</v>
      </c>
    </row>
    <row r="11" spans="2:42" x14ac:dyDescent="0.2">
      <c r="B11" t="s">
        <v>41</v>
      </c>
    </row>
    <row r="12" spans="2:42" x14ac:dyDescent="0.2">
      <c r="AI12" s="56" t="s">
        <v>57</v>
      </c>
      <c r="AK12" s="53" t="s">
        <v>58</v>
      </c>
      <c r="AL12" s="54" cm="1">
        <f t="array" ref="AL12:AN12">AL5:AN5+AL7:AN7+AL9:AN9</f>
        <v>150</v>
      </c>
      <c r="AM12" s="34">
        <v>44</v>
      </c>
      <c r="AN12" s="55">
        <v>4</v>
      </c>
      <c r="AP12" t="s">
        <v>59</v>
      </c>
    </row>
    <row r="13" spans="2:42" x14ac:dyDescent="0.2">
      <c r="B13" s="48" t="s">
        <v>42</v>
      </c>
      <c r="C13" s="48"/>
      <c r="D13" s="48"/>
      <c r="E13" s="48"/>
      <c r="F13" s="48"/>
      <c r="G13" s="48" t="s">
        <v>11</v>
      </c>
      <c r="H13" s="48"/>
      <c r="I13" s="48"/>
      <c r="J13" s="48"/>
      <c r="K13" s="48"/>
      <c r="L13" s="48" t="s">
        <v>43</v>
      </c>
      <c r="M13" s="48"/>
      <c r="N13" s="48"/>
      <c r="O13" s="48"/>
      <c r="T13" t="s">
        <v>49</v>
      </c>
      <c r="X13" t="s">
        <v>50</v>
      </c>
      <c r="AI13" s="56"/>
      <c r="AK13" s="53"/>
      <c r="AL13" s="34"/>
      <c r="AM13" s="34"/>
      <c r="AN13" s="34"/>
    </row>
    <row r="14" spans="2:42" x14ac:dyDescent="0.2">
      <c r="B14" s="49">
        <v>5</v>
      </c>
      <c r="C14" s="48">
        <v>7</v>
      </c>
      <c r="D14" s="48">
        <v>2</v>
      </c>
      <c r="E14" s="50">
        <v>3</v>
      </c>
      <c r="F14" s="48"/>
      <c r="G14" s="49">
        <v>-1</v>
      </c>
      <c r="H14" s="48">
        <v>-5</v>
      </c>
      <c r="I14" s="48">
        <v>4</v>
      </c>
      <c r="J14" s="50">
        <v>6</v>
      </c>
      <c r="K14" s="48"/>
      <c r="L14" s="49">
        <v>2</v>
      </c>
      <c r="M14" s="48">
        <v>-7</v>
      </c>
      <c r="N14" s="48">
        <v>-4</v>
      </c>
      <c r="O14" s="50">
        <v>3</v>
      </c>
      <c r="AI14" s="56" t="s">
        <v>60</v>
      </c>
      <c r="AK14" s="53" t="s">
        <v>58</v>
      </c>
      <c r="AL14" s="54" cm="1">
        <f t="array" ref="AL14:AN14">AL9:AN9-AL7:AN7</f>
        <v>20</v>
      </c>
      <c r="AM14" s="34">
        <v>0</v>
      </c>
      <c r="AN14" s="34">
        <v>1</v>
      </c>
      <c r="AP14" t="s">
        <v>61</v>
      </c>
    </row>
    <row r="15" spans="2:42" x14ac:dyDescent="0.2">
      <c r="T15" cm="1">
        <f t="array" ref="T15:V17">MMULT(X7:Y9,AA7:AC8)</f>
        <v>-10</v>
      </c>
      <c r="U15">
        <v>-10</v>
      </c>
      <c r="V15">
        <v>3</v>
      </c>
      <c r="X15" cm="1">
        <f t="array" ref="X15:Y16">MMULT(AA7:AC8,X7:Y9)</f>
        <v>-8</v>
      </c>
      <c r="Y15">
        <v>19</v>
      </c>
      <c r="AI15" s="56"/>
      <c r="AL15" s="34"/>
      <c r="AM15" s="34"/>
    </row>
    <row r="16" spans="2:42" x14ac:dyDescent="0.2">
      <c r="T16">
        <v>5</v>
      </c>
      <c r="U16">
        <v>-2</v>
      </c>
      <c r="V16">
        <v>2</v>
      </c>
      <c r="X16">
        <v>-5</v>
      </c>
      <c r="Y16">
        <v>-4</v>
      </c>
      <c r="AI16" s="56" t="s">
        <v>62</v>
      </c>
      <c r="AK16" s="53" t="s">
        <v>58</v>
      </c>
      <c r="AL16" s="54" cm="1">
        <f t="array" ref="AL16:AN16">AL5:AN5+3*AL7:AN7+2*AL9:AN9</f>
        <v>305</v>
      </c>
      <c r="AM16" s="34">
        <v>80</v>
      </c>
      <c r="AN16" s="55">
        <v>8</v>
      </c>
      <c r="AP16" t="s">
        <v>63</v>
      </c>
    </row>
    <row r="17" spans="2:22" x14ac:dyDescent="0.2">
      <c r="B17" t="s">
        <v>44</v>
      </c>
      <c r="T17">
        <v>-15</v>
      </c>
      <c r="U17">
        <v>-6</v>
      </c>
      <c r="V17">
        <v>0</v>
      </c>
    </row>
    <row r="18" spans="2:22" x14ac:dyDescent="0.2">
      <c r="B18" cm="1">
        <f t="array" ref="B18:E18">B14:E14+G14:J14-L14:O14</f>
        <v>2</v>
      </c>
      <c r="C18">
        <v>9</v>
      </c>
      <c r="D18">
        <v>10</v>
      </c>
      <c r="E18">
        <v>6</v>
      </c>
    </row>
    <row r="21" spans="2:22" x14ac:dyDescent="0.2">
      <c r="T21" t="s">
        <v>51</v>
      </c>
    </row>
    <row r="23" spans="2:22" x14ac:dyDescent="0.2">
      <c r="T23" cm="1">
        <f t="array" ref="T23:V24">MMULT(AA7:AC8,T7:V9)</f>
        <v>10</v>
      </c>
      <c r="U23">
        <v>29</v>
      </c>
      <c r="V23">
        <v>25</v>
      </c>
    </row>
    <row r="24" spans="2:22" x14ac:dyDescent="0.2">
      <c r="T24">
        <v>-1</v>
      </c>
      <c r="U24">
        <v>-3</v>
      </c>
      <c r="V24">
        <v>-3</v>
      </c>
    </row>
    <row r="26" spans="2:22" x14ac:dyDescent="0.2">
      <c r="T26" cm="1">
        <f t="array" ref="T26:U27">MMULT(_xlfn.ANCHORARRAY(T23),X7:Y9)</f>
        <v>-66</v>
      </c>
      <c r="U26">
        <v>88</v>
      </c>
    </row>
    <row r="27" spans="2:22" x14ac:dyDescent="0.2">
      <c r="T27">
        <v>8</v>
      </c>
      <c r="U27">
        <v>-9</v>
      </c>
    </row>
    <row r="30" spans="2:22" x14ac:dyDescent="0.2">
      <c r="T30" t="s">
        <v>52</v>
      </c>
    </row>
    <row r="32" spans="2:22" x14ac:dyDescent="0.2">
      <c r="T32" cm="1">
        <f t="array" ref="T32:V34">MINVERSE(T7:V9)</f>
        <v>-8.9999999999999751</v>
      </c>
      <c r="U32">
        <v>31.999999999999915</v>
      </c>
      <c r="V32">
        <v>-18.99999999999995</v>
      </c>
    </row>
    <row r="33" spans="20:22" x14ac:dyDescent="0.2">
      <c r="T33">
        <v>4.9999999999999867</v>
      </c>
      <c r="U33">
        <v>-16.999999999999954</v>
      </c>
      <c r="V33">
        <v>9.9999999999999734</v>
      </c>
    </row>
    <row r="34" spans="20:22" x14ac:dyDescent="0.2">
      <c r="T34">
        <v>-1.9999999999999947</v>
      </c>
      <c r="U34">
        <v>6.9999999999999813</v>
      </c>
      <c r="V34">
        <v>-3.9999999999999893</v>
      </c>
    </row>
  </sheetData>
  <mergeCells count="9">
    <mergeCell ref="B9:L9"/>
    <mergeCell ref="T1:W2"/>
    <mergeCell ref="AJ1:AN2"/>
    <mergeCell ref="B1:F2"/>
    <mergeCell ref="B4:L4"/>
    <mergeCell ref="B5:L5"/>
    <mergeCell ref="B6:L6"/>
    <mergeCell ref="B7:L7"/>
    <mergeCell ref="B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8332-E41B-1F47-A68D-F194BD2AB738}">
  <dimension ref="B1:J60"/>
  <sheetViews>
    <sheetView workbookViewId="0">
      <selection activeCell="G57" sqref="G57"/>
    </sheetView>
  </sheetViews>
  <sheetFormatPr baseColWidth="10" defaultRowHeight="16" x14ac:dyDescent="0.2"/>
  <sheetData>
    <row r="1" spans="3:7" x14ac:dyDescent="0.2">
      <c r="C1" s="258" t="s">
        <v>31</v>
      </c>
      <c r="D1" s="258"/>
      <c r="E1" s="258"/>
      <c r="F1" s="258"/>
      <c r="G1" s="258"/>
    </row>
    <row r="2" spans="3:7" x14ac:dyDescent="0.2">
      <c r="C2" s="258"/>
      <c r="D2" s="258"/>
      <c r="E2" s="258"/>
      <c r="F2" s="258"/>
      <c r="G2" s="258"/>
    </row>
    <row r="4" spans="3:7" ht="19" x14ac:dyDescent="0.25">
      <c r="C4" s="35" t="s">
        <v>32</v>
      </c>
    </row>
    <row r="6" spans="3:7" x14ac:dyDescent="0.2">
      <c r="C6" s="37">
        <v>4</v>
      </c>
      <c r="D6" s="38">
        <v>-2</v>
      </c>
      <c r="E6" s="38">
        <v>1</v>
      </c>
      <c r="F6" s="39">
        <v>-3</v>
      </c>
    </row>
    <row r="7" spans="3:7" x14ac:dyDescent="0.2">
      <c r="C7" s="40">
        <v>0</v>
      </c>
      <c r="D7" s="41">
        <v>-3</v>
      </c>
      <c r="E7" s="41">
        <v>-1</v>
      </c>
      <c r="F7" s="42">
        <v>-7</v>
      </c>
    </row>
    <row r="8" spans="3:7" x14ac:dyDescent="0.2">
      <c r="C8" s="43">
        <v>2</v>
      </c>
      <c r="D8" s="44">
        <v>4</v>
      </c>
      <c r="E8" s="44">
        <f>2+1/6</f>
        <v>2.1666666666666665</v>
      </c>
      <c r="F8" s="45">
        <f>10+1/6</f>
        <v>10.166666666666666</v>
      </c>
    </row>
    <row r="9" spans="3:7" x14ac:dyDescent="0.2">
      <c r="C9" s="46"/>
      <c r="D9" s="46"/>
      <c r="E9" s="46"/>
      <c r="F9" s="46"/>
    </row>
    <row r="10" spans="3:7" x14ac:dyDescent="0.2">
      <c r="C10" s="46"/>
      <c r="D10" s="46"/>
      <c r="E10" s="46"/>
      <c r="F10" s="46"/>
    </row>
    <row r="11" spans="3:7" x14ac:dyDescent="0.2">
      <c r="C11" s="46" cm="1">
        <f t="array" ref="C11:F11">C6:F6/4</f>
        <v>1</v>
      </c>
      <c r="D11" s="46">
        <v>-0.5</v>
      </c>
      <c r="E11" s="46">
        <v>0.25</v>
      </c>
      <c r="F11" s="46">
        <v>-0.75</v>
      </c>
    </row>
    <row r="12" spans="3:7" x14ac:dyDescent="0.2">
      <c r="C12" s="46" cm="1">
        <f t="array" ref="C12:F12">C7:F7</f>
        <v>0</v>
      </c>
      <c r="D12" s="46">
        <v>-3</v>
      </c>
      <c r="E12" s="46">
        <v>-1</v>
      </c>
      <c r="F12" s="46">
        <v>-7</v>
      </c>
    </row>
    <row r="13" spans="3:7" x14ac:dyDescent="0.2">
      <c r="C13" s="46" cm="1">
        <f t="array" ref="C13:F13">_xlfn.ANCHORARRAY(C11)*-2+C8:F8</f>
        <v>0</v>
      </c>
      <c r="D13" s="46">
        <v>5</v>
      </c>
      <c r="E13" s="46">
        <v>1.6666666666666665</v>
      </c>
      <c r="F13" s="46">
        <v>11.666666666666666</v>
      </c>
    </row>
    <row r="14" spans="3:7" x14ac:dyDescent="0.2">
      <c r="C14" s="46"/>
      <c r="D14" s="46"/>
      <c r="E14" s="46"/>
      <c r="F14" s="46"/>
    </row>
    <row r="15" spans="3:7" x14ac:dyDescent="0.2">
      <c r="C15" s="46" cm="1">
        <f t="array" ref="C15:F15">_xlfn.ANCHORARRAY(C11)</f>
        <v>1</v>
      </c>
      <c r="D15" s="46">
        <v>-0.5</v>
      </c>
      <c r="E15" s="46">
        <v>0.25</v>
      </c>
      <c r="F15" s="46">
        <v>-0.75</v>
      </c>
    </row>
    <row r="16" spans="3:7" x14ac:dyDescent="0.2">
      <c r="C16" s="46" cm="1">
        <f t="array" ref="C16:F16">_xlfn.ANCHORARRAY(C12)/-3</f>
        <v>0</v>
      </c>
      <c r="D16" s="46">
        <v>1</v>
      </c>
      <c r="E16" s="46">
        <v>0.33333333333333331</v>
      </c>
      <c r="F16" s="46">
        <v>2.3333333333333335</v>
      </c>
    </row>
    <row r="17" spans="3:8" x14ac:dyDescent="0.2">
      <c r="C17" s="46" cm="1">
        <f t="array" ref="C17:F17">_xlfn.ANCHORARRAY(C16)*-5+_xlfn.ANCHORARRAY(C13)</f>
        <v>0</v>
      </c>
      <c r="D17" s="46">
        <v>0</v>
      </c>
      <c r="E17" s="46">
        <v>0</v>
      </c>
      <c r="F17" s="46">
        <v>0</v>
      </c>
      <c r="H17" t="s">
        <v>33</v>
      </c>
    </row>
    <row r="18" spans="3:8" x14ac:dyDescent="0.2">
      <c r="C18" s="46"/>
      <c r="D18" s="46"/>
      <c r="E18" s="46"/>
      <c r="F18" s="46"/>
    </row>
    <row r="19" spans="3:8" x14ac:dyDescent="0.2">
      <c r="C19" s="46"/>
      <c r="D19" s="46"/>
      <c r="E19" s="46"/>
      <c r="F19" s="46"/>
    </row>
    <row r="20" spans="3:8" x14ac:dyDescent="0.2">
      <c r="C20" s="46"/>
      <c r="D20" s="46"/>
      <c r="E20" s="46"/>
      <c r="F20" s="46"/>
    </row>
    <row r="21" spans="3:8" ht="19" x14ac:dyDescent="0.25">
      <c r="C21" s="47" t="s">
        <v>34</v>
      </c>
      <c r="D21" s="46"/>
      <c r="E21" s="46"/>
      <c r="F21" s="46"/>
    </row>
    <row r="22" spans="3:8" x14ac:dyDescent="0.2">
      <c r="C22" s="46"/>
      <c r="D22" s="46"/>
      <c r="E22" s="46"/>
      <c r="F22" s="46"/>
    </row>
    <row r="23" spans="3:8" x14ac:dyDescent="0.2">
      <c r="C23" s="25">
        <v>3</v>
      </c>
      <c r="D23" s="26">
        <v>6</v>
      </c>
      <c r="E23" s="26">
        <v>-9</v>
      </c>
      <c r="F23" s="27">
        <v>2</v>
      </c>
    </row>
    <row r="24" spans="3:8" x14ac:dyDescent="0.2">
      <c r="C24" s="28">
        <v>1</v>
      </c>
      <c r="D24" s="29">
        <v>1</v>
      </c>
      <c r="E24" s="29">
        <v>-1</v>
      </c>
      <c r="F24" s="30">
        <v>-1</v>
      </c>
    </row>
    <row r="25" spans="3:8" x14ac:dyDescent="0.2">
      <c r="C25" s="31">
        <v>2</v>
      </c>
      <c r="D25" s="32">
        <v>4</v>
      </c>
      <c r="E25" s="32">
        <v>-6</v>
      </c>
      <c r="F25" s="33">
        <v>1</v>
      </c>
    </row>
    <row r="26" spans="3:8" x14ac:dyDescent="0.2">
      <c r="C26" s="46"/>
      <c r="D26" s="46"/>
      <c r="E26" s="46"/>
      <c r="F26" s="46"/>
    </row>
    <row r="27" spans="3:8" x14ac:dyDescent="0.2">
      <c r="C27" s="46"/>
      <c r="D27" s="46"/>
      <c r="E27" s="46"/>
      <c r="F27" s="46"/>
    </row>
    <row r="28" spans="3:8" x14ac:dyDescent="0.2">
      <c r="C28" s="46" cm="1">
        <f t="array" ref="C28:F28">C23:F23/3</f>
        <v>1</v>
      </c>
      <c r="D28" s="46">
        <v>2</v>
      </c>
      <c r="E28" s="46">
        <v>-3</v>
      </c>
      <c r="F28" s="46">
        <v>0.66666666666666663</v>
      </c>
    </row>
    <row r="29" spans="3:8" x14ac:dyDescent="0.2">
      <c r="C29" s="46" cm="1">
        <f t="array" ref="C29:F29">C24:F24-_xlfn.ANCHORARRAY(C28)</f>
        <v>0</v>
      </c>
      <c r="D29" s="46">
        <v>-1</v>
      </c>
      <c r="E29" s="46">
        <v>2</v>
      </c>
      <c r="F29" s="46">
        <v>-1.6666666666666665</v>
      </c>
    </row>
    <row r="30" spans="3:8" x14ac:dyDescent="0.2">
      <c r="C30" s="46" cm="1">
        <f t="array" ref="C30:F30">_xlfn.ANCHORARRAY(C28)*-2+C25:F25</f>
        <v>0</v>
      </c>
      <c r="D30" s="46">
        <v>0</v>
      </c>
      <c r="E30" s="46">
        <v>0</v>
      </c>
      <c r="F30" s="46">
        <v>-0.33333333333333326</v>
      </c>
      <c r="H30" t="s">
        <v>64</v>
      </c>
    </row>
    <row r="31" spans="3:8" x14ac:dyDescent="0.2">
      <c r="C31" s="46"/>
      <c r="D31" s="46"/>
      <c r="E31" s="46"/>
      <c r="F31" s="46"/>
    </row>
    <row r="32" spans="3:8" x14ac:dyDescent="0.2">
      <c r="C32" s="46"/>
      <c r="D32" s="46"/>
      <c r="E32" s="46"/>
      <c r="F32" s="46"/>
    </row>
    <row r="33" spans="2:7" x14ac:dyDescent="0.2">
      <c r="C33" s="46"/>
      <c r="D33" s="46"/>
      <c r="E33" s="46"/>
      <c r="F33" s="46"/>
    </row>
    <row r="34" spans="2:7" ht="19" x14ac:dyDescent="0.25">
      <c r="C34" s="47" t="s">
        <v>65</v>
      </c>
      <c r="D34" s="46"/>
      <c r="E34" s="46"/>
      <c r="F34" s="46"/>
    </row>
    <row r="35" spans="2:7" x14ac:dyDescent="0.2">
      <c r="C35" s="46"/>
      <c r="D35" s="46"/>
      <c r="E35" s="46"/>
      <c r="F35" s="46"/>
    </row>
    <row r="36" spans="2:7" x14ac:dyDescent="0.2">
      <c r="C36" s="57">
        <v>1</v>
      </c>
      <c r="D36" s="58">
        <v>-1</v>
      </c>
      <c r="E36" s="58">
        <v>2</v>
      </c>
      <c r="F36" s="59">
        <v>4</v>
      </c>
      <c r="G36" s="59">
        <v>4</v>
      </c>
    </row>
    <row r="37" spans="2:7" x14ac:dyDescent="0.2">
      <c r="C37" s="60">
        <v>2</v>
      </c>
      <c r="D37" s="61">
        <v>2</v>
      </c>
      <c r="E37" s="61">
        <v>-2</v>
      </c>
      <c r="F37" s="62">
        <v>1</v>
      </c>
      <c r="G37" s="62">
        <v>2</v>
      </c>
    </row>
    <row r="38" spans="2:7" x14ac:dyDescent="0.2">
      <c r="C38" s="60">
        <v>1</v>
      </c>
      <c r="D38" s="61">
        <v>1</v>
      </c>
      <c r="E38" s="61">
        <v>-1</v>
      </c>
      <c r="F38" s="62">
        <v>-1</v>
      </c>
      <c r="G38" s="62">
        <v>1</v>
      </c>
    </row>
    <row r="39" spans="2:7" x14ac:dyDescent="0.2">
      <c r="C39" s="63">
        <v>0</v>
      </c>
      <c r="D39" s="64">
        <v>-1</v>
      </c>
      <c r="E39" s="64">
        <v>2</v>
      </c>
      <c r="F39" s="65">
        <v>1</v>
      </c>
      <c r="G39" s="65">
        <v>2</v>
      </c>
    </row>
    <row r="41" spans="2:7" ht="17" thickBot="1" x14ac:dyDescent="0.25">
      <c r="B41" t="s">
        <v>153</v>
      </c>
    </row>
    <row r="42" spans="2:7" x14ac:dyDescent="0.2">
      <c r="B42" s="68" t="s">
        <v>66</v>
      </c>
      <c r="C42" s="36" cm="1">
        <f t="array" ref="C42:G42">C36:G36</f>
        <v>1</v>
      </c>
      <c r="D42">
        <v>-1</v>
      </c>
      <c r="E42">
        <v>2</v>
      </c>
      <c r="F42">
        <v>4</v>
      </c>
      <c r="G42">
        <v>4</v>
      </c>
    </row>
    <row r="43" spans="2:7" x14ac:dyDescent="0.2">
      <c r="B43" s="69" t="s">
        <v>67</v>
      </c>
      <c r="C43" s="36" cm="1">
        <f t="array" ref="C43:G43">_xlfn.ANCHORARRAY(C42)*-2+C37:G37</f>
        <v>0</v>
      </c>
      <c r="D43">
        <v>4</v>
      </c>
      <c r="E43">
        <v>-6</v>
      </c>
      <c r="F43">
        <v>-7</v>
      </c>
      <c r="G43">
        <v>-6</v>
      </c>
    </row>
    <row r="44" spans="2:7" x14ac:dyDescent="0.2">
      <c r="B44" s="69" t="s">
        <v>68</v>
      </c>
      <c r="C44" s="36" cm="1">
        <f t="array" ref="C44:G44">C38:G38-_xlfn.ANCHORARRAY(C42)</f>
        <v>0</v>
      </c>
      <c r="D44">
        <v>2</v>
      </c>
      <c r="E44">
        <v>-3</v>
      </c>
      <c r="F44">
        <v>-5</v>
      </c>
      <c r="G44">
        <v>-3</v>
      </c>
    </row>
    <row r="45" spans="2:7" x14ac:dyDescent="0.2">
      <c r="B45" s="69" t="s">
        <v>69</v>
      </c>
      <c r="C45" s="36" cm="1">
        <f t="array" ref="C45:G45">C39:G39</f>
        <v>0</v>
      </c>
      <c r="D45">
        <v>-1</v>
      </c>
      <c r="E45">
        <v>2</v>
      </c>
      <c r="F45">
        <v>1</v>
      </c>
      <c r="G45">
        <v>2</v>
      </c>
    </row>
    <row r="46" spans="2:7" x14ac:dyDescent="0.2">
      <c r="B46" s="69"/>
    </row>
    <row r="47" spans="2:7" x14ac:dyDescent="0.2">
      <c r="B47" s="69" t="s">
        <v>67</v>
      </c>
      <c r="C47" s="36" cm="1">
        <f t="array" ref="C47:G47">C36:G36+_xlfn.ANCHORARRAY(C50)</f>
        <v>1</v>
      </c>
      <c r="D47">
        <v>0</v>
      </c>
      <c r="E47">
        <v>0</v>
      </c>
      <c r="F47">
        <v>3</v>
      </c>
      <c r="G47">
        <v>2</v>
      </c>
    </row>
    <row r="48" spans="2:7" x14ac:dyDescent="0.2">
      <c r="B48" s="69" t="s">
        <v>68</v>
      </c>
      <c r="C48" s="36" cm="1">
        <f t="array" ref="C48:G48">_xlfn.ANCHORARRAY(C50)*-4+_xlfn.ANCHORARRAY(C43)</f>
        <v>0</v>
      </c>
      <c r="D48">
        <v>0</v>
      </c>
      <c r="E48">
        <v>2</v>
      </c>
      <c r="F48">
        <v>-3</v>
      </c>
      <c r="G48">
        <v>2</v>
      </c>
    </row>
    <row r="49" spans="2:10" x14ac:dyDescent="0.2">
      <c r="B49" s="69" t="s">
        <v>69</v>
      </c>
      <c r="C49" s="36" cm="1">
        <f t="array" ref="C49:G49">_xlfn.ANCHORARRAY(C50)*-2+_xlfn.ANCHORARRAY(C44)</f>
        <v>0</v>
      </c>
      <c r="D49">
        <v>0</v>
      </c>
      <c r="E49">
        <v>1</v>
      </c>
      <c r="F49">
        <v>-3</v>
      </c>
      <c r="G49">
        <v>1</v>
      </c>
    </row>
    <row r="50" spans="2:10" x14ac:dyDescent="0.2">
      <c r="B50" s="69" t="s">
        <v>66</v>
      </c>
      <c r="C50" s="36" cm="1">
        <f t="array" ref="C50:G50">_xlfn.ANCHORARRAY(C45)*-1</f>
        <v>0</v>
      </c>
      <c r="D50">
        <v>1</v>
      </c>
      <c r="E50">
        <v>-2</v>
      </c>
      <c r="F50">
        <v>-1</v>
      </c>
      <c r="G50">
        <v>-2</v>
      </c>
    </row>
    <row r="51" spans="2:10" x14ac:dyDescent="0.2">
      <c r="B51" s="69"/>
    </row>
    <row r="52" spans="2:10" x14ac:dyDescent="0.2">
      <c r="B52" s="69" t="s">
        <v>67</v>
      </c>
      <c r="C52" s="36" cm="1">
        <f t="array" ref="C52:G52">_xlfn.ANCHORARRAY(C47)</f>
        <v>1</v>
      </c>
      <c r="D52">
        <v>0</v>
      </c>
      <c r="E52">
        <v>0</v>
      </c>
      <c r="F52">
        <v>3</v>
      </c>
      <c r="G52">
        <v>2</v>
      </c>
    </row>
    <row r="53" spans="2:10" x14ac:dyDescent="0.2">
      <c r="B53" s="69" t="s">
        <v>68</v>
      </c>
      <c r="C53" s="36" cm="1">
        <f t="array" ref="C53:G53">_xlfn.ANCHORARRAY(C54)*-2+_xlfn.ANCHORARRAY(C48)</f>
        <v>0</v>
      </c>
      <c r="D53">
        <v>0</v>
      </c>
      <c r="E53">
        <v>0</v>
      </c>
      <c r="F53">
        <v>3</v>
      </c>
      <c r="G53">
        <v>0</v>
      </c>
    </row>
    <row r="54" spans="2:10" x14ac:dyDescent="0.2">
      <c r="B54" s="69" t="s">
        <v>66</v>
      </c>
      <c r="C54" s="36" cm="1">
        <f t="array" ref="C54:G54">_xlfn.ANCHORARRAY(C49)</f>
        <v>0</v>
      </c>
      <c r="D54">
        <v>0</v>
      </c>
      <c r="E54">
        <v>1</v>
      </c>
      <c r="F54">
        <v>-3</v>
      </c>
      <c r="G54">
        <v>1</v>
      </c>
    </row>
    <row r="55" spans="2:10" x14ac:dyDescent="0.2">
      <c r="B55" s="69" t="s">
        <v>69</v>
      </c>
      <c r="C55" s="36" cm="1">
        <f t="array" ref="C55:G55">_xlfn.ANCHORARRAY(C54)*2+_xlfn.ANCHORARRAY(C50)</f>
        <v>0</v>
      </c>
      <c r="D55">
        <v>1</v>
      </c>
      <c r="E55">
        <v>0</v>
      </c>
      <c r="F55">
        <v>-7</v>
      </c>
      <c r="G55">
        <v>0</v>
      </c>
    </row>
    <row r="56" spans="2:10" x14ac:dyDescent="0.2">
      <c r="B56" s="69"/>
    </row>
    <row r="57" spans="2:10" ht="17" thickBot="1" x14ac:dyDescent="0.25">
      <c r="B57" s="69" t="s">
        <v>67</v>
      </c>
      <c r="C57" s="36" cm="1">
        <f t="array" ref="C57:G57">_xlfn.ANCHORARRAY(C58)*-3+_xlfn.ANCHORARRAY(C52)</f>
        <v>1</v>
      </c>
      <c r="D57">
        <v>0</v>
      </c>
      <c r="E57">
        <v>0</v>
      </c>
      <c r="F57">
        <v>0</v>
      </c>
      <c r="G57">
        <v>2</v>
      </c>
      <c r="I57" s="66" t="s">
        <v>70</v>
      </c>
      <c r="J57" s="67" cm="1">
        <f t="array" ref="J57:J60">G57:G60</f>
        <v>2</v>
      </c>
    </row>
    <row r="58" spans="2:10" ht="18" thickTop="1" thickBot="1" x14ac:dyDescent="0.25">
      <c r="B58" s="69" t="s">
        <v>66</v>
      </c>
      <c r="C58" s="36" cm="1">
        <f t="array" ref="C58:G58">_xlfn.ANCHORARRAY(C53)/3</f>
        <v>0</v>
      </c>
      <c r="D58">
        <v>0</v>
      </c>
      <c r="E58">
        <v>0</v>
      </c>
      <c r="F58">
        <v>1</v>
      </c>
      <c r="G58">
        <v>0</v>
      </c>
      <c r="I58" s="66" t="s">
        <v>71</v>
      </c>
      <c r="J58" s="67">
        <v>0</v>
      </c>
    </row>
    <row r="59" spans="2:10" ht="18" thickTop="1" thickBot="1" x14ac:dyDescent="0.25">
      <c r="B59" s="69" t="s">
        <v>68</v>
      </c>
      <c r="C59" s="36" cm="1">
        <f t="array" ref="C59:G59">_xlfn.ANCHORARRAY(C58)*3+_xlfn.ANCHORARRAY(C54)</f>
        <v>0</v>
      </c>
      <c r="D59">
        <v>0</v>
      </c>
      <c r="E59">
        <v>1</v>
      </c>
      <c r="F59">
        <v>0</v>
      </c>
      <c r="G59">
        <v>1</v>
      </c>
      <c r="I59" s="66" t="s">
        <v>72</v>
      </c>
      <c r="J59" s="67">
        <v>1</v>
      </c>
    </row>
    <row r="60" spans="2:10" ht="18" thickTop="1" thickBot="1" x14ac:dyDescent="0.25">
      <c r="B60" s="70" t="s">
        <v>69</v>
      </c>
      <c r="C60" s="36" cm="1">
        <f t="array" ref="C60:G60">_xlfn.ANCHORARRAY(C58)*7+_xlfn.ANCHORARRAY(C55)</f>
        <v>0</v>
      </c>
      <c r="D60">
        <v>1</v>
      </c>
      <c r="E60">
        <v>0</v>
      </c>
      <c r="F60">
        <v>0</v>
      </c>
      <c r="G60">
        <v>0</v>
      </c>
      <c r="I60" s="66" t="s">
        <v>73</v>
      </c>
      <c r="J60" s="67">
        <v>0</v>
      </c>
    </row>
  </sheetData>
  <mergeCells count="1">
    <mergeCell ref="C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5A02-8E1E-4D4E-8439-A05FFFBECAEB}">
  <dimension ref="B1:AG40"/>
  <sheetViews>
    <sheetView topLeftCell="P1" zoomScale="125" workbookViewId="0">
      <selection activeCell="X23" sqref="X23"/>
    </sheetView>
  </sheetViews>
  <sheetFormatPr baseColWidth="10" defaultRowHeight="16" x14ac:dyDescent="0.2"/>
  <sheetData>
    <row r="1" spans="2:30" x14ac:dyDescent="0.2">
      <c r="V1" s="258" t="s">
        <v>27</v>
      </c>
      <c r="W1" s="258"/>
      <c r="X1" s="258"/>
      <c r="Y1" s="258"/>
      <c r="Z1" s="258"/>
    </row>
    <row r="2" spans="2:30" x14ac:dyDescent="0.2">
      <c r="B2" t="s">
        <v>6</v>
      </c>
      <c r="C2">
        <v>90</v>
      </c>
      <c r="D2">
        <v>100</v>
      </c>
      <c r="E2">
        <v>150</v>
      </c>
      <c r="L2" s="257">
        <v>2.1</v>
      </c>
      <c r="M2" s="257"/>
      <c r="N2" s="257"/>
      <c r="O2" s="257"/>
      <c r="V2" s="258"/>
      <c r="W2" s="258"/>
      <c r="X2" s="258"/>
      <c r="Y2" s="258"/>
      <c r="Z2" s="258"/>
    </row>
    <row r="3" spans="2:30" x14ac:dyDescent="0.2">
      <c r="C3" t="s">
        <v>3</v>
      </c>
      <c r="D3" t="s">
        <v>4</v>
      </c>
      <c r="E3" t="s">
        <v>5</v>
      </c>
      <c r="L3" s="257"/>
      <c r="M3" s="257"/>
      <c r="N3" s="257"/>
      <c r="O3" s="257"/>
    </row>
    <row r="4" spans="2:30" x14ac:dyDescent="0.2">
      <c r="B4" t="s">
        <v>0</v>
      </c>
      <c r="C4">
        <v>40</v>
      </c>
      <c r="D4">
        <v>45</v>
      </c>
      <c r="E4">
        <v>65</v>
      </c>
      <c r="F4">
        <v>5000</v>
      </c>
      <c r="W4" s="1">
        <v>90</v>
      </c>
      <c r="X4" s="1">
        <v>100</v>
      </c>
      <c r="Y4" s="1">
        <v>150</v>
      </c>
      <c r="Z4" s="1"/>
      <c r="AA4" s="1"/>
    </row>
    <row r="5" spans="2:30" x14ac:dyDescent="0.2">
      <c r="B5" t="s">
        <v>1</v>
      </c>
      <c r="C5">
        <v>20</v>
      </c>
      <c r="D5">
        <v>12</v>
      </c>
      <c r="E5">
        <v>12</v>
      </c>
      <c r="F5">
        <v>1000</v>
      </c>
      <c r="W5" s="1" t="s">
        <v>3</v>
      </c>
      <c r="X5" s="1" t="s">
        <v>4</v>
      </c>
      <c r="Y5" s="1" t="s">
        <v>5</v>
      </c>
      <c r="Z5" s="1" t="s">
        <v>12</v>
      </c>
      <c r="AA5" s="1" t="s">
        <v>11</v>
      </c>
    </row>
    <row r="6" spans="2:30" x14ac:dyDescent="0.2">
      <c r="B6" t="s">
        <v>2</v>
      </c>
      <c r="C6">
        <v>1</v>
      </c>
      <c r="D6">
        <v>1</v>
      </c>
      <c r="E6">
        <v>2</v>
      </c>
      <c r="F6">
        <v>150</v>
      </c>
      <c r="L6">
        <v>100</v>
      </c>
      <c r="M6">
        <v>150</v>
      </c>
      <c r="U6" t="s">
        <v>0</v>
      </c>
      <c r="V6" t="s">
        <v>8</v>
      </c>
      <c r="W6" s="1">
        <v>40</v>
      </c>
      <c r="X6" s="1">
        <v>45</v>
      </c>
      <c r="Y6" s="1">
        <v>65</v>
      </c>
      <c r="Z6" s="1" t="s">
        <v>7</v>
      </c>
      <c r="AA6" s="1">
        <v>5000</v>
      </c>
      <c r="AB6" s="1" t="s">
        <v>15</v>
      </c>
    </row>
    <row r="7" spans="2:30" x14ac:dyDescent="0.2">
      <c r="L7" t="s">
        <v>4</v>
      </c>
      <c r="M7" t="s">
        <v>5</v>
      </c>
      <c r="U7" t="s">
        <v>13</v>
      </c>
      <c r="V7" t="s">
        <v>9</v>
      </c>
      <c r="W7" s="1">
        <v>20</v>
      </c>
      <c r="X7" s="1">
        <v>12</v>
      </c>
      <c r="Y7" s="1">
        <v>12</v>
      </c>
      <c r="Z7" s="1" t="s">
        <v>7</v>
      </c>
      <c r="AA7" s="1">
        <v>1000</v>
      </c>
      <c r="AB7" s="1" t="s">
        <v>15</v>
      </c>
    </row>
    <row r="8" spans="2:30" x14ac:dyDescent="0.2">
      <c r="K8" t="s">
        <v>8</v>
      </c>
      <c r="L8">
        <v>45</v>
      </c>
      <c r="M8">
        <v>65</v>
      </c>
      <c r="N8" s="1" t="s">
        <v>7</v>
      </c>
      <c r="O8">
        <v>5000</v>
      </c>
      <c r="U8" t="s">
        <v>14</v>
      </c>
      <c r="V8" t="s">
        <v>10</v>
      </c>
      <c r="W8" s="1">
        <v>1</v>
      </c>
      <c r="X8" s="1">
        <v>1</v>
      </c>
      <c r="Y8" s="1">
        <v>2</v>
      </c>
      <c r="Z8" s="1" t="s">
        <v>7</v>
      </c>
      <c r="AA8" s="1">
        <v>150</v>
      </c>
      <c r="AB8" s="1" t="s">
        <v>15</v>
      </c>
    </row>
    <row r="9" spans="2:30" ht="17" thickBot="1" x14ac:dyDescent="0.25">
      <c r="K9" t="s">
        <v>9</v>
      </c>
      <c r="L9">
        <v>12</v>
      </c>
      <c r="M9">
        <v>12</v>
      </c>
      <c r="N9" s="1" t="s">
        <v>7</v>
      </c>
      <c r="O9">
        <v>1000</v>
      </c>
    </row>
    <row r="10" spans="2:30" x14ac:dyDescent="0.2">
      <c r="K10" t="s">
        <v>10</v>
      </c>
      <c r="L10">
        <v>1</v>
      </c>
      <c r="M10">
        <v>2</v>
      </c>
      <c r="N10" s="1" t="s">
        <v>7</v>
      </c>
      <c r="O10">
        <v>150</v>
      </c>
      <c r="U10" s="2"/>
      <c r="V10" s="2"/>
      <c r="W10" s="5"/>
      <c r="X10" s="6"/>
      <c r="Y10" s="7"/>
      <c r="Z10" s="2"/>
      <c r="AA10" s="2"/>
      <c r="AB10" s="2"/>
      <c r="AC10" s="2"/>
      <c r="AD10" s="2"/>
    </row>
    <row r="11" spans="2:30" ht="17" thickBot="1" x14ac:dyDescent="0.25">
      <c r="U11" s="1"/>
      <c r="V11" s="1"/>
      <c r="W11" s="8">
        <v>90</v>
      </c>
      <c r="X11" s="1">
        <v>100</v>
      </c>
      <c r="Y11" s="9">
        <v>150</v>
      </c>
      <c r="Z11" s="1">
        <v>0</v>
      </c>
      <c r="AA11" s="1">
        <v>0</v>
      </c>
      <c r="AB11" s="1">
        <v>0</v>
      </c>
      <c r="AC11" s="1"/>
      <c r="AD11" s="1"/>
    </row>
    <row r="12" spans="2:30" x14ac:dyDescent="0.2">
      <c r="P12" t="s">
        <v>24</v>
      </c>
      <c r="Q12" t="s">
        <v>25</v>
      </c>
      <c r="U12" s="1"/>
      <c r="V12" s="1"/>
      <c r="W12" s="8" t="s">
        <v>16</v>
      </c>
      <c r="X12" s="1" t="s">
        <v>17</v>
      </c>
      <c r="Y12" s="9" t="s">
        <v>18</v>
      </c>
      <c r="Z12" s="1" t="s">
        <v>19</v>
      </c>
      <c r="AA12" s="1" t="s">
        <v>20</v>
      </c>
      <c r="AB12" s="1" t="s">
        <v>21</v>
      </c>
      <c r="AC12" s="15" t="s">
        <v>11</v>
      </c>
      <c r="AD12" s="1" t="s">
        <v>23</v>
      </c>
    </row>
    <row r="13" spans="2:30" x14ac:dyDescent="0.2">
      <c r="L13" cm="1">
        <f t="array" ref="L13:L15">O8:O10/L8:L10</f>
        <v>111.11111111111111</v>
      </c>
      <c r="M13" cm="1">
        <f t="array" ref="M13:M15">O8:O10/M8:M10</f>
        <v>76.92307692307692</v>
      </c>
      <c r="O13" t="s">
        <v>8</v>
      </c>
      <c r="P13">
        <v>111.11</v>
      </c>
      <c r="Q13">
        <v>0</v>
      </c>
      <c r="U13" s="1">
        <v>0</v>
      </c>
      <c r="V13" s="1" t="s">
        <v>19</v>
      </c>
      <c r="W13" s="8">
        <v>40</v>
      </c>
      <c r="X13" s="1">
        <v>45</v>
      </c>
      <c r="Y13" s="10">
        <v>65</v>
      </c>
      <c r="Z13" s="1">
        <v>1</v>
      </c>
      <c r="AA13" s="1">
        <v>0</v>
      </c>
      <c r="AB13" s="1">
        <v>0</v>
      </c>
      <c r="AC13" s="16">
        <v>5000</v>
      </c>
      <c r="AD13" s="1" cm="1">
        <f t="array" ref="AD13:AD15">AC13:AC15/Y13:Y15</f>
        <v>76.92307692307692</v>
      </c>
    </row>
    <row r="14" spans="2:30" x14ac:dyDescent="0.2">
      <c r="L14">
        <v>83.333333333333329</v>
      </c>
      <c r="M14">
        <v>83.333333333333329</v>
      </c>
      <c r="P14">
        <v>0</v>
      </c>
      <c r="Q14">
        <v>76.92</v>
      </c>
      <c r="U14" s="1">
        <v>0</v>
      </c>
      <c r="V14" s="1" t="s">
        <v>20</v>
      </c>
      <c r="W14" s="8">
        <v>20</v>
      </c>
      <c r="X14" s="1">
        <v>12</v>
      </c>
      <c r="Y14" s="10">
        <v>12</v>
      </c>
      <c r="Z14" s="1">
        <v>0</v>
      </c>
      <c r="AA14" s="1">
        <v>1</v>
      </c>
      <c r="AB14" s="1">
        <v>0</v>
      </c>
      <c r="AC14" s="16">
        <v>1000</v>
      </c>
      <c r="AD14" s="1">
        <v>83.333333333333329</v>
      </c>
    </row>
    <row r="15" spans="2:30" x14ac:dyDescent="0.2">
      <c r="L15">
        <v>150</v>
      </c>
      <c r="M15">
        <v>75</v>
      </c>
      <c r="O15" t="s">
        <v>9</v>
      </c>
      <c r="P15">
        <v>83.33</v>
      </c>
      <c r="Q15">
        <v>0</v>
      </c>
      <c r="U15" s="1">
        <v>0</v>
      </c>
      <c r="V15" s="1" t="s">
        <v>21</v>
      </c>
      <c r="W15" s="11">
        <v>1</v>
      </c>
      <c r="X15" s="4">
        <v>1</v>
      </c>
      <c r="Y15" s="10">
        <v>2</v>
      </c>
      <c r="Z15" s="4">
        <v>0</v>
      </c>
      <c r="AA15" s="4">
        <v>0</v>
      </c>
      <c r="AB15" s="4">
        <v>1</v>
      </c>
      <c r="AC15" s="17">
        <v>150</v>
      </c>
      <c r="AD15" s="4">
        <v>75</v>
      </c>
    </row>
    <row r="16" spans="2:30" x14ac:dyDescent="0.2">
      <c r="P16">
        <v>0</v>
      </c>
      <c r="Q16">
        <v>83.33</v>
      </c>
      <c r="U16" s="19"/>
      <c r="V16" s="19" t="s">
        <v>22</v>
      </c>
      <c r="W16" s="20">
        <f>SUMPRODUCT($U$13:$U$15,W13:W15)-W11</f>
        <v>-90</v>
      </c>
      <c r="X16" s="19">
        <f t="shared" ref="X16:AB16" si="0">SUMPRODUCT($U$13:$U$15,X13:X15)-X11</f>
        <v>-100</v>
      </c>
      <c r="Y16" s="24">
        <f t="shared" si="0"/>
        <v>-150</v>
      </c>
      <c r="Z16" s="19">
        <f t="shared" si="0"/>
        <v>0</v>
      </c>
      <c r="AA16" s="19">
        <f t="shared" si="0"/>
        <v>0</v>
      </c>
      <c r="AB16" s="19">
        <f t="shared" si="0"/>
        <v>0</v>
      </c>
      <c r="AC16" s="23">
        <v>0</v>
      </c>
      <c r="AD16" s="19"/>
    </row>
    <row r="17" spans="15:33" x14ac:dyDescent="0.2">
      <c r="O17" t="s">
        <v>10</v>
      </c>
      <c r="P17">
        <v>150</v>
      </c>
      <c r="Q17">
        <v>0</v>
      </c>
      <c r="U17" s="4">
        <v>0</v>
      </c>
      <c r="V17" s="4" t="s">
        <v>19</v>
      </c>
      <c r="W17" s="11" cm="1">
        <f t="array" ref="W17:AC17">W13:AC13-$Y$13*_xlfn.ANCHORARRAY(W19)</f>
        <v>7.5</v>
      </c>
      <c r="X17" s="4">
        <v>12.5</v>
      </c>
      <c r="Y17" s="10">
        <v>0</v>
      </c>
      <c r="Z17" s="4">
        <v>1</v>
      </c>
      <c r="AA17" s="4">
        <v>0</v>
      </c>
      <c r="AB17" s="4">
        <v>-32.5</v>
      </c>
      <c r="AC17" s="17">
        <v>125</v>
      </c>
      <c r="AD17" s="4" cm="1">
        <f t="array" ref="AD17:AD19">AC17:AC19/X17:X19</f>
        <v>10</v>
      </c>
    </row>
    <row r="18" spans="15:33" x14ac:dyDescent="0.2">
      <c r="P18">
        <v>0</v>
      </c>
      <c r="Q18">
        <v>75</v>
      </c>
      <c r="U18" s="1">
        <v>0</v>
      </c>
      <c r="V18" s="1" t="s">
        <v>20</v>
      </c>
      <c r="W18" s="8" cm="1">
        <f t="array" ref="W18:AC18">W14:AC14-$Y$14*_xlfn.ANCHORARRAY(W19)</f>
        <v>14</v>
      </c>
      <c r="X18" s="4">
        <v>6</v>
      </c>
      <c r="Y18" s="9">
        <v>0</v>
      </c>
      <c r="Z18" s="1">
        <v>0</v>
      </c>
      <c r="AA18" s="1">
        <v>1</v>
      </c>
      <c r="AB18" s="1">
        <v>-6</v>
      </c>
      <c r="AC18" s="16">
        <v>100</v>
      </c>
      <c r="AD18" s="1">
        <v>16.666666666666668</v>
      </c>
    </row>
    <row r="19" spans="15:33" x14ac:dyDescent="0.2">
      <c r="U19" s="1">
        <v>150</v>
      </c>
      <c r="V19" s="1" t="s">
        <v>18</v>
      </c>
      <c r="W19" s="8" cm="1">
        <f t="array" ref="W19:AC19">W15:AC15/2</f>
        <v>0.5</v>
      </c>
      <c r="X19" s="4">
        <v>0.5</v>
      </c>
      <c r="Y19" s="9">
        <v>1</v>
      </c>
      <c r="Z19" s="1">
        <v>0</v>
      </c>
      <c r="AA19" s="1">
        <v>0</v>
      </c>
      <c r="AB19" s="1">
        <v>0.5</v>
      </c>
      <c r="AC19" s="16">
        <v>75</v>
      </c>
      <c r="AD19" s="1">
        <v>150</v>
      </c>
    </row>
    <row r="20" spans="15:33" x14ac:dyDescent="0.2">
      <c r="O20" t="s">
        <v>26</v>
      </c>
      <c r="U20" s="19"/>
      <c r="V20" s="19" t="s">
        <v>22</v>
      </c>
      <c r="W20" s="20">
        <f>SUMPRODUCT($U$17:$U$19, W17:W19)-W11</f>
        <v>-15</v>
      </c>
      <c r="X20" s="21">
        <f t="shared" ref="X20:AC20" si="1">SUMPRODUCT($U$17:$U$19, X17:X19)-X11</f>
        <v>-25</v>
      </c>
      <c r="Y20" s="22">
        <f t="shared" si="1"/>
        <v>0</v>
      </c>
      <c r="Z20" s="19">
        <f t="shared" si="1"/>
        <v>0</v>
      </c>
      <c r="AA20" s="19">
        <f t="shared" si="1"/>
        <v>0</v>
      </c>
      <c r="AB20" s="19">
        <f t="shared" si="1"/>
        <v>75</v>
      </c>
      <c r="AC20" s="23">
        <f t="shared" si="1"/>
        <v>11250</v>
      </c>
      <c r="AD20" s="19"/>
    </row>
    <row r="21" spans="15:33" x14ac:dyDescent="0.2">
      <c r="U21" s="4">
        <v>100</v>
      </c>
      <c r="V21" s="4" t="s">
        <v>17</v>
      </c>
      <c r="W21" s="11" cm="1">
        <f t="array" ref="W21:AC21">_xlfn.ANCHORARRAY(W17)/12.5</f>
        <v>0.6</v>
      </c>
      <c r="X21" s="4">
        <v>1</v>
      </c>
      <c r="Y21" s="10">
        <v>0</v>
      </c>
      <c r="Z21" s="4">
        <v>0.08</v>
      </c>
      <c r="AA21" s="4">
        <v>0</v>
      </c>
      <c r="AB21" s="4">
        <v>-2.6</v>
      </c>
      <c r="AC21" s="17">
        <v>10</v>
      </c>
      <c r="AD21" s="4"/>
      <c r="AF21">
        <v>10</v>
      </c>
      <c r="AG21" t="s">
        <v>28</v>
      </c>
    </row>
    <row r="22" spans="15:33" x14ac:dyDescent="0.2">
      <c r="U22" s="1">
        <v>0</v>
      </c>
      <c r="V22" s="1" t="s">
        <v>20</v>
      </c>
      <c r="W22" s="8" cm="1">
        <f t="array" ref="W22:AC22">_xlfn.ANCHORARRAY(W18)-_xlfn.ANCHORARRAY(W21)*6</f>
        <v>10.4</v>
      </c>
      <c r="X22" s="1">
        <v>0</v>
      </c>
      <c r="Y22" s="9">
        <v>0</v>
      </c>
      <c r="Z22" s="1">
        <v>-0.48</v>
      </c>
      <c r="AA22" s="1">
        <v>1</v>
      </c>
      <c r="AB22" s="1">
        <v>9.6000000000000014</v>
      </c>
      <c r="AC22" s="16">
        <v>40</v>
      </c>
      <c r="AD22" s="1"/>
      <c r="AF22">
        <v>40</v>
      </c>
      <c r="AG22" t="s">
        <v>30</v>
      </c>
    </row>
    <row r="23" spans="15:33" x14ac:dyDescent="0.2">
      <c r="U23" s="1">
        <v>150</v>
      </c>
      <c r="V23" s="1" t="s">
        <v>18</v>
      </c>
      <c r="W23" s="8" cm="1">
        <f t="array" ref="W23:AC23">_xlfn.ANCHORARRAY(W19)-_xlfn.ANCHORARRAY(W21)*0.5</f>
        <v>0.2</v>
      </c>
      <c r="X23" s="1">
        <v>0</v>
      </c>
      <c r="Y23" s="9">
        <v>1</v>
      </c>
      <c r="Z23" s="1">
        <v>-0.04</v>
      </c>
      <c r="AA23" s="1">
        <v>0</v>
      </c>
      <c r="AB23" s="1">
        <v>1.8</v>
      </c>
      <c r="AC23" s="16">
        <v>70</v>
      </c>
      <c r="AD23" s="1"/>
      <c r="AF23">
        <v>70</v>
      </c>
      <c r="AG23" t="s">
        <v>29</v>
      </c>
    </row>
    <row r="24" spans="15:33" ht="17" thickBot="1" x14ac:dyDescent="0.25">
      <c r="U24" s="3"/>
      <c r="V24" s="3" t="s">
        <v>22</v>
      </c>
      <c r="W24" s="12">
        <f>SUMPRODUCT($U$21:$U$23, W21:W23)-W11</f>
        <v>0</v>
      </c>
      <c r="X24" s="13">
        <f t="shared" ref="X24:AC24" si="2">SUMPRODUCT($U$21:$U$23, X21:X23)-X11</f>
        <v>0</v>
      </c>
      <c r="Y24" s="14">
        <f t="shared" si="2"/>
        <v>0</v>
      </c>
      <c r="Z24" s="3">
        <f t="shared" si="2"/>
        <v>2</v>
      </c>
      <c r="AA24" s="3">
        <f t="shared" si="2"/>
        <v>0</v>
      </c>
      <c r="AB24" s="3">
        <f>SUMPRODUCT($U$21:$U$23, AB21:AB23)-AB11</f>
        <v>10</v>
      </c>
      <c r="AC24" s="18">
        <f t="shared" si="2"/>
        <v>11500</v>
      </c>
      <c r="AD24" s="3"/>
    </row>
    <row r="25" spans="15:33" x14ac:dyDescent="0.2"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5:33" x14ac:dyDescent="0.2"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5:33" x14ac:dyDescent="0.2"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5:33" x14ac:dyDescent="0.2"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5:33" x14ac:dyDescent="0.2"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5:33" x14ac:dyDescent="0.2"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5:33" x14ac:dyDescent="0.2"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5:33" x14ac:dyDescent="0.2"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1:30" x14ac:dyDescent="0.2"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1:30" x14ac:dyDescent="0.2"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1:30" x14ac:dyDescent="0.2"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1:30" x14ac:dyDescent="0.2"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1:30" x14ac:dyDescent="0.2"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1:30" x14ac:dyDescent="0.2"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1:30" x14ac:dyDescent="0.2"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1:30" x14ac:dyDescent="0.2">
      <c r="U40" s="1"/>
      <c r="V40" s="1"/>
      <c r="W40" s="1"/>
      <c r="X40" s="1"/>
      <c r="Y40" s="1"/>
      <c r="Z40" s="1"/>
      <c r="AA40" s="1"/>
      <c r="AB40" s="1"/>
      <c r="AC40" s="1"/>
      <c r="AD40" s="1"/>
    </row>
  </sheetData>
  <mergeCells count="2">
    <mergeCell ref="V1:Z2"/>
    <mergeCell ref="L2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3967-FFDE-F04F-B273-62D4209C0633}">
  <dimension ref="B3:K61"/>
  <sheetViews>
    <sheetView topLeftCell="A30" workbookViewId="0">
      <selection activeCell="E29" sqref="E29"/>
    </sheetView>
  </sheetViews>
  <sheetFormatPr baseColWidth="10" defaultRowHeight="16" x14ac:dyDescent="0.2"/>
  <sheetData>
    <row r="3" spans="2:11" x14ac:dyDescent="0.2">
      <c r="C3" t="s">
        <v>6</v>
      </c>
      <c r="D3" s="1">
        <v>90</v>
      </c>
      <c r="E3" s="1">
        <v>100</v>
      </c>
      <c r="F3" s="1">
        <v>150</v>
      </c>
    </row>
    <row r="4" spans="2:11" x14ac:dyDescent="0.2">
      <c r="D4" s="1" t="s">
        <v>3</v>
      </c>
      <c r="E4" s="1" t="s">
        <v>4</v>
      </c>
      <c r="F4" s="1" t="s">
        <v>5</v>
      </c>
      <c r="H4" s="1" t="s">
        <v>11</v>
      </c>
    </row>
    <row r="5" spans="2:11" x14ac:dyDescent="0.2">
      <c r="C5" t="s">
        <v>0</v>
      </c>
      <c r="D5" s="1">
        <v>40</v>
      </c>
      <c r="E5" s="1">
        <v>45</v>
      </c>
      <c r="F5" s="1">
        <v>65</v>
      </c>
      <c r="G5" t="s">
        <v>7</v>
      </c>
      <c r="H5" s="1">
        <v>5000</v>
      </c>
    </row>
    <row r="6" spans="2:11" x14ac:dyDescent="0.2">
      <c r="C6" t="s">
        <v>13</v>
      </c>
      <c r="D6" s="1">
        <v>20</v>
      </c>
      <c r="E6" s="1">
        <v>12</v>
      </c>
      <c r="F6" s="1">
        <v>12</v>
      </c>
      <c r="G6" t="s">
        <v>7</v>
      </c>
      <c r="H6" s="1">
        <v>1000</v>
      </c>
    </row>
    <row r="7" spans="2:11" x14ac:dyDescent="0.2">
      <c r="C7" t="s">
        <v>14</v>
      </c>
      <c r="D7" s="1">
        <v>1</v>
      </c>
      <c r="E7" s="1">
        <v>1</v>
      </c>
      <c r="F7" s="1">
        <v>2</v>
      </c>
      <c r="G7" t="s">
        <v>7</v>
      </c>
      <c r="H7" s="1">
        <v>150</v>
      </c>
    </row>
    <row r="12" spans="2:1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">
      <c r="B13" s="1"/>
      <c r="C13" s="1"/>
      <c r="D13" s="1">
        <v>90</v>
      </c>
      <c r="E13" s="1">
        <v>100</v>
      </c>
      <c r="F13" s="1">
        <v>150</v>
      </c>
      <c r="G13" s="1">
        <v>0</v>
      </c>
      <c r="H13" s="1">
        <v>0</v>
      </c>
      <c r="I13" s="1">
        <v>0</v>
      </c>
      <c r="J13" s="1"/>
      <c r="K13" s="1"/>
    </row>
    <row r="14" spans="2:11" x14ac:dyDescent="0.2">
      <c r="B14" s="1"/>
      <c r="C14" s="1"/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11</v>
      </c>
      <c r="K14" s="1" t="s">
        <v>23</v>
      </c>
    </row>
    <row r="15" spans="2:11" x14ac:dyDescent="0.2">
      <c r="B15" s="1">
        <v>0</v>
      </c>
      <c r="C15" s="1" t="s">
        <v>19</v>
      </c>
      <c r="D15" s="1">
        <v>40</v>
      </c>
      <c r="E15" s="1">
        <v>45</v>
      </c>
      <c r="F15" s="4">
        <v>65</v>
      </c>
      <c r="G15" s="1">
        <v>1</v>
      </c>
      <c r="H15" s="1">
        <v>0</v>
      </c>
      <c r="I15" s="1">
        <v>0</v>
      </c>
      <c r="J15" s="1">
        <v>5000</v>
      </c>
      <c r="K15" s="1" cm="1">
        <f t="array" ref="K15:K17">J15:J17/F15:F17</f>
        <v>76.92307692307692</v>
      </c>
    </row>
    <row r="16" spans="2:11" x14ac:dyDescent="0.2">
      <c r="B16" s="1">
        <v>0</v>
      </c>
      <c r="C16" s="1" t="s">
        <v>20</v>
      </c>
      <c r="D16" s="1">
        <v>20</v>
      </c>
      <c r="E16" s="1">
        <v>12</v>
      </c>
      <c r="F16" s="4">
        <v>12</v>
      </c>
      <c r="G16" s="1">
        <v>0</v>
      </c>
      <c r="H16" s="1">
        <v>1</v>
      </c>
      <c r="I16" s="1">
        <v>0</v>
      </c>
      <c r="J16" s="1">
        <v>1000</v>
      </c>
      <c r="K16" s="1">
        <v>83.333333333333329</v>
      </c>
    </row>
    <row r="17" spans="2:11" x14ac:dyDescent="0.2">
      <c r="B17" s="1">
        <v>0</v>
      </c>
      <c r="C17" s="1" t="s">
        <v>21</v>
      </c>
      <c r="D17" s="4">
        <v>1</v>
      </c>
      <c r="E17" s="4">
        <v>1</v>
      </c>
      <c r="F17" s="4">
        <v>2</v>
      </c>
      <c r="G17" s="4">
        <v>0</v>
      </c>
      <c r="H17" s="4">
        <v>0</v>
      </c>
      <c r="I17" s="4">
        <v>1</v>
      </c>
      <c r="J17" s="4">
        <v>150</v>
      </c>
      <c r="K17" s="1">
        <v>75</v>
      </c>
    </row>
    <row r="18" spans="2:11" x14ac:dyDescent="0.2">
      <c r="B18" s="72"/>
      <c r="C18" s="73" t="s">
        <v>22</v>
      </c>
      <c r="D18" s="73">
        <f>SUMPRODUCT($B$15:$B$17,D15:D17)-D13</f>
        <v>-90</v>
      </c>
      <c r="E18" s="73">
        <f t="shared" ref="E18:J18" si="0">SUMPRODUCT($B$15:$B$17,E15:E17)-E13</f>
        <v>-100</v>
      </c>
      <c r="F18" s="73">
        <f t="shared" si="0"/>
        <v>-150</v>
      </c>
      <c r="G18" s="73">
        <f t="shared" si="0"/>
        <v>0</v>
      </c>
      <c r="H18" s="73">
        <f t="shared" si="0"/>
        <v>0</v>
      </c>
      <c r="I18" s="73">
        <f t="shared" si="0"/>
        <v>0</v>
      </c>
      <c r="J18" s="73">
        <f t="shared" si="0"/>
        <v>0</v>
      </c>
      <c r="K18" s="74"/>
    </row>
    <row r="19" spans="2:11" x14ac:dyDescent="0.2">
      <c r="B19" s="1">
        <v>0</v>
      </c>
      <c r="C19" s="1" t="s">
        <v>19</v>
      </c>
      <c r="D19" s="4" cm="1">
        <f t="array" ref="D19:J19">D15:J15-F15*_xlfn.ANCHORARRAY(D21)</f>
        <v>7.5</v>
      </c>
      <c r="E19" s="4">
        <v>12.5</v>
      </c>
      <c r="F19" s="4">
        <v>0</v>
      </c>
      <c r="G19" s="4">
        <v>1</v>
      </c>
      <c r="H19" s="4">
        <v>0</v>
      </c>
      <c r="I19" s="4">
        <v>-32.5</v>
      </c>
      <c r="J19" s="4">
        <v>125</v>
      </c>
      <c r="K19" s="1" cm="1">
        <f t="array" ref="K19:K21">J19:J21/E19:E21</f>
        <v>10</v>
      </c>
    </row>
    <row r="20" spans="2:11" x14ac:dyDescent="0.2">
      <c r="B20" s="1">
        <v>0</v>
      </c>
      <c r="C20" s="1" t="s">
        <v>20</v>
      </c>
      <c r="D20" s="1" cm="1">
        <f t="array" ref="D20:J20">D16:J16-F16*_xlfn.ANCHORARRAY(D21)</f>
        <v>14</v>
      </c>
      <c r="E20" s="4">
        <v>6</v>
      </c>
      <c r="F20" s="1">
        <v>0</v>
      </c>
      <c r="G20" s="1">
        <v>0</v>
      </c>
      <c r="H20" s="1">
        <v>1</v>
      </c>
      <c r="I20" s="1">
        <v>-6</v>
      </c>
      <c r="J20" s="1">
        <v>100</v>
      </c>
      <c r="K20" s="1">
        <v>16.666666666666668</v>
      </c>
    </row>
    <row r="21" spans="2:11" x14ac:dyDescent="0.2">
      <c r="B21" s="1">
        <v>150</v>
      </c>
      <c r="C21" s="1" t="s">
        <v>18</v>
      </c>
      <c r="D21" s="1" cm="1">
        <f t="array" ref="D21:J21">D17:J17/2</f>
        <v>0.5</v>
      </c>
      <c r="E21" s="4">
        <v>0.5</v>
      </c>
      <c r="F21" s="1">
        <v>1</v>
      </c>
      <c r="G21" s="1">
        <v>0</v>
      </c>
      <c r="H21" s="1">
        <v>0</v>
      </c>
      <c r="I21" s="1">
        <v>0.5</v>
      </c>
      <c r="J21" s="1">
        <v>75</v>
      </c>
      <c r="K21" s="1">
        <v>150</v>
      </c>
    </row>
    <row r="22" spans="2:11" x14ac:dyDescent="0.2">
      <c r="B22" s="72"/>
      <c r="C22" s="73" t="s">
        <v>22</v>
      </c>
      <c r="D22" s="73">
        <f>SUMPRODUCT($B$19:$B$21,D19:D21)-D13</f>
        <v>-15</v>
      </c>
      <c r="E22" s="73">
        <f t="shared" ref="E22:I22" si="1">SUMPRODUCT($B$19:$B$21,E19:E21)-E13</f>
        <v>-25</v>
      </c>
      <c r="F22" s="73">
        <f t="shared" si="1"/>
        <v>0</v>
      </c>
      <c r="G22" s="73">
        <f t="shared" si="1"/>
        <v>0</v>
      </c>
      <c r="H22" s="73">
        <f t="shared" si="1"/>
        <v>0</v>
      </c>
      <c r="I22" s="73">
        <f t="shared" si="1"/>
        <v>75</v>
      </c>
      <c r="J22" s="73">
        <f>SUMPRODUCT($B$19:$B$21,J19:J21)-J13</f>
        <v>11250</v>
      </c>
      <c r="K22" s="74"/>
    </row>
    <row r="23" spans="2:11" x14ac:dyDescent="0.2">
      <c r="B23" s="1">
        <v>100</v>
      </c>
      <c r="C23" s="1" t="s">
        <v>17</v>
      </c>
      <c r="D23" s="1" cm="1">
        <f t="array" ref="D23:J23">_xlfn.ANCHORARRAY(D19)/12.5</f>
        <v>0.6</v>
      </c>
      <c r="E23" s="1">
        <v>1</v>
      </c>
      <c r="F23" s="1">
        <v>0</v>
      </c>
      <c r="G23" s="1">
        <v>0.08</v>
      </c>
      <c r="H23" s="1">
        <v>0</v>
      </c>
      <c r="I23" s="1">
        <v>-2.6</v>
      </c>
      <c r="J23" s="1">
        <v>10</v>
      </c>
      <c r="K23" s="1"/>
    </row>
    <row r="24" spans="2:11" x14ac:dyDescent="0.2">
      <c r="B24" s="1">
        <v>0</v>
      </c>
      <c r="C24" s="1" t="s">
        <v>20</v>
      </c>
      <c r="D24" s="1" cm="1">
        <f t="array" ref="D24:J24">_xlfn.ANCHORARRAY(D20)-E20*_xlfn.ANCHORARRAY(D23)</f>
        <v>10.4</v>
      </c>
      <c r="E24" s="1">
        <v>0</v>
      </c>
      <c r="F24" s="1">
        <v>0</v>
      </c>
      <c r="G24" s="1">
        <v>-0.48</v>
      </c>
      <c r="H24" s="1">
        <v>1</v>
      </c>
      <c r="I24" s="1">
        <v>9.6000000000000014</v>
      </c>
      <c r="J24" s="1">
        <v>40</v>
      </c>
      <c r="K24" s="1"/>
    </row>
    <row r="25" spans="2:11" x14ac:dyDescent="0.2">
      <c r="B25" s="1">
        <v>150</v>
      </c>
      <c r="C25" s="1" t="s">
        <v>18</v>
      </c>
      <c r="D25" s="1" cm="1">
        <f t="array" ref="D25:J25">_xlfn.ANCHORARRAY(D21)-D21*_xlfn.ANCHORARRAY(D23)</f>
        <v>0.2</v>
      </c>
      <c r="E25" s="1">
        <v>0</v>
      </c>
      <c r="F25" s="1">
        <v>1</v>
      </c>
      <c r="G25" s="1">
        <v>-0.04</v>
      </c>
      <c r="H25" s="1">
        <v>0</v>
      </c>
      <c r="I25" s="1">
        <v>1.8</v>
      </c>
      <c r="J25" s="1">
        <v>70</v>
      </c>
      <c r="K25" s="1"/>
    </row>
    <row r="26" spans="2:11" x14ac:dyDescent="0.2">
      <c r="B26" s="72"/>
      <c r="C26" s="73" t="s">
        <v>22</v>
      </c>
      <c r="D26" s="73">
        <f>SUMPRODUCT($B$23:$B$25,D23:D25)-D13</f>
        <v>0</v>
      </c>
      <c r="E26" s="73">
        <f t="shared" ref="E26:G26" si="2">SUMPRODUCT($B$23:$B$25,E23:E25)-E13</f>
        <v>0</v>
      </c>
      <c r="F26" s="73">
        <f t="shared" si="2"/>
        <v>0</v>
      </c>
      <c r="G26" s="73">
        <f t="shared" si="2"/>
        <v>2</v>
      </c>
      <c r="H26" s="73">
        <f>SUMPRODUCT($B$23:$B$25,H23:H25)-H13</f>
        <v>0</v>
      </c>
      <c r="I26" s="73">
        <f>SUMPRODUCT($B$23:$B$25,I23:I25)-I13</f>
        <v>10</v>
      </c>
      <c r="J26" s="73">
        <f>SUMPRODUCT($B$23:$B$25,J23:J25)-J13</f>
        <v>11500</v>
      </c>
      <c r="K26" s="74"/>
    </row>
    <row r="27" spans="2:1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31" spans="2:11" x14ac:dyDescent="0.2">
      <c r="B31" t="s">
        <v>78</v>
      </c>
      <c r="C31" t="s">
        <v>87</v>
      </c>
    </row>
    <row r="33" spans="2:11" x14ac:dyDescent="0.2"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</row>
    <row r="34" spans="2:11" x14ac:dyDescent="0.2">
      <c r="B34" t="s">
        <v>79</v>
      </c>
      <c r="C34">
        <v>0</v>
      </c>
      <c r="D34">
        <v>10</v>
      </c>
      <c r="E34">
        <v>70</v>
      </c>
      <c r="F34">
        <v>0</v>
      </c>
      <c r="G34">
        <v>40</v>
      </c>
      <c r="H34">
        <v>0</v>
      </c>
    </row>
    <row r="37" spans="2:11" ht="21" customHeight="1" x14ac:dyDescent="0.2">
      <c r="B37" s="2" t="s">
        <v>77</v>
      </c>
      <c r="C37" s="2" t="s">
        <v>86</v>
      </c>
    </row>
    <row r="38" spans="2:11" x14ac:dyDescent="0.2">
      <c r="D38" t="s">
        <v>82</v>
      </c>
    </row>
    <row r="39" spans="2:11" x14ac:dyDescent="0.2">
      <c r="C39" t="s">
        <v>81</v>
      </c>
      <c r="D39" t="s">
        <v>84</v>
      </c>
      <c r="E39" t="s">
        <v>83</v>
      </c>
      <c r="F39" t="s">
        <v>85</v>
      </c>
    </row>
    <row r="40" spans="2:11" x14ac:dyDescent="0.2">
      <c r="C40">
        <v>10</v>
      </c>
      <c r="D40" s="1" cm="1">
        <f t="array" ref="D40:D42">D23:D25</f>
        <v>0.6</v>
      </c>
      <c r="E40" cm="1">
        <f t="array" ref="E40:E42">G23:G25</f>
        <v>0.08</v>
      </c>
      <c r="F40" cm="1">
        <f t="array" ref="F40:F42">I23:I25</f>
        <v>-2.6</v>
      </c>
    </row>
    <row r="41" spans="2:11" x14ac:dyDescent="0.2">
      <c r="B41" t="s">
        <v>80</v>
      </c>
      <c r="C41">
        <v>40</v>
      </c>
      <c r="D41" s="1">
        <v>10.4</v>
      </c>
      <c r="E41">
        <v>-0.48</v>
      </c>
      <c r="F41">
        <v>9.6000000000000014</v>
      </c>
    </row>
    <row r="42" spans="2:11" x14ac:dyDescent="0.2">
      <c r="C42">
        <v>70</v>
      </c>
      <c r="D42" s="1">
        <v>0.2</v>
      </c>
      <c r="E42">
        <v>-0.04</v>
      </c>
      <c r="F42">
        <v>1.8</v>
      </c>
    </row>
    <row r="45" spans="2:11" x14ac:dyDescent="0.2">
      <c r="B45" t="s">
        <v>88</v>
      </c>
    </row>
    <row r="46" spans="2:11" x14ac:dyDescent="0.2">
      <c r="D46">
        <v>90</v>
      </c>
      <c r="E46">
        <v>100</v>
      </c>
      <c r="F46">
        <v>150</v>
      </c>
    </row>
    <row r="47" spans="2:11" x14ac:dyDescent="0.2"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11</v>
      </c>
      <c r="K47" t="s">
        <v>23</v>
      </c>
    </row>
    <row r="48" spans="2:11" x14ac:dyDescent="0.2">
      <c r="B48" cm="1">
        <f t="array" ref="B48:J51">B23:J26</f>
        <v>100</v>
      </c>
      <c r="C48" t="str">
        <v>x2</v>
      </c>
      <c r="D48">
        <v>0.6</v>
      </c>
      <c r="E48">
        <v>1</v>
      </c>
      <c r="F48">
        <v>0</v>
      </c>
      <c r="G48">
        <v>0.08</v>
      </c>
      <c r="H48">
        <v>0</v>
      </c>
      <c r="I48">
        <v>-2.6</v>
      </c>
      <c r="J48">
        <v>10</v>
      </c>
      <c r="K48" cm="1">
        <f t="array" ref="K48:K50">J48:J50/D48:D50</f>
        <v>16.666666666666668</v>
      </c>
    </row>
    <row r="49" spans="2:11" x14ac:dyDescent="0.2">
      <c r="B49">
        <v>0</v>
      </c>
      <c r="C49" t="str">
        <v>d2</v>
      </c>
      <c r="D49">
        <v>10.4</v>
      </c>
      <c r="E49">
        <v>0</v>
      </c>
      <c r="F49">
        <v>0</v>
      </c>
      <c r="G49">
        <v>-0.48</v>
      </c>
      <c r="H49">
        <v>1</v>
      </c>
      <c r="I49">
        <v>9.6000000000000014</v>
      </c>
      <c r="J49">
        <v>40</v>
      </c>
      <c r="K49">
        <v>3.8461538461538458</v>
      </c>
    </row>
    <row r="50" spans="2:11" x14ac:dyDescent="0.2">
      <c r="B50">
        <v>150</v>
      </c>
      <c r="C50" t="str">
        <v>x3</v>
      </c>
      <c r="D50">
        <v>0.2</v>
      </c>
      <c r="E50">
        <v>0</v>
      </c>
      <c r="F50">
        <v>1</v>
      </c>
      <c r="G50">
        <v>-0.04</v>
      </c>
      <c r="H50">
        <v>0</v>
      </c>
      <c r="I50">
        <v>1.8</v>
      </c>
      <c r="J50">
        <v>70</v>
      </c>
      <c r="K50">
        <v>350</v>
      </c>
    </row>
    <row r="51" spans="2:11" x14ac:dyDescent="0.2">
      <c r="B51" s="75">
        <v>0</v>
      </c>
      <c r="C51" s="76" t="str">
        <v>zj-cj</v>
      </c>
      <c r="D51" s="76">
        <v>0</v>
      </c>
      <c r="E51" s="76">
        <v>0</v>
      </c>
      <c r="F51" s="76">
        <v>0</v>
      </c>
      <c r="G51" s="76">
        <v>2</v>
      </c>
      <c r="H51" s="76">
        <v>0</v>
      </c>
      <c r="I51" s="76">
        <v>10</v>
      </c>
      <c r="J51" s="77">
        <v>11500</v>
      </c>
    </row>
    <row r="52" spans="2:11" x14ac:dyDescent="0.2">
      <c r="B52">
        <v>100</v>
      </c>
      <c r="C52" t="s">
        <v>17</v>
      </c>
      <c r="D52" cm="1">
        <f t="array" ref="D52:J52">D48:J48-_xlfn.ANCHORARRAY(D53)*D48</f>
        <v>0</v>
      </c>
      <c r="E52">
        <v>1</v>
      </c>
      <c r="F52">
        <v>0</v>
      </c>
      <c r="G52">
        <v>0.1076923076923077</v>
      </c>
      <c r="H52">
        <v>-5.7692307692307682E-2</v>
      </c>
      <c r="I52">
        <v>-3.1538461538461542</v>
      </c>
      <c r="J52">
        <v>7.6923076923076925</v>
      </c>
    </row>
    <row r="53" spans="2:11" x14ac:dyDescent="0.2">
      <c r="B53">
        <v>90</v>
      </c>
      <c r="C53" t="s">
        <v>16</v>
      </c>
      <c r="D53" cm="1">
        <f t="array" ref="D53:J53">D49:J49/10.4</f>
        <v>1</v>
      </c>
      <c r="E53">
        <v>0</v>
      </c>
      <c r="F53">
        <v>0</v>
      </c>
      <c r="G53">
        <v>-4.6153846153846149E-2</v>
      </c>
      <c r="H53">
        <v>9.6153846153846145E-2</v>
      </c>
      <c r="I53">
        <v>0.92307692307692313</v>
      </c>
      <c r="J53">
        <v>3.8461538461538458</v>
      </c>
    </row>
    <row r="54" spans="2:11" x14ac:dyDescent="0.2">
      <c r="B54">
        <v>150</v>
      </c>
      <c r="C54" t="s">
        <v>18</v>
      </c>
      <c r="D54" cm="1">
        <f t="array" ref="D54:J54">D50:J50-D50*_xlfn.ANCHORARRAY(D53)</f>
        <v>0</v>
      </c>
      <c r="E54">
        <v>0</v>
      </c>
      <c r="F54">
        <v>1</v>
      </c>
      <c r="G54">
        <v>-3.0769230769230771E-2</v>
      </c>
      <c r="H54">
        <v>-1.9230769230769232E-2</v>
      </c>
      <c r="I54">
        <v>1.6153846153846154</v>
      </c>
      <c r="J54">
        <v>69.230769230769226</v>
      </c>
    </row>
    <row r="55" spans="2:11" x14ac:dyDescent="0.2">
      <c r="C55" t="s">
        <v>22</v>
      </c>
      <c r="D55">
        <f t="shared" ref="D55:J55" si="3">SUMPRODUCT($B$52:$B$54,D52:D54)-D46</f>
        <v>0</v>
      </c>
      <c r="E55">
        <f t="shared" si="3"/>
        <v>0</v>
      </c>
      <c r="F55">
        <f t="shared" si="3"/>
        <v>0</v>
      </c>
      <c r="G55">
        <f t="shared" si="3"/>
        <v>2.0000000000000009</v>
      </c>
      <c r="H55">
        <f t="shared" si="3"/>
        <v>4.4408920985006262E-16</v>
      </c>
      <c r="I55">
        <f t="shared" si="3"/>
        <v>10</v>
      </c>
      <c r="J55">
        <f t="shared" si="3"/>
        <v>11500</v>
      </c>
    </row>
    <row r="58" spans="2:11" x14ac:dyDescent="0.2">
      <c r="B58" t="s">
        <v>89</v>
      </c>
      <c r="C58" t="s">
        <v>11</v>
      </c>
      <c r="D58" t="s">
        <v>90</v>
      </c>
      <c r="E58" s="78" t="s">
        <v>91</v>
      </c>
    </row>
    <row r="59" spans="2:11" x14ac:dyDescent="0.2">
      <c r="C59" cm="1">
        <f t="array" ref="C59:C61">J23:J25</f>
        <v>10</v>
      </c>
      <c r="D59" cm="1">
        <f t="array" ref="D59:D61">G23:G25</f>
        <v>0.08</v>
      </c>
    </row>
    <row r="60" spans="2:11" x14ac:dyDescent="0.2">
      <c r="C60">
        <v>40</v>
      </c>
      <c r="D60">
        <v>-0.48</v>
      </c>
    </row>
    <row r="61" spans="2:11" x14ac:dyDescent="0.2">
      <c r="C61">
        <v>70</v>
      </c>
      <c r="D61">
        <v>-0.04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C23E-584D-4540-A305-C017EFC19230}">
  <dimension ref="D2:AD49"/>
  <sheetViews>
    <sheetView topLeftCell="A6" zoomScale="77" zoomScaleNormal="100" workbookViewId="0">
      <selection activeCell="J40" sqref="J40"/>
    </sheetView>
  </sheetViews>
  <sheetFormatPr baseColWidth="10" defaultRowHeight="16" x14ac:dyDescent="0.2"/>
  <sheetData>
    <row r="2" spans="5:24" x14ac:dyDescent="0.2">
      <c r="F2" s="79"/>
      <c r="G2" s="79"/>
      <c r="H2" s="79"/>
    </row>
    <row r="3" spans="5:24" x14ac:dyDescent="0.2">
      <c r="E3" t="s">
        <v>95</v>
      </c>
      <c r="F3" s="34"/>
      <c r="G3" s="34"/>
      <c r="H3" s="34"/>
      <c r="P3" t="s">
        <v>34</v>
      </c>
    </row>
    <row r="4" spans="5:24" x14ac:dyDescent="0.2">
      <c r="E4" t="s">
        <v>96</v>
      </c>
      <c r="F4" s="34"/>
      <c r="G4" s="34" t="s">
        <v>7</v>
      </c>
      <c r="H4" s="34">
        <v>1000</v>
      </c>
      <c r="J4" t="s">
        <v>102</v>
      </c>
      <c r="R4" t="s">
        <v>95</v>
      </c>
      <c r="S4" s="34"/>
      <c r="T4" s="34"/>
      <c r="U4" s="34"/>
    </row>
    <row r="5" spans="5:24" x14ac:dyDescent="0.2">
      <c r="E5" t="s">
        <v>97</v>
      </c>
      <c r="F5" s="34"/>
      <c r="G5" s="34" t="s">
        <v>7</v>
      </c>
      <c r="H5" s="34">
        <v>150</v>
      </c>
      <c r="J5" t="s">
        <v>104</v>
      </c>
      <c r="R5" t="s">
        <v>96</v>
      </c>
      <c r="S5" s="34"/>
      <c r="T5" s="34" t="s">
        <v>7</v>
      </c>
      <c r="U5" s="34">
        <v>1000</v>
      </c>
      <c r="W5" t="s">
        <v>102</v>
      </c>
    </row>
    <row r="6" spans="5:24" x14ac:dyDescent="0.2">
      <c r="E6" t="s">
        <v>98</v>
      </c>
      <c r="F6" s="34"/>
      <c r="G6" s="34" t="s">
        <v>93</v>
      </c>
      <c r="H6" s="34">
        <v>6000</v>
      </c>
      <c r="J6" s="34" t="s">
        <v>103</v>
      </c>
      <c r="K6" t="s">
        <v>123</v>
      </c>
      <c r="R6" t="s">
        <v>97</v>
      </c>
      <c r="S6" s="34"/>
      <c r="T6" s="34" t="s">
        <v>7</v>
      </c>
      <c r="U6" s="34">
        <v>150</v>
      </c>
      <c r="W6" t="s">
        <v>104</v>
      </c>
    </row>
    <row r="7" spans="5:24" x14ac:dyDescent="0.2">
      <c r="R7" t="s">
        <v>98</v>
      </c>
      <c r="S7" s="34"/>
      <c r="T7" s="34" t="s">
        <v>93</v>
      </c>
      <c r="U7" s="34">
        <v>6000</v>
      </c>
      <c r="W7" s="34" t="s">
        <v>103</v>
      </c>
      <c r="X7" t="s">
        <v>123</v>
      </c>
    </row>
    <row r="8" spans="5:24" x14ac:dyDescent="0.2">
      <c r="R8" t="s">
        <v>17</v>
      </c>
      <c r="T8" s="34" t="s">
        <v>93</v>
      </c>
      <c r="U8" s="34">
        <v>10</v>
      </c>
    </row>
    <row r="10" spans="5:24" x14ac:dyDescent="0.2">
      <c r="F10" t="s">
        <v>121</v>
      </c>
      <c r="G10" s="1">
        <v>40</v>
      </c>
      <c r="H10" s="1">
        <v>45</v>
      </c>
      <c r="I10" s="1">
        <v>65</v>
      </c>
    </row>
    <row r="11" spans="5:24" x14ac:dyDescent="0.2">
      <c r="G11" s="1" t="s">
        <v>3</v>
      </c>
      <c r="H11" s="1" t="s">
        <v>4</v>
      </c>
      <c r="I11" s="1" t="s">
        <v>5</v>
      </c>
      <c r="K11" s="1"/>
      <c r="S11" t="s">
        <v>121</v>
      </c>
      <c r="T11" s="1">
        <v>40</v>
      </c>
      <c r="U11" s="1">
        <v>45</v>
      </c>
      <c r="V11" s="1">
        <v>65</v>
      </c>
    </row>
    <row r="12" spans="5:24" x14ac:dyDescent="0.2">
      <c r="F12" t="s">
        <v>92</v>
      </c>
      <c r="G12" s="1">
        <v>20</v>
      </c>
      <c r="H12" s="1">
        <v>12</v>
      </c>
      <c r="I12" s="1">
        <v>12</v>
      </c>
      <c r="J12" t="s">
        <v>101</v>
      </c>
      <c r="K12" s="1">
        <v>1000</v>
      </c>
      <c r="T12" s="1" t="s">
        <v>3</v>
      </c>
      <c r="U12" s="1" t="s">
        <v>4</v>
      </c>
      <c r="V12" s="1" t="s">
        <v>5</v>
      </c>
      <c r="X12" s="1"/>
    </row>
    <row r="13" spans="5:24" x14ac:dyDescent="0.2">
      <c r="F13" t="s">
        <v>154</v>
      </c>
      <c r="G13" s="1">
        <v>1</v>
      </c>
      <c r="H13" s="1">
        <v>1</v>
      </c>
      <c r="I13" s="1">
        <v>2</v>
      </c>
      <c r="J13" t="s">
        <v>100</v>
      </c>
      <c r="K13" s="1">
        <v>150</v>
      </c>
      <c r="S13" t="s">
        <v>92</v>
      </c>
      <c r="T13" s="1">
        <v>20</v>
      </c>
      <c r="U13" s="1">
        <v>12</v>
      </c>
      <c r="V13" s="1">
        <v>12</v>
      </c>
      <c r="W13" t="s">
        <v>101</v>
      </c>
      <c r="X13" s="1">
        <v>1000</v>
      </c>
    </row>
    <row r="14" spans="5:24" x14ac:dyDescent="0.2">
      <c r="F14" t="s">
        <v>6</v>
      </c>
      <c r="G14" s="1">
        <v>90</v>
      </c>
      <c r="H14" s="1">
        <v>100</v>
      </c>
      <c r="I14" s="1">
        <v>150</v>
      </c>
      <c r="J14" t="s">
        <v>99</v>
      </c>
      <c r="K14" s="1">
        <v>6000</v>
      </c>
      <c r="S14" t="s">
        <v>14</v>
      </c>
      <c r="T14" s="1">
        <v>1</v>
      </c>
      <c r="U14" s="1">
        <v>1</v>
      </c>
      <c r="V14" s="1">
        <v>2</v>
      </c>
      <c r="W14" t="s">
        <v>100</v>
      </c>
      <c r="X14" s="1">
        <v>150</v>
      </c>
    </row>
    <row r="15" spans="5:24" x14ac:dyDescent="0.2">
      <c r="S15" t="s">
        <v>6</v>
      </c>
      <c r="T15" s="1">
        <v>90</v>
      </c>
      <c r="U15" s="1">
        <v>100</v>
      </c>
      <c r="V15" s="1">
        <v>150</v>
      </c>
      <c r="W15" t="s">
        <v>99</v>
      </c>
      <c r="X15" s="1">
        <v>6000</v>
      </c>
    </row>
    <row r="16" spans="5:24" x14ac:dyDescent="0.2">
      <c r="T16" s="1">
        <v>45</v>
      </c>
      <c r="U16" s="1">
        <v>12</v>
      </c>
      <c r="V16" s="1">
        <v>1</v>
      </c>
      <c r="W16" t="s">
        <v>93</v>
      </c>
      <c r="X16" s="1">
        <v>10</v>
      </c>
    </row>
    <row r="19" spans="4:30" x14ac:dyDescent="0.2">
      <c r="D19" s="34"/>
      <c r="E19" s="82"/>
      <c r="F19" s="82">
        <v>40</v>
      </c>
      <c r="G19" s="82">
        <v>45</v>
      </c>
      <c r="H19" s="82">
        <v>65</v>
      </c>
      <c r="I19" s="82">
        <v>0</v>
      </c>
      <c r="J19" s="82">
        <v>0</v>
      </c>
      <c r="K19" s="82">
        <v>0</v>
      </c>
      <c r="L19" s="82">
        <v>100</v>
      </c>
      <c r="M19" s="82"/>
      <c r="N19" s="82"/>
      <c r="T19" s="1">
        <v>40</v>
      </c>
      <c r="U19" s="1">
        <v>45</v>
      </c>
      <c r="V19" s="1">
        <v>65</v>
      </c>
      <c r="W19" s="1">
        <v>0</v>
      </c>
      <c r="X19" s="1">
        <v>0</v>
      </c>
      <c r="Y19" s="1">
        <v>0</v>
      </c>
      <c r="Z19" s="1">
        <v>0</v>
      </c>
      <c r="AA19" s="82">
        <v>100</v>
      </c>
      <c r="AB19" s="82">
        <v>100</v>
      </c>
    </row>
    <row r="20" spans="4:30" x14ac:dyDescent="0.2">
      <c r="D20" s="34"/>
      <c r="E20" s="82"/>
      <c r="F20" s="82" t="s">
        <v>16</v>
      </c>
      <c r="G20" s="82" t="s">
        <v>17</v>
      </c>
      <c r="H20" s="82" t="s">
        <v>18</v>
      </c>
      <c r="I20" s="82" t="s">
        <v>19</v>
      </c>
      <c r="J20" s="82" t="s">
        <v>20</v>
      </c>
      <c r="K20" s="82" t="s">
        <v>21</v>
      </c>
      <c r="L20" s="82" t="s">
        <v>94</v>
      </c>
      <c r="M20" s="82" t="s">
        <v>11</v>
      </c>
      <c r="N20" s="82" t="s">
        <v>23</v>
      </c>
      <c r="S20" s="34"/>
      <c r="T20" s="34" t="s">
        <v>16</v>
      </c>
      <c r="U20" s="34" t="s">
        <v>17</v>
      </c>
      <c r="V20" s="34" t="s">
        <v>18</v>
      </c>
      <c r="W20" s="34" t="s">
        <v>19</v>
      </c>
      <c r="X20" s="34" t="s">
        <v>20</v>
      </c>
      <c r="Y20" s="34" t="s">
        <v>21</v>
      </c>
      <c r="Z20" s="34" t="s">
        <v>122</v>
      </c>
      <c r="AA20" s="34" t="s">
        <v>124</v>
      </c>
      <c r="AB20" s="34" t="s">
        <v>125</v>
      </c>
      <c r="AC20" s="34" t="s">
        <v>11</v>
      </c>
      <c r="AD20" s="34" t="s">
        <v>23</v>
      </c>
    </row>
    <row r="21" spans="4:30" x14ac:dyDescent="0.2">
      <c r="D21" s="34">
        <v>0</v>
      </c>
      <c r="E21" s="82" t="s">
        <v>19</v>
      </c>
      <c r="F21" s="83">
        <v>20</v>
      </c>
      <c r="G21" s="83">
        <v>12</v>
      </c>
      <c r="H21" s="84">
        <v>12</v>
      </c>
      <c r="I21" s="83">
        <v>1</v>
      </c>
      <c r="J21" s="83">
        <v>0</v>
      </c>
      <c r="K21" s="83">
        <v>0</v>
      </c>
      <c r="L21" s="83">
        <v>0</v>
      </c>
      <c r="M21" s="83">
        <v>1000</v>
      </c>
      <c r="N21" s="82" cm="1">
        <f t="array" ref="N21:N23">M21:M23/H21:H23</f>
        <v>83.333333333333329</v>
      </c>
      <c r="R21">
        <v>0</v>
      </c>
      <c r="S21" s="34" t="s">
        <v>19</v>
      </c>
      <c r="T21" s="34">
        <v>20</v>
      </c>
      <c r="U21" s="34">
        <v>12</v>
      </c>
      <c r="V21" s="90">
        <v>12</v>
      </c>
      <c r="W21" s="34">
        <v>1</v>
      </c>
      <c r="X21" s="34">
        <v>0</v>
      </c>
      <c r="Y21" s="34">
        <v>0</v>
      </c>
      <c r="Z21" s="34">
        <v>0</v>
      </c>
      <c r="AA21" s="34">
        <v>0</v>
      </c>
      <c r="AB21" s="1">
        <v>0</v>
      </c>
      <c r="AC21" s="1">
        <v>1000</v>
      </c>
      <c r="AD21" cm="1">
        <f t="array" ref="AD21:AD24">AC21:AC24/V21:V24</f>
        <v>83.333333333333329</v>
      </c>
    </row>
    <row r="22" spans="4:30" x14ac:dyDescent="0.2">
      <c r="D22" s="34">
        <v>0</v>
      </c>
      <c r="E22" s="82" t="s">
        <v>20</v>
      </c>
      <c r="F22" s="83">
        <v>1</v>
      </c>
      <c r="G22" s="83">
        <v>1</v>
      </c>
      <c r="H22" s="84">
        <v>2</v>
      </c>
      <c r="I22" s="83">
        <v>0</v>
      </c>
      <c r="J22" s="83">
        <v>1</v>
      </c>
      <c r="K22" s="83">
        <v>0</v>
      </c>
      <c r="L22" s="83">
        <v>0</v>
      </c>
      <c r="M22" s="83">
        <v>150</v>
      </c>
      <c r="N22" s="82">
        <v>75</v>
      </c>
      <c r="R22">
        <v>0</v>
      </c>
      <c r="S22" s="34" t="s">
        <v>20</v>
      </c>
      <c r="T22" s="34">
        <v>1</v>
      </c>
      <c r="U22" s="1">
        <v>1</v>
      </c>
      <c r="V22" s="4">
        <v>2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150</v>
      </c>
      <c r="AD22">
        <v>75</v>
      </c>
    </row>
    <row r="23" spans="4:30" ht="17" thickBot="1" x14ac:dyDescent="0.25">
      <c r="D23" s="34">
        <v>100</v>
      </c>
      <c r="E23" s="82" t="s">
        <v>94</v>
      </c>
      <c r="F23" s="84">
        <v>90</v>
      </c>
      <c r="G23" s="84">
        <v>100</v>
      </c>
      <c r="H23" s="84">
        <v>150</v>
      </c>
      <c r="I23" s="84">
        <v>0</v>
      </c>
      <c r="J23" s="84">
        <v>0</v>
      </c>
      <c r="K23" s="84">
        <v>-1</v>
      </c>
      <c r="L23" s="84">
        <v>1</v>
      </c>
      <c r="M23" s="84">
        <v>6000</v>
      </c>
      <c r="N23" s="85">
        <v>40</v>
      </c>
      <c r="R23">
        <v>100</v>
      </c>
      <c r="S23" s="34" t="s">
        <v>124</v>
      </c>
      <c r="T23" s="34">
        <v>90</v>
      </c>
      <c r="U23" s="1">
        <v>100</v>
      </c>
      <c r="V23" s="4">
        <v>150</v>
      </c>
      <c r="W23" s="1">
        <v>0</v>
      </c>
      <c r="X23" s="1">
        <v>0</v>
      </c>
      <c r="Y23" s="1">
        <v>-1</v>
      </c>
      <c r="Z23" s="1">
        <v>0</v>
      </c>
      <c r="AA23" s="1">
        <v>1</v>
      </c>
      <c r="AB23" s="1">
        <v>0</v>
      </c>
      <c r="AC23" s="1">
        <v>6000</v>
      </c>
      <c r="AD23">
        <v>40</v>
      </c>
    </row>
    <row r="24" spans="4:30" ht="17" thickBot="1" x14ac:dyDescent="0.25">
      <c r="D24" s="34"/>
      <c r="E24" s="86" t="s">
        <v>22</v>
      </c>
      <c r="F24" s="87">
        <f>SUMPRODUCT($D$21:$D$23,F21:F23)-F19</f>
        <v>8960</v>
      </c>
      <c r="G24" s="87">
        <f t="shared" ref="G24:M24" si="0">SUMPRODUCT($D$21:$D$23,G21:G23)-G19</f>
        <v>9955</v>
      </c>
      <c r="H24" s="87">
        <f t="shared" si="0"/>
        <v>14935</v>
      </c>
      <c r="I24" s="87">
        <f t="shared" si="0"/>
        <v>0</v>
      </c>
      <c r="J24" s="87">
        <f t="shared" si="0"/>
        <v>0</v>
      </c>
      <c r="K24" s="87">
        <f t="shared" si="0"/>
        <v>-100</v>
      </c>
      <c r="L24" s="87">
        <f t="shared" si="0"/>
        <v>0</v>
      </c>
      <c r="M24" s="87">
        <f t="shared" si="0"/>
        <v>600000</v>
      </c>
      <c r="N24" s="88"/>
      <c r="R24">
        <v>100</v>
      </c>
      <c r="S24" s="34" t="s">
        <v>125</v>
      </c>
      <c r="T24" s="34">
        <v>0</v>
      </c>
      <c r="U24" s="1">
        <v>1</v>
      </c>
      <c r="V24" s="4">
        <v>0</v>
      </c>
      <c r="W24" s="1">
        <v>0</v>
      </c>
      <c r="X24" s="1">
        <v>0</v>
      </c>
      <c r="Y24" s="1">
        <v>0</v>
      </c>
      <c r="Z24" s="1">
        <v>-1</v>
      </c>
      <c r="AA24" s="1">
        <v>0</v>
      </c>
      <c r="AB24" s="1">
        <v>1</v>
      </c>
      <c r="AC24" s="1">
        <v>10</v>
      </c>
      <c r="AD24" t="e">
        <v>#DIV/0!</v>
      </c>
    </row>
    <row r="25" spans="4:30" ht="17" thickBot="1" x14ac:dyDescent="0.25">
      <c r="D25" s="34">
        <v>0</v>
      </c>
      <c r="E25" s="82" t="s">
        <v>19</v>
      </c>
      <c r="F25" s="82" cm="1">
        <f t="array" ref="F25:M25">F21:M21-H21*_xlfn.ANCHORARRAY(F27)</f>
        <v>12.8</v>
      </c>
      <c r="G25" s="82">
        <v>4</v>
      </c>
      <c r="H25" s="82">
        <v>0</v>
      </c>
      <c r="I25" s="82">
        <v>1</v>
      </c>
      <c r="J25" s="82">
        <v>0</v>
      </c>
      <c r="K25" s="82">
        <v>0.08</v>
      </c>
      <c r="L25" s="82">
        <v>-0.08</v>
      </c>
      <c r="M25" s="82">
        <v>520</v>
      </c>
      <c r="N25" s="82"/>
      <c r="S25" s="80" t="s">
        <v>22</v>
      </c>
      <c r="T25" s="89">
        <f>SUMPRODUCT(T21:T24,$R$21:$R$24)-T19</f>
        <v>8960</v>
      </c>
      <c r="U25" s="89">
        <f t="shared" ref="U25:AB25" si="1">SUMPRODUCT(U21:U24,$R$21:$R$24)-U19</f>
        <v>10055</v>
      </c>
      <c r="V25" s="89">
        <f t="shared" si="1"/>
        <v>14935</v>
      </c>
      <c r="W25" s="89">
        <f t="shared" si="1"/>
        <v>0</v>
      </c>
      <c r="X25" s="89">
        <f t="shared" si="1"/>
        <v>0</v>
      </c>
      <c r="Y25" s="89">
        <f t="shared" si="1"/>
        <v>-100</v>
      </c>
      <c r="Z25" s="89">
        <f t="shared" si="1"/>
        <v>-100</v>
      </c>
      <c r="AA25" s="89">
        <f t="shared" si="1"/>
        <v>0</v>
      </c>
      <c r="AB25" s="89">
        <f t="shared" si="1"/>
        <v>0</v>
      </c>
      <c r="AC25" s="89">
        <f>SUMPRODUCT(AC21:AC24,$R$21:$R$24)-AC19</f>
        <v>601000</v>
      </c>
    </row>
    <row r="26" spans="4:30" x14ac:dyDescent="0.2">
      <c r="D26" s="34">
        <v>0</v>
      </c>
      <c r="E26" s="82" t="s">
        <v>20</v>
      </c>
      <c r="F26" s="82" cm="1">
        <f t="array" ref="F26:M26">F22:M22-H22*_xlfn.ANCHORARRAY(F27)</f>
        <v>-0.19999999999999996</v>
      </c>
      <c r="G26" s="82">
        <v>-0.33333333333333326</v>
      </c>
      <c r="H26" s="82">
        <v>0</v>
      </c>
      <c r="I26" s="82">
        <v>0</v>
      </c>
      <c r="J26" s="82">
        <v>1</v>
      </c>
      <c r="K26" s="82">
        <v>1.3333333333333334E-2</v>
      </c>
      <c r="L26" s="82">
        <v>-1.3333333333333334E-2</v>
      </c>
      <c r="M26" s="82">
        <v>70</v>
      </c>
      <c r="N26" s="82"/>
    </row>
    <row r="27" spans="4:30" ht="17" thickBot="1" x14ac:dyDescent="0.25">
      <c r="D27" s="34">
        <v>65</v>
      </c>
      <c r="E27" s="82" t="s">
        <v>18</v>
      </c>
      <c r="F27" s="82" cm="1">
        <f t="array" ref="F27:M27">F23:M23/150</f>
        <v>0.6</v>
      </c>
      <c r="G27" s="82">
        <v>0.66666666666666663</v>
      </c>
      <c r="H27" s="82">
        <v>1</v>
      </c>
      <c r="I27" s="82">
        <v>0</v>
      </c>
      <c r="J27" s="82">
        <v>0</v>
      </c>
      <c r="K27" s="82">
        <v>-6.6666666666666671E-3</v>
      </c>
      <c r="L27" s="82">
        <v>6.6666666666666671E-3</v>
      </c>
      <c r="M27" s="82">
        <v>40</v>
      </c>
      <c r="N27" s="82"/>
    </row>
    <row r="28" spans="4:30" ht="17" thickBot="1" x14ac:dyDescent="0.25">
      <c r="D28" s="34"/>
      <c r="E28" s="86" t="s">
        <v>22</v>
      </c>
      <c r="F28" s="87">
        <f>SUMPRODUCT($D$25:$D$27,F25:F27)-F19</f>
        <v>-1</v>
      </c>
      <c r="G28" s="87">
        <f t="shared" ref="G28:M28" si="2">SUMPRODUCT($D$25:$D$27,G25:G27)-G19</f>
        <v>-1.6666666666666714</v>
      </c>
      <c r="H28" s="87">
        <f t="shared" si="2"/>
        <v>0</v>
      </c>
      <c r="I28" s="87">
        <f t="shared" si="2"/>
        <v>0</v>
      </c>
      <c r="J28" s="87">
        <f t="shared" si="2"/>
        <v>0</v>
      </c>
      <c r="K28" s="87">
        <f t="shared" si="2"/>
        <v>-0.43333333333333335</v>
      </c>
      <c r="L28" s="87">
        <f t="shared" si="2"/>
        <v>-99.566666666666663</v>
      </c>
      <c r="M28" s="87">
        <f t="shared" si="2"/>
        <v>2600</v>
      </c>
      <c r="N28" s="88"/>
    </row>
    <row r="29" spans="4:30" x14ac:dyDescent="0.2"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4:30" x14ac:dyDescent="0.2">
      <c r="D30" s="34"/>
      <c r="E30" s="34"/>
      <c r="F30" s="34" t="s">
        <v>106</v>
      </c>
      <c r="G30" s="34"/>
      <c r="H30" s="34"/>
      <c r="I30" s="34"/>
      <c r="J30" s="34"/>
      <c r="K30" s="34"/>
      <c r="L30" s="34"/>
      <c r="M30" s="34"/>
      <c r="N30" s="34"/>
    </row>
    <row r="31" spans="4:30" x14ac:dyDescent="0.2">
      <c r="D31" s="34"/>
      <c r="E31" s="34"/>
      <c r="F31" s="34" t="s">
        <v>105</v>
      </c>
      <c r="G31" s="81" t="s">
        <v>107</v>
      </c>
      <c r="H31" s="34"/>
      <c r="I31" s="34"/>
      <c r="J31" s="34" t="s">
        <v>16</v>
      </c>
      <c r="K31" s="34">
        <v>0</v>
      </c>
      <c r="L31" s="81" t="s">
        <v>109</v>
      </c>
      <c r="M31" s="34"/>
      <c r="N31" s="34"/>
    </row>
    <row r="32" spans="4:30" x14ac:dyDescent="0.2">
      <c r="D32" s="34"/>
      <c r="E32" s="34"/>
      <c r="F32" s="34"/>
      <c r="G32" s="34" t="s">
        <v>108</v>
      </c>
      <c r="H32" s="34"/>
      <c r="I32" s="34"/>
      <c r="J32" s="34" t="s">
        <v>17</v>
      </c>
      <c r="K32" s="34">
        <v>0</v>
      </c>
      <c r="L32" s="81" t="s">
        <v>110</v>
      </c>
      <c r="M32" s="34"/>
      <c r="N32" s="34"/>
    </row>
    <row r="33" spans="4:14" x14ac:dyDescent="0.2">
      <c r="D33" s="34"/>
      <c r="E33" s="34"/>
      <c r="F33" s="34"/>
      <c r="G33" s="34"/>
      <c r="H33" s="34"/>
      <c r="I33" s="34"/>
      <c r="J33" s="34" t="s">
        <v>18</v>
      </c>
      <c r="K33" s="34">
        <v>40</v>
      </c>
      <c r="L33" s="81" t="s">
        <v>111</v>
      </c>
      <c r="M33" s="34"/>
      <c r="N33" s="34"/>
    </row>
    <row r="34" spans="4:14" x14ac:dyDescent="0.2">
      <c r="D34" s="34"/>
      <c r="E34" s="34"/>
      <c r="F34" s="34"/>
      <c r="G34" s="34"/>
      <c r="H34" s="34"/>
      <c r="I34" s="34"/>
      <c r="J34" s="34" t="s">
        <v>19</v>
      </c>
      <c r="K34" s="34">
        <v>520</v>
      </c>
      <c r="L34" s="81" t="s">
        <v>112</v>
      </c>
      <c r="M34" s="34"/>
      <c r="N34" s="34"/>
    </row>
    <row r="35" spans="4:14" x14ac:dyDescent="0.2">
      <c r="D35" s="34"/>
      <c r="E35" s="34"/>
      <c r="F35" s="34"/>
      <c r="G35" s="34"/>
      <c r="H35" s="34"/>
      <c r="I35" s="34"/>
      <c r="J35" s="34" t="s">
        <v>20</v>
      </c>
      <c r="K35" s="34">
        <v>70</v>
      </c>
      <c r="L35" s="81" t="s">
        <v>116</v>
      </c>
      <c r="M35" s="34"/>
      <c r="N35" s="34"/>
    </row>
    <row r="36" spans="4:14" x14ac:dyDescent="0.2">
      <c r="D36" s="34"/>
      <c r="E36" s="34"/>
      <c r="F36" s="34"/>
      <c r="G36" s="34"/>
      <c r="H36" s="34"/>
      <c r="I36" s="34"/>
      <c r="J36" s="34" t="s">
        <v>21</v>
      </c>
      <c r="K36" s="34">
        <v>0</v>
      </c>
      <c r="L36" s="81" t="s">
        <v>115</v>
      </c>
      <c r="M36" s="34"/>
      <c r="N36" s="34"/>
    </row>
    <row r="37" spans="4:14" x14ac:dyDescent="0.2">
      <c r="D37" s="34"/>
      <c r="E37" s="34"/>
      <c r="F37" s="34"/>
      <c r="G37" s="34"/>
      <c r="H37" s="34"/>
      <c r="I37" s="34"/>
      <c r="J37" s="34" t="s">
        <v>94</v>
      </c>
      <c r="K37" s="34">
        <v>0</v>
      </c>
      <c r="L37" s="81" t="s">
        <v>114</v>
      </c>
      <c r="M37" s="34"/>
      <c r="N37" s="34"/>
    </row>
    <row r="38" spans="4:14" x14ac:dyDescent="0.2"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spans="4:14" x14ac:dyDescent="0.2">
      <c r="D39" s="34"/>
      <c r="E39" s="34"/>
      <c r="F39" s="34"/>
      <c r="G39" s="34"/>
      <c r="H39" s="34"/>
      <c r="I39" s="34"/>
      <c r="J39" s="81" t="s">
        <v>156</v>
      </c>
      <c r="K39" s="34"/>
      <c r="L39" s="34"/>
      <c r="M39" s="34"/>
      <c r="N39" s="34"/>
    </row>
    <row r="40" spans="4:14" x14ac:dyDescent="0.2"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4:14" x14ac:dyDescent="0.2">
      <c r="D41" s="34"/>
      <c r="E41" s="81" t="s">
        <v>113</v>
      </c>
      <c r="F41" s="34"/>
      <c r="G41" s="34"/>
      <c r="H41" s="34"/>
      <c r="I41" s="34"/>
      <c r="J41" s="34"/>
      <c r="K41" s="34"/>
      <c r="L41" s="34"/>
      <c r="M41" s="34"/>
      <c r="N41" s="34"/>
    </row>
    <row r="42" spans="4:14" x14ac:dyDescent="0.2"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4:14" x14ac:dyDescent="0.2">
      <c r="D43" s="34"/>
      <c r="E43" s="34" t="s">
        <v>117</v>
      </c>
      <c r="F43" s="34" t="s">
        <v>16</v>
      </c>
      <c r="G43" s="81" t="s">
        <v>16</v>
      </c>
      <c r="H43" s="34"/>
      <c r="I43" s="34"/>
      <c r="J43" s="34"/>
      <c r="K43" s="34"/>
      <c r="L43" s="34"/>
      <c r="M43" s="34"/>
      <c r="N43" s="34"/>
    </row>
    <row r="44" spans="4:14" x14ac:dyDescent="0.2">
      <c r="D44" s="34"/>
      <c r="E44" s="34"/>
      <c r="F44" s="34" t="s">
        <v>17</v>
      </c>
      <c r="G44" s="81" t="s">
        <v>17</v>
      </c>
      <c r="H44" s="34"/>
      <c r="I44" s="34"/>
      <c r="J44" s="34"/>
      <c r="K44" s="34"/>
      <c r="L44" s="34"/>
      <c r="M44" s="34"/>
      <c r="N44" s="34"/>
    </row>
    <row r="45" spans="4:14" x14ac:dyDescent="0.2">
      <c r="D45" s="34"/>
      <c r="E45" s="34"/>
      <c r="F45" s="34" t="s">
        <v>18</v>
      </c>
      <c r="G45" s="81" t="s">
        <v>118</v>
      </c>
      <c r="H45" s="34"/>
      <c r="I45" s="34"/>
      <c r="J45" s="34"/>
      <c r="K45" s="34"/>
      <c r="L45" s="34"/>
      <c r="M45" s="34"/>
      <c r="N45" s="34"/>
    </row>
    <row r="46" spans="4:14" x14ac:dyDescent="0.2">
      <c r="D46" s="34"/>
      <c r="E46" s="34"/>
      <c r="F46" s="34" t="s">
        <v>19</v>
      </c>
      <c r="G46" s="81" t="s">
        <v>119</v>
      </c>
      <c r="H46" s="34"/>
      <c r="I46" s="34"/>
      <c r="J46" s="34"/>
      <c r="K46" s="34"/>
      <c r="L46" s="34"/>
      <c r="M46" s="34"/>
      <c r="N46" s="34"/>
    </row>
    <row r="47" spans="4:14" x14ac:dyDescent="0.2">
      <c r="F47" s="34" t="s">
        <v>20</v>
      </c>
      <c r="G47" s="81" t="s">
        <v>120</v>
      </c>
    </row>
    <row r="48" spans="4:14" x14ac:dyDescent="0.2">
      <c r="F48" s="34" t="s">
        <v>21</v>
      </c>
      <c r="G48" s="81"/>
    </row>
    <row r="49" spans="6:7" x14ac:dyDescent="0.2">
      <c r="F49" s="34" t="s">
        <v>94</v>
      </c>
      <c r="G49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Procvicovani</vt:lpstr>
      <vt:lpstr>VelkýZapočtový</vt:lpstr>
      <vt:lpstr>SelfTesty</vt:lpstr>
      <vt:lpstr>Cviceni1</vt:lpstr>
      <vt:lpstr>Cviceni2</vt:lpstr>
      <vt:lpstr>Cviceni3</vt:lpstr>
      <vt:lpstr>Cviceni4</vt:lpstr>
      <vt:lpstr>Cviceni5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Sláma Kryštof (S-PEF)</dc:creator>
  <cp:lastModifiedBy>Sláma Kryštof (S-PEF)</cp:lastModifiedBy>
  <dcterms:created xsi:type="dcterms:W3CDTF">2024-10-17T10:33:30Z</dcterms:created>
  <dcterms:modified xsi:type="dcterms:W3CDTF">2024-12-05T14:49:00Z</dcterms:modified>
</cp:coreProperties>
</file>