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zem\Desktop\Semestr 4\Laboratorium Fizyczne 2\cw 43\"/>
    </mc:Choice>
  </mc:AlternateContent>
  <xr:revisionPtr revIDLastSave="0" documentId="13_ncr:1_{0EE7576A-FD64-480A-B3FF-CE16C0C701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7" i="1" l="1"/>
  <c r="N7" i="1"/>
  <c r="P6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29" i="1"/>
  <c r="Q20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B28" i="1"/>
  <c r="B31" i="1"/>
  <c r="D31" i="1" s="1"/>
  <c r="D32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B27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5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B20" i="1"/>
  <c r="B10" i="1"/>
  <c r="C10" i="1"/>
  <c r="D10" i="1"/>
  <c r="E10" i="1"/>
  <c r="F10" i="1"/>
  <c r="G10" i="1"/>
  <c r="H10" i="1"/>
  <c r="I10" i="1"/>
  <c r="J10" i="1"/>
  <c r="K10" i="1"/>
  <c r="M10" i="1"/>
  <c r="N10" i="1"/>
  <c r="O10" i="1"/>
  <c r="P10" i="1"/>
  <c r="Q10" i="1"/>
  <c r="R10" i="1"/>
  <c r="S10" i="1"/>
  <c r="T10" i="1"/>
  <c r="L10" i="1"/>
  <c r="K32" i="1"/>
  <c r="B32" i="1"/>
  <c r="H31" i="1"/>
  <c r="H32" i="1" s="1"/>
  <c r="I31" i="1"/>
  <c r="I32" i="1" s="1"/>
  <c r="K31" i="1"/>
  <c r="P31" i="1"/>
  <c r="P32" i="1" s="1"/>
  <c r="Q31" i="1"/>
  <c r="Q32" i="1" s="1"/>
  <c r="R31" i="1"/>
  <c r="R32" i="1" s="1"/>
  <c r="S31" i="1"/>
  <c r="S32" i="1" s="1"/>
  <c r="D11" i="1"/>
  <c r="B11" i="1"/>
  <c r="J31" i="1" l="1"/>
  <c r="J32" i="1" s="1"/>
  <c r="O31" i="1"/>
  <c r="O32" i="1" s="1"/>
  <c r="G31" i="1"/>
  <c r="G32" i="1" s="1"/>
  <c r="N31" i="1"/>
  <c r="N32" i="1" s="1"/>
  <c r="F31" i="1"/>
  <c r="F32" i="1" s="1"/>
  <c r="C31" i="1"/>
  <c r="C32" i="1" s="1"/>
  <c r="M31" i="1"/>
  <c r="M32" i="1" s="1"/>
  <c r="E31" i="1"/>
  <c r="E32" i="1" s="1"/>
  <c r="T31" i="1"/>
  <c r="T32" i="1" s="1"/>
  <c r="L31" i="1"/>
  <c r="L32" i="1" s="1"/>
  <c r="N3" i="1" l="1"/>
  <c r="I15" i="1"/>
  <c r="M14" i="1"/>
  <c r="L14" i="1"/>
  <c r="K14" i="1"/>
  <c r="I14" i="1"/>
  <c r="L13" i="1"/>
  <c r="M13" i="1"/>
  <c r="K13" i="1"/>
  <c r="L12" i="1"/>
  <c r="I12" i="1" s="1"/>
  <c r="K12" i="1"/>
  <c r="H12" i="1" s="1"/>
  <c r="M12" i="1"/>
  <c r="E12" i="1" a="1"/>
  <c r="E12" i="1" s="1"/>
  <c r="J12" i="1" s="1"/>
  <c r="C12" i="1" a="1"/>
  <c r="C12" i="1" s="1"/>
  <c r="A12" i="1" a="1"/>
  <c r="A12" i="1" s="1"/>
  <c r="N6" i="1"/>
  <c r="N4" i="1"/>
  <c r="N5" i="1"/>
  <c r="I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<sst xmlns="http://schemas.openxmlformats.org/spreadsheetml/2006/main" count="35" uniqueCount="27">
  <si>
    <t>I_c [A] (Prąd cewki)</t>
  </si>
  <si>
    <t>Napięcie U [mV]</t>
  </si>
  <si>
    <t>x (odległość)[cm]</t>
  </si>
  <si>
    <t>U (Napięcie) [mV]</t>
  </si>
  <si>
    <t>B (Indukcja) [H]</t>
  </si>
  <si>
    <t>I = 7,5 [mA]</t>
  </si>
  <si>
    <t xml:space="preserve"> I [mA] (Prąd halotronu)</t>
  </si>
  <si>
    <t xml:space="preserve"> (Prąd halotronu)</t>
  </si>
  <si>
    <t>I_c = 10 [A]</t>
  </si>
  <si>
    <t>R [om] opór</t>
  </si>
  <si>
    <t>C</t>
  </si>
  <si>
    <t>N (liczba zwojów)</t>
  </si>
  <si>
    <t>B_0 (3,5)</t>
  </si>
  <si>
    <t>B_0 (5)</t>
  </si>
  <si>
    <t>B_0 (7,5)</t>
  </si>
  <si>
    <t>ŚREDNIA</t>
  </si>
  <si>
    <t>I</t>
  </si>
  <si>
    <t>cewka</t>
  </si>
  <si>
    <t>magnes ferrytowy</t>
  </si>
  <si>
    <t>magnes neodymowy</t>
  </si>
  <si>
    <t>fi cewki [mm]</t>
  </si>
  <si>
    <t>niepewnosc</t>
  </si>
  <si>
    <t>niepewność</t>
  </si>
  <si>
    <t>normalnie</t>
  </si>
  <si>
    <t>standardowo</t>
  </si>
  <si>
    <t>inaczej</t>
  </si>
  <si>
    <t>B_0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</si>
</sst>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0" xfId="0" applyFill="1"/>
    <xf numFmtId="2" fontId="0" fillId="0" borderId="0" xfId="0" applyNumberFormat="1"/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zależności</a:t>
            </a:r>
            <a:r>
              <a:rPr lang="pl-PL" baseline="0"/>
              <a:t> napięcia od prądu cewki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Arkusz1!$A$3</c:f>
              <c:strCache>
                <c:ptCount val="1"/>
                <c:pt idx="0">
                  <c:v>3,5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Arkusz1!$B$1:$L$1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Arkusz1!$B$3:$L$3</c:f>
              <c:numCache>
                <c:formatCode>General</c:formatCode>
                <c:ptCount val="11"/>
                <c:pt idx="0">
                  <c:v>0.2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A8-4D8D-B05E-7B13280287AA}"/>
            </c:ext>
          </c:extLst>
        </c:ser>
        <c:ser>
          <c:idx val="1"/>
          <c:order val="1"/>
          <c:tx>
            <c:strRef>
              <c:f>Arkusz1!$A$4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Arkusz1!$B$1:$L$1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Arkusz1!$B$4:$L$4</c:f>
              <c:numCache>
                <c:formatCode>General</c:formatCode>
                <c:ptCount val="11"/>
                <c:pt idx="0">
                  <c:v>0.3</c:v>
                </c:pt>
                <c:pt idx="1">
                  <c:v>0.6</c:v>
                </c:pt>
                <c:pt idx="2">
                  <c:v>0.8</c:v>
                </c:pt>
                <c:pt idx="3">
                  <c:v>1.1000000000000001</c:v>
                </c:pt>
                <c:pt idx="4">
                  <c:v>1.4</c:v>
                </c:pt>
                <c:pt idx="5">
                  <c:v>1.7</c:v>
                </c:pt>
                <c:pt idx="6">
                  <c:v>2</c:v>
                </c:pt>
                <c:pt idx="7">
                  <c:v>2.2999999999999998</c:v>
                </c:pt>
                <c:pt idx="8">
                  <c:v>2.6</c:v>
                </c:pt>
                <c:pt idx="9">
                  <c:v>2.8</c:v>
                </c:pt>
                <c:pt idx="10">
                  <c:v>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A8-4D8D-B05E-7B13280287AA}"/>
            </c:ext>
          </c:extLst>
        </c:ser>
        <c:ser>
          <c:idx val="2"/>
          <c:order val="2"/>
          <c:tx>
            <c:strRef>
              <c:f>Arkusz1!$A$5</c:f>
              <c:strCache>
                <c:ptCount val="1"/>
                <c:pt idx="0">
                  <c:v>7,5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Arkusz1!$B$1:$L$1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Arkusz1!$B$5:$L$5</c:f>
              <c:numCache>
                <c:formatCode>General</c:formatCode>
                <c:ptCount val="11"/>
                <c:pt idx="0">
                  <c:v>0.5</c:v>
                </c:pt>
                <c:pt idx="1">
                  <c:v>0.9</c:v>
                </c:pt>
                <c:pt idx="2">
                  <c:v>1.3</c:v>
                </c:pt>
                <c:pt idx="3">
                  <c:v>1.8</c:v>
                </c:pt>
                <c:pt idx="4">
                  <c:v>2.2000000000000002</c:v>
                </c:pt>
                <c:pt idx="5">
                  <c:v>2.6</c:v>
                </c:pt>
                <c:pt idx="6">
                  <c:v>3</c:v>
                </c:pt>
                <c:pt idx="7">
                  <c:v>3.6</c:v>
                </c:pt>
                <c:pt idx="8">
                  <c:v>3.9</c:v>
                </c:pt>
                <c:pt idx="9">
                  <c:v>4.3</c:v>
                </c:pt>
                <c:pt idx="10">
                  <c:v>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A8-4D8D-B05E-7B1328028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01519"/>
        <c:axId val="512903599"/>
      </c:scatterChart>
      <c:valAx>
        <c:axId val="51290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 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2903599"/>
        <c:crosses val="autoZero"/>
        <c:crossBetween val="midCat"/>
      </c:valAx>
      <c:valAx>
        <c:axId val="51290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290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zależności indukcji pola magnetycznego cewki</a:t>
            </a:r>
            <a:r>
              <a:rPr lang="pl-PL" baseline="0"/>
              <a:t> w zależności od odległości od środka cewki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cewka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Arkusz1!$B$8:$T$8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xVal>
          <c:yVal>
            <c:numRef>
              <c:f>Arkusz1!$B$27:$T$27</c:f>
              <c:numCache>
                <c:formatCode>0.00</c:formatCode>
                <c:ptCount val="19"/>
                <c:pt idx="0">
                  <c:v>5.2345745339165966</c:v>
                </c:pt>
                <c:pt idx="1">
                  <c:v>5.2345745339165966</c:v>
                </c:pt>
                <c:pt idx="2">
                  <c:v>5.1102109920740855</c:v>
                </c:pt>
                <c:pt idx="3">
                  <c:v>4.8614839083890642</c:v>
                </c:pt>
                <c:pt idx="4">
                  <c:v>4.4883932828615301</c:v>
                </c:pt>
                <c:pt idx="5">
                  <c:v>4.1153026573339977</c:v>
                </c:pt>
                <c:pt idx="6">
                  <c:v>3.7422120318064653</c:v>
                </c:pt>
                <c:pt idx="7">
                  <c:v>3.2447578644364219</c:v>
                </c:pt>
                <c:pt idx="8">
                  <c:v>2.8716672389088882</c:v>
                </c:pt>
                <c:pt idx="9">
                  <c:v>2.4985766133813558</c:v>
                </c:pt>
                <c:pt idx="10">
                  <c:v>2.2498495296963337</c:v>
                </c:pt>
                <c:pt idx="11">
                  <c:v>2.0011224460113124</c:v>
                </c:pt>
                <c:pt idx="12">
                  <c:v>1.7523953623262902</c:v>
                </c:pt>
                <c:pt idx="13">
                  <c:v>1.5036682786412683</c:v>
                </c:pt>
                <c:pt idx="14">
                  <c:v>1.2549411949562463</c:v>
                </c:pt>
                <c:pt idx="15">
                  <c:v>1.1305776531137355</c:v>
                </c:pt>
                <c:pt idx="16">
                  <c:v>1.0062141112712246</c:v>
                </c:pt>
                <c:pt idx="17">
                  <c:v>0.88185056942871343</c:v>
                </c:pt>
                <c:pt idx="18">
                  <c:v>0.75748702758620268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687-49C4-AD6F-30C5085AB144}"/>
            </c:ext>
          </c:extLst>
        </c:ser>
        <c:ser>
          <c:idx val="3"/>
          <c:order val="1"/>
          <c:tx>
            <c:v>cewka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Arkusz1!$B$8:$T$8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xVal>
          <c:yVal>
            <c:numRef>
              <c:f>Arkusz1!$B$27:$T$27</c:f>
              <c:numCache>
                <c:formatCode>0.00</c:formatCode>
                <c:ptCount val="19"/>
                <c:pt idx="0">
                  <c:v>5.2345745339165966</c:v>
                </c:pt>
                <c:pt idx="1">
                  <c:v>5.2345745339165966</c:v>
                </c:pt>
                <c:pt idx="2">
                  <c:v>5.1102109920740855</c:v>
                </c:pt>
                <c:pt idx="3">
                  <c:v>4.8614839083890642</c:v>
                </c:pt>
                <c:pt idx="4">
                  <c:v>4.4883932828615301</c:v>
                </c:pt>
                <c:pt idx="5">
                  <c:v>4.1153026573339977</c:v>
                </c:pt>
                <c:pt idx="6">
                  <c:v>3.7422120318064653</c:v>
                </c:pt>
                <c:pt idx="7">
                  <c:v>3.2447578644364219</c:v>
                </c:pt>
                <c:pt idx="8">
                  <c:v>2.8716672389088882</c:v>
                </c:pt>
                <c:pt idx="9">
                  <c:v>2.4985766133813558</c:v>
                </c:pt>
                <c:pt idx="10">
                  <c:v>2.2498495296963337</c:v>
                </c:pt>
                <c:pt idx="11">
                  <c:v>2.0011224460113124</c:v>
                </c:pt>
                <c:pt idx="12">
                  <c:v>1.7523953623262902</c:v>
                </c:pt>
                <c:pt idx="13">
                  <c:v>1.5036682786412683</c:v>
                </c:pt>
                <c:pt idx="14">
                  <c:v>1.2549411949562463</c:v>
                </c:pt>
                <c:pt idx="15">
                  <c:v>1.1305776531137355</c:v>
                </c:pt>
                <c:pt idx="16">
                  <c:v>1.0062141112712246</c:v>
                </c:pt>
                <c:pt idx="17">
                  <c:v>0.88185056942871343</c:v>
                </c:pt>
                <c:pt idx="18">
                  <c:v>0.75748702758620268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687-49C4-AD6F-30C5085AB144}"/>
            </c:ext>
          </c:extLst>
        </c:ser>
        <c:ser>
          <c:idx val="1"/>
          <c:order val="2"/>
          <c:tx>
            <c:v>cewka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Arkusz1!$B$8:$T$8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xVal>
          <c:yVal>
            <c:numRef>
              <c:f>Arkusz1!$B$27:$T$27</c:f>
              <c:numCache>
                <c:formatCode>0.00</c:formatCode>
                <c:ptCount val="19"/>
                <c:pt idx="0">
                  <c:v>5.2345745339165966</c:v>
                </c:pt>
                <c:pt idx="1">
                  <c:v>5.2345745339165966</c:v>
                </c:pt>
                <c:pt idx="2">
                  <c:v>5.1102109920740855</c:v>
                </c:pt>
                <c:pt idx="3">
                  <c:v>4.8614839083890642</c:v>
                </c:pt>
                <c:pt idx="4">
                  <c:v>4.4883932828615301</c:v>
                </c:pt>
                <c:pt idx="5">
                  <c:v>4.1153026573339977</c:v>
                </c:pt>
                <c:pt idx="6">
                  <c:v>3.7422120318064653</c:v>
                </c:pt>
                <c:pt idx="7">
                  <c:v>3.2447578644364219</c:v>
                </c:pt>
                <c:pt idx="8">
                  <c:v>2.8716672389088882</c:v>
                </c:pt>
                <c:pt idx="9">
                  <c:v>2.4985766133813558</c:v>
                </c:pt>
                <c:pt idx="10">
                  <c:v>2.2498495296963337</c:v>
                </c:pt>
                <c:pt idx="11">
                  <c:v>2.0011224460113124</c:v>
                </c:pt>
                <c:pt idx="12">
                  <c:v>1.7523953623262902</c:v>
                </c:pt>
                <c:pt idx="13">
                  <c:v>1.5036682786412683</c:v>
                </c:pt>
                <c:pt idx="14">
                  <c:v>1.2549411949562463</c:v>
                </c:pt>
                <c:pt idx="15">
                  <c:v>1.1305776531137355</c:v>
                </c:pt>
                <c:pt idx="16">
                  <c:v>1.0062141112712246</c:v>
                </c:pt>
                <c:pt idx="17">
                  <c:v>0.88185056942871343</c:v>
                </c:pt>
                <c:pt idx="18">
                  <c:v>0.75748702758620268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87-49C4-AD6F-30C5085AB144}"/>
            </c:ext>
          </c:extLst>
        </c:ser>
        <c:ser>
          <c:idx val="0"/>
          <c:order val="3"/>
          <c:tx>
            <c:v>cewka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Arkusz1!$B$8:$T$8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xVal>
          <c:yVal>
            <c:numRef>
              <c:f>Arkusz1!$B$27:$T$27</c:f>
              <c:numCache>
                <c:formatCode>0.00</c:formatCode>
                <c:ptCount val="19"/>
                <c:pt idx="0">
                  <c:v>5.2345745339165966</c:v>
                </c:pt>
                <c:pt idx="1">
                  <c:v>5.2345745339165966</c:v>
                </c:pt>
                <c:pt idx="2">
                  <c:v>5.1102109920740855</c:v>
                </c:pt>
                <c:pt idx="3">
                  <c:v>4.8614839083890642</c:v>
                </c:pt>
                <c:pt idx="4">
                  <c:v>4.4883932828615301</c:v>
                </c:pt>
                <c:pt idx="5">
                  <c:v>4.1153026573339977</c:v>
                </c:pt>
                <c:pt idx="6">
                  <c:v>3.7422120318064653</c:v>
                </c:pt>
                <c:pt idx="7">
                  <c:v>3.2447578644364219</c:v>
                </c:pt>
                <c:pt idx="8">
                  <c:v>2.8716672389088882</c:v>
                </c:pt>
                <c:pt idx="9">
                  <c:v>2.4985766133813558</c:v>
                </c:pt>
                <c:pt idx="10">
                  <c:v>2.2498495296963337</c:v>
                </c:pt>
                <c:pt idx="11">
                  <c:v>2.0011224460113124</c:v>
                </c:pt>
                <c:pt idx="12">
                  <c:v>1.7523953623262902</c:v>
                </c:pt>
                <c:pt idx="13">
                  <c:v>1.5036682786412683</c:v>
                </c:pt>
                <c:pt idx="14">
                  <c:v>1.2549411949562463</c:v>
                </c:pt>
                <c:pt idx="15">
                  <c:v>1.1305776531137355</c:v>
                </c:pt>
                <c:pt idx="16">
                  <c:v>1.0062141112712246</c:v>
                </c:pt>
                <c:pt idx="17">
                  <c:v>0.88185056942871343</c:v>
                </c:pt>
                <c:pt idx="18">
                  <c:v>0.75748702758620268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687-49C4-AD6F-30C5085AB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204735"/>
        <c:axId val="754643407"/>
      </c:scatterChart>
      <c:valAx>
        <c:axId val="90820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4643407"/>
        <c:crosses val="autoZero"/>
        <c:crossBetween val="midCat"/>
      </c:valAx>
      <c:valAx>
        <c:axId val="75464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 [</a:t>
                </a:r>
                <a:r>
                  <a:rPr lang="el-GR"/>
                  <a:t>μ</a:t>
                </a:r>
                <a:r>
                  <a:rPr lang="pl-PL"/>
                  <a:t>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820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zależności indukcji pola magnetycznego magnesu ferrytowego</a:t>
            </a:r>
            <a:r>
              <a:rPr lang="pl-PL" baseline="0"/>
              <a:t> w zależności od odległości od środka cewki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ferryt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Arkusz1!$B$8:$T$8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xVal>
          <c:yVal>
            <c:numRef>
              <c:f>Arkusz1!$B$28:$Q$28</c:f>
              <c:numCache>
                <c:formatCode>0.00</c:formatCode>
                <c:ptCount val="16"/>
                <c:pt idx="0">
                  <c:v>-15.907227579310264</c:v>
                </c:pt>
                <c:pt idx="1">
                  <c:v>-8.4454150687596066</c:v>
                </c:pt>
                <c:pt idx="2">
                  <c:v>-4.7145088134842794</c:v>
                </c:pt>
                <c:pt idx="3">
                  <c:v>-2.9734192276891256</c:v>
                </c:pt>
                <c:pt idx="4">
                  <c:v>-1.7297838092640163</c:v>
                </c:pt>
                <c:pt idx="5">
                  <c:v>-1.1079661000514616</c:v>
                </c:pt>
                <c:pt idx="6">
                  <c:v>-0.73487547452392876</c:v>
                </c:pt>
                <c:pt idx="7">
                  <c:v>-0.61051193268141779</c:v>
                </c:pt>
                <c:pt idx="8">
                  <c:v>-0.48614839083890682</c:v>
                </c:pt>
                <c:pt idx="9">
                  <c:v>-0.3617848489963959</c:v>
                </c:pt>
                <c:pt idx="10">
                  <c:v>-0.23742130715388493</c:v>
                </c:pt>
                <c:pt idx="11">
                  <c:v>-0.23742130715388493</c:v>
                </c:pt>
                <c:pt idx="12">
                  <c:v>-0.11305776531137395</c:v>
                </c:pt>
                <c:pt idx="13">
                  <c:v>-0.11305776531137395</c:v>
                </c:pt>
                <c:pt idx="14">
                  <c:v>-0.11305776531137395</c:v>
                </c:pt>
                <c:pt idx="15">
                  <c:v>-0.11305776531137395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34-429B-A98F-DDA18A1AD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204735"/>
        <c:axId val="754643407"/>
      </c:scatterChart>
      <c:valAx>
        <c:axId val="90820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4643407"/>
        <c:crosses val="autoZero"/>
        <c:crossBetween val="midCat"/>
      </c:valAx>
      <c:valAx>
        <c:axId val="754643407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 [</a:t>
                </a:r>
                <a:r>
                  <a:rPr lang="el-GR"/>
                  <a:t>μ</a:t>
                </a:r>
                <a:r>
                  <a:rPr lang="pl-PL"/>
                  <a:t>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820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zależności indukcji pola magnetycznego magnesu neodymowego</a:t>
            </a:r>
            <a:r>
              <a:rPr lang="pl-PL" baseline="0"/>
              <a:t> w zależności od odległości od środka cewki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neodym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Arkusz1!$B$8:$T$8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xVal>
          <c:yVal>
            <c:numRef>
              <c:f>Arkusz1!$B$29:$P$29</c:f>
              <c:numCache>
                <c:formatCode>0.00</c:formatCode>
                <c:ptCount val="15"/>
                <c:pt idx="0">
                  <c:v>210.68314565774466</c:v>
                </c:pt>
                <c:pt idx="1">
                  <c:v>86.070876731548694</c:v>
                </c:pt>
                <c:pt idx="2">
                  <c:v>39.310184998764598</c:v>
                </c:pt>
                <c:pt idx="3">
                  <c:v>20.655653722387953</c:v>
                </c:pt>
                <c:pt idx="4">
                  <c:v>11.950205793412188</c:v>
                </c:pt>
                <c:pt idx="5">
                  <c:v>7.5974818289243045</c:v>
                </c:pt>
                <c:pt idx="6">
                  <c:v>4.9858474502315753</c:v>
                </c:pt>
                <c:pt idx="7">
                  <c:v>3.4934849481214432</c:v>
                </c:pt>
                <c:pt idx="8">
                  <c:v>2.4985766133813558</c:v>
                </c:pt>
                <c:pt idx="9">
                  <c:v>1.8767589041688009</c:v>
                </c:pt>
                <c:pt idx="10">
                  <c:v>1.5036682786412683</c:v>
                </c:pt>
                <c:pt idx="11">
                  <c:v>1.1305776531137355</c:v>
                </c:pt>
                <c:pt idx="12">
                  <c:v>0.88185056942871343</c:v>
                </c:pt>
                <c:pt idx="13">
                  <c:v>0.75748702758620268</c:v>
                </c:pt>
                <c:pt idx="14">
                  <c:v>0.63312348574369171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A7-4074-A7F1-DC6939371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204735"/>
        <c:axId val="754643407"/>
      </c:scatterChart>
      <c:valAx>
        <c:axId val="90820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4643407"/>
        <c:crosses val="autoZero"/>
        <c:crossBetween val="midCat"/>
      </c:valAx>
      <c:valAx>
        <c:axId val="75464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 [</a:t>
                </a:r>
                <a:r>
                  <a:rPr lang="el-GR"/>
                  <a:t>μ</a:t>
                </a:r>
                <a:r>
                  <a:rPr lang="pl-PL"/>
                  <a:t>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820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406644</xdr:colOff>
      <xdr:row>1</xdr:row>
      <xdr:rowOff>7326</xdr:rowOff>
    </xdr:from>
    <xdr:to>
      <xdr:col>32</xdr:col>
      <xdr:colOff>593481</xdr:colOff>
      <xdr:row>22</xdr:row>
      <xdr:rowOff>117229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71C4AFC-C88B-EFEA-0E7E-A1BA5A1B5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461595</xdr:colOff>
      <xdr:row>23</xdr:row>
      <xdr:rowOff>181707</xdr:rowOff>
    </xdr:from>
    <xdr:to>
      <xdr:col>28</xdr:col>
      <xdr:colOff>168518</xdr:colOff>
      <xdr:row>38</xdr:row>
      <xdr:rowOff>60080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7C5D44D-481B-5447-477C-FA672A0BB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476250</xdr:colOff>
      <xdr:row>38</xdr:row>
      <xdr:rowOff>153865</xdr:rowOff>
    </xdr:from>
    <xdr:to>
      <xdr:col>28</xdr:col>
      <xdr:colOff>183173</xdr:colOff>
      <xdr:row>53</xdr:row>
      <xdr:rowOff>39565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88951ED-1B31-41E4-BC1A-9BEFBDBC5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498231</xdr:colOff>
      <xdr:row>54</xdr:row>
      <xdr:rowOff>0</xdr:rowOff>
    </xdr:from>
    <xdr:to>
      <xdr:col>28</xdr:col>
      <xdr:colOff>205154</xdr:colOff>
      <xdr:row>68</xdr:row>
      <xdr:rowOff>76200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3C1A6C4-FD0A-489F-BC89-113445F5A3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zoomScale="130" zoomScaleNormal="130" workbookViewId="0">
      <selection activeCell="J16" sqref="J16"/>
    </sheetView>
  </sheetViews>
  <sheetFormatPr defaultRowHeight="15" x14ac:dyDescent="0.25"/>
  <cols>
    <col min="1" max="1" width="18.28515625" bestFit="1" customWidth="1"/>
    <col min="2" max="3" width="13" bestFit="1" customWidth="1"/>
    <col min="4" max="10" width="10.42578125" bestFit="1" customWidth="1"/>
    <col min="11" max="13" width="13" bestFit="1" customWidth="1"/>
    <col min="14" max="14" width="13.28515625" bestFit="1" customWidth="1"/>
    <col min="15" max="15" width="10.42578125" bestFit="1" customWidth="1"/>
    <col min="16" max="16" width="13.42578125" bestFit="1" customWidth="1"/>
    <col min="17" max="17" width="10.42578125" bestFit="1" customWidth="1"/>
    <col min="18" max="18" width="16.85546875" bestFit="1" customWidth="1"/>
    <col min="19" max="20" width="10.42578125" bestFit="1" customWidth="1"/>
  </cols>
  <sheetData>
    <row r="1" spans="1:22" ht="15.75" thickBot="1" x14ac:dyDescent="0.3">
      <c r="A1" s="11" t="s">
        <v>0</v>
      </c>
      <c r="B1" s="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11"/>
    </row>
    <row r="2" spans="1:22" ht="15.75" thickBot="1" x14ac:dyDescent="0.3">
      <c r="A2" s="10" t="s">
        <v>6</v>
      </c>
      <c r="B2" s="19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10"/>
      <c r="N2" t="s">
        <v>9</v>
      </c>
      <c r="O2" t="s">
        <v>10</v>
      </c>
      <c r="R2" t="s">
        <v>11</v>
      </c>
      <c r="S2">
        <v>40</v>
      </c>
    </row>
    <row r="3" spans="1:22" x14ac:dyDescent="0.25">
      <c r="A3" s="12">
        <v>3.5</v>
      </c>
      <c r="B3" s="4">
        <v>0.2</v>
      </c>
      <c r="C3" s="6">
        <v>0.3</v>
      </c>
      <c r="D3" s="6">
        <v>0.5</v>
      </c>
      <c r="E3" s="14">
        <v>0.8</v>
      </c>
      <c r="F3" s="14">
        <v>1</v>
      </c>
      <c r="G3" s="14">
        <v>1.2</v>
      </c>
      <c r="H3" s="14">
        <v>1.4</v>
      </c>
      <c r="I3" s="14">
        <v>1.6</v>
      </c>
      <c r="J3" s="14">
        <v>1.8</v>
      </c>
      <c r="K3" s="14">
        <v>2</v>
      </c>
      <c r="L3" s="6">
        <v>2.2000000000000002</v>
      </c>
      <c r="M3" s="12"/>
      <c r="N3" s="23">
        <f>B3/$A3</f>
        <v>5.7142857142857148E-2</v>
      </c>
      <c r="P3" t="s">
        <v>20</v>
      </c>
      <c r="Q3">
        <v>95</v>
      </c>
    </row>
    <row r="4" spans="1:22" x14ac:dyDescent="0.25">
      <c r="A4" s="12">
        <v>5</v>
      </c>
      <c r="B4" s="4">
        <v>0.3</v>
      </c>
      <c r="C4" s="6">
        <v>0.6</v>
      </c>
      <c r="D4" s="14">
        <v>0.8</v>
      </c>
      <c r="E4" s="14">
        <v>1.1000000000000001</v>
      </c>
      <c r="F4" s="14">
        <v>1.4</v>
      </c>
      <c r="G4" s="14">
        <v>1.7</v>
      </c>
      <c r="H4" s="14">
        <v>2</v>
      </c>
      <c r="I4" s="14">
        <v>2.2999999999999998</v>
      </c>
      <c r="J4" s="14">
        <v>2.6</v>
      </c>
      <c r="K4" s="14">
        <v>2.8</v>
      </c>
      <c r="L4" s="6">
        <v>3.1</v>
      </c>
      <c r="M4" s="12"/>
      <c r="N4" s="23">
        <f t="shared" ref="N4:N5" si="0">B4/$A4</f>
        <v>0.06</v>
      </c>
    </row>
    <row r="5" spans="1:22" ht="15.75" thickBot="1" x14ac:dyDescent="0.3">
      <c r="A5" s="13">
        <v>7.5</v>
      </c>
      <c r="B5" s="7">
        <v>0.5</v>
      </c>
      <c r="C5" s="8">
        <v>0.9</v>
      </c>
      <c r="D5" s="8">
        <v>1.3</v>
      </c>
      <c r="E5" s="8">
        <v>1.8</v>
      </c>
      <c r="F5" s="8">
        <v>2.2000000000000002</v>
      </c>
      <c r="G5" s="8">
        <v>2.6</v>
      </c>
      <c r="H5" s="8">
        <v>3</v>
      </c>
      <c r="I5" s="8">
        <v>3.6</v>
      </c>
      <c r="J5" s="8">
        <v>3.9</v>
      </c>
      <c r="K5" s="8">
        <v>4.3</v>
      </c>
      <c r="L5" s="8">
        <v>4.7</v>
      </c>
      <c r="M5" s="13"/>
      <c r="N5" s="23">
        <f t="shared" si="0"/>
        <v>6.6666666666666666E-2</v>
      </c>
    </row>
    <row r="6" spans="1:22" x14ac:dyDescent="0.25">
      <c r="N6">
        <f>AVERAGE(N3:N5)</f>
        <v>6.1269841269841273E-2</v>
      </c>
      <c r="O6" t="s">
        <v>22</v>
      </c>
      <c r="P6">
        <f>_xlfn.STDEV.S(N3:N5)/SQRT(3)</f>
        <v>2.8216490213700271E-3</v>
      </c>
    </row>
    <row r="7" spans="1:22" ht="15.75" thickBot="1" x14ac:dyDescent="0.3">
      <c r="A7" t="s">
        <v>17</v>
      </c>
      <c r="B7" t="s">
        <v>5</v>
      </c>
      <c r="C7" t="s">
        <v>7</v>
      </c>
      <c r="E7" t="s">
        <v>8</v>
      </c>
      <c r="N7">
        <f>N6*1000</f>
        <v>61.269841269841272</v>
      </c>
      <c r="P7">
        <f>P6*1000</f>
        <v>2.8216490213700269</v>
      </c>
    </row>
    <row r="8" spans="1:22" x14ac:dyDescent="0.25">
      <c r="A8" s="11" t="s">
        <v>2</v>
      </c>
      <c r="B8" s="1">
        <v>0</v>
      </c>
      <c r="C8" s="2">
        <v>0.5</v>
      </c>
      <c r="D8" s="2">
        <v>1</v>
      </c>
      <c r="E8" s="2">
        <v>1.5</v>
      </c>
      <c r="F8" s="2">
        <v>2</v>
      </c>
      <c r="G8" s="2">
        <v>2.5</v>
      </c>
      <c r="H8" s="2">
        <v>3</v>
      </c>
      <c r="I8" s="2">
        <v>3.5</v>
      </c>
      <c r="J8" s="2">
        <v>4</v>
      </c>
      <c r="K8" s="2">
        <v>4.5</v>
      </c>
      <c r="L8" s="2">
        <v>5</v>
      </c>
      <c r="M8" s="2">
        <v>5.5</v>
      </c>
      <c r="N8" s="2">
        <v>6</v>
      </c>
      <c r="O8" s="2">
        <v>6.5</v>
      </c>
      <c r="P8" s="2">
        <v>7</v>
      </c>
      <c r="Q8" s="2">
        <v>7.5</v>
      </c>
      <c r="R8" s="2">
        <v>8</v>
      </c>
      <c r="S8" s="2">
        <v>8.5</v>
      </c>
      <c r="T8" s="3">
        <v>9</v>
      </c>
      <c r="U8" s="2"/>
      <c r="V8" s="3"/>
    </row>
    <row r="9" spans="1:22" x14ac:dyDescent="0.25">
      <c r="A9" s="12" t="s">
        <v>3</v>
      </c>
      <c r="B9" s="15">
        <v>4.7</v>
      </c>
      <c r="C9" s="14">
        <v>4.7</v>
      </c>
      <c r="D9" s="14">
        <v>4.5999999999999996</v>
      </c>
      <c r="E9" s="14">
        <v>4.4000000000000004</v>
      </c>
      <c r="F9" s="14">
        <v>4.0999999999999996</v>
      </c>
      <c r="G9" s="14">
        <v>3.8</v>
      </c>
      <c r="H9" s="14">
        <v>3.5</v>
      </c>
      <c r="I9" s="14">
        <v>3.1</v>
      </c>
      <c r="J9" s="14">
        <v>2.8</v>
      </c>
      <c r="K9" s="14">
        <v>2.5</v>
      </c>
      <c r="L9" s="14">
        <v>2.2999999999999998</v>
      </c>
      <c r="M9" s="14">
        <v>2.1</v>
      </c>
      <c r="N9" s="14">
        <v>1.9</v>
      </c>
      <c r="O9" s="14">
        <v>1.7</v>
      </c>
      <c r="P9" s="14">
        <v>1.5</v>
      </c>
      <c r="Q9" s="14">
        <v>1.4</v>
      </c>
      <c r="R9" s="14">
        <v>1.3</v>
      </c>
      <c r="S9" s="14">
        <v>1.2</v>
      </c>
      <c r="T9" s="16">
        <v>1.1000000000000001</v>
      </c>
      <c r="U9" s="6"/>
      <c r="V9" s="5"/>
    </row>
    <row r="10" spans="1:22" ht="15.75" thickBot="1" x14ac:dyDescent="0.3">
      <c r="A10" s="13" t="s">
        <v>4</v>
      </c>
      <c r="B10" s="7">
        <f t="shared" ref="B10:C10" si="1">(0.001*B9-0.001*$F$12)/($A$5*0.001*$J$12)</f>
        <v>5.2345745339165969E-6</v>
      </c>
      <c r="C10" s="7">
        <f t="shared" si="1"/>
        <v>5.2345745339165969E-6</v>
      </c>
      <c r="D10" s="7">
        <f t="shared" ref="D10" si="2">(0.001*D9-0.001*$F$12)/($A$5*0.001*$J$12)</f>
        <v>5.1102109920740856E-6</v>
      </c>
      <c r="E10" s="7">
        <f t="shared" ref="E10" si="3">(0.001*E9-0.001*$F$12)/($A$5*0.001*$J$12)</f>
        <v>4.8614839083890639E-6</v>
      </c>
      <c r="F10" s="7">
        <f t="shared" ref="F10" si="4">(0.001*F9-0.001*$F$12)/($A$5*0.001*$J$12)</f>
        <v>4.48839328286153E-6</v>
      </c>
      <c r="G10" s="7">
        <f t="shared" ref="G10" si="5">(0.001*G9-0.001*$F$12)/($A$5*0.001*$J$12)</f>
        <v>4.1153026573339978E-6</v>
      </c>
      <c r="H10" s="7">
        <f t="shared" ref="H10" si="6">(0.001*H9-0.001*$F$12)/($A$5*0.001*$J$12)</f>
        <v>3.7422120318064652E-6</v>
      </c>
      <c r="I10" s="7">
        <f t="shared" ref="I10" si="7">(0.001*I9-0.001*$F$12)/($A$5*0.001*$J$12)</f>
        <v>3.2447578644364217E-6</v>
      </c>
      <c r="J10" s="7">
        <f t="shared" ref="J10" si="8">(0.001*J9-0.001*$F$12)/($A$5*0.001*$J$12)</f>
        <v>2.8716672389088883E-6</v>
      </c>
      <c r="K10" s="7">
        <f t="shared" ref="K10" si="9">(0.001*K9-0.001*$F$12)/($A$5*0.001*$J$12)</f>
        <v>2.4985766133813557E-6</v>
      </c>
      <c r="L10" s="7">
        <f>(0.001*L9-0.001*$F$12)/($A$5*0.001*$J$12)</f>
        <v>2.2498495296963335E-6</v>
      </c>
      <c r="M10" s="7">
        <f t="shared" ref="M10:T10" si="10">(0.001*M9-0.001*$F$12)/($A$5*0.001*$J$12)</f>
        <v>2.0011224460113122E-6</v>
      </c>
      <c r="N10" s="7">
        <f t="shared" si="10"/>
        <v>1.7523953623262903E-6</v>
      </c>
      <c r="O10" s="7">
        <f t="shared" si="10"/>
        <v>1.5036682786412683E-6</v>
      </c>
      <c r="P10" s="7">
        <f t="shared" si="10"/>
        <v>1.2549411949562464E-6</v>
      </c>
      <c r="Q10" s="7">
        <f t="shared" si="10"/>
        <v>1.1305776531137355E-6</v>
      </c>
      <c r="R10" s="7">
        <f t="shared" si="10"/>
        <v>1.0062141112712247E-6</v>
      </c>
      <c r="S10" s="7">
        <f t="shared" si="10"/>
        <v>8.8185056942871347E-7</v>
      </c>
      <c r="T10" s="7">
        <f t="shared" si="10"/>
        <v>7.5748702758620271E-7</v>
      </c>
      <c r="U10" s="8"/>
      <c r="V10" s="9"/>
    </row>
    <row r="11" spans="1:22" x14ac:dyDescent="0.25">
      <c r="A11" s="14" t="s">
        <v>26</v>
      </c>
      <c r="B11">
        <f>40*7.5*0.001*4*PI()*10^(-7)/0.095</f>
        <v>3.9683275624292124E-6</v>
      </c>
      <c r="D11">
        <f>$B$10/(1+D8/($Q$3*0.001/2))^1.5</f>
        <v>5.0546461120067449E-8</v>
      </c>
      <c r="G11" s="17" t="s">
        <v>16</v>
      </c>
      <c r="H11">
        <v>3.5</v>
      </c>
      <c r="I11">
        <v>5</v>
      </c>
      <c r="J11">
        <v>7.5</v>
      </c>
      <c r="K11" t="s">
        <v>12</v>
      </c>
      <c r="L11" t="s">
        <v>13</v>
      </c>
      <c r="M11" t="s">
        <v>14</v>
      </c>
    </row>
    <row r="12" spans="1:22" x14ac:dyDescent="0.25">
      <c r="A12" cm="1">
        <f t="array" ref="A12:B16">LINEST(B3:L3,B1:L1,1,1)</f>
        <v>0.20636363636363639</v>
      </c>
      <c r="B12">
        <v>0.14999999999999991</v>
      </c>
      <c r="C12" cm="1">
        <f t="array" ref="C12:D16">LINEST(B4:L4,B1:L1,1,1)</f>
        <v>0.28363636363636358</v>
      </c>
      <c r="D12">
        <v>0.28181818181818197</v>
      </c>
      <c r="E12" cm="1">
        <f t="array" ref="E12:F16">LINEST(B5:L5,B1:L1,1,1)</f>
        <v>0.42545454545454542</v>
      </c>
      <c r="F12">
        <v>0.49090909090909118</v>
      </c>
      <c r="G12" s="17" t="s">
        <v>10</v>
      </c>
      <c r="H12" s="21">
        <f>A12/K12</f>
        <v>111434.29700573777</v>
      </c>
      <c r="I12" s="21">
        <f>C12/L12</f>
        <v>107212.55711917675</v>
      </c>
      <c r="J12" s="21">
        <f>E12/M12</f>
        <v>107212.55711917677</v>
      </c>
      <c r="K12">
        <f>40*3.5*0.001*4*PI()*10^(-7)/0.095</f>
        <v>1.8518861958002992E-6</v>
      </c>
      <c r="L12">
        <f>40*5*0.001*4*PI()*10^(-7)/0.095</f>
        <v>2.6455517082861416E-6</v>
      </c>
      <c r="M12">
        <f>40*7.5*0.001*4*PI()*10^(-7)/0.095</f>
        <v>3.9683275624292124E-6</v>
      </c>
    </row>
    <row r="13" spans="1:22" x14ac:dyDescent="0.25">
      <c r="A13">
        <v>3.4683403461392695E-3</v>
      </c>
      <c r="B13">
        <v>2.0518978202703257E-2</v>
      </c>
      <c r="C13">
        <v>3.2637362467481841E-3</v>
      </c>
      <c r="D13">
        <v>1.9308524026756351E-2</v>
      </c>
      <c r="E13">
        <v>5.0343174926776191E-3</v>
      </c>
      <c r="F13">
        <v>2.9783423940134814E-2</v>
      </c>
      <c r="G13" s="17" t="s">
        <v>15</v>
      </c>
      <c r="I13">
        <f>AVERAGE(H12:J12)</f>
        <v>108619.80374803043</v>
      </c>
      <c r="K13">
        <f>ABS(40*0.001*H11*4*PI()*10^(-7)*0.002/(0.002*$Q$3)^2)</f>
        <v>9.7467694515805218E-9</v>
      </c>
      <c r="L13">
        <f t="shared" ref="L13:M13" si="11">ABS(40*0.001*I11*4*PI()*10^(-7)*0.002/(0.002*$Q$3)^2)</f>
        <v>1.3923956359400745E-8</v>
      </c>
      <c r="M13">
        <f t="shared" si="11"/>
        <v>2.0885934539101115E-8</v>
      </c>
    </row>
    <row r="14" spans="1:22" x14ac:dyDescent="0.25">
      <c r="A14">
        <v>0.99746418892760347</v>
      </c>
      <c r="B14">
        <v>3.637626043496392E-2</v>
      </c>
      <c r="C14">
        <v>0.99880976810999389</v>
      </c>
      <c r="D14">
        <v>3.4230354536831362E-2</v>
      </c>
      <c r="E14">
        <v>0.99874145006839943</v>
      </c>
      <c r="F14">
        <v>5.2800367308180586E-2</v>
      </c>
      <c r="G14" s="17" t="s">
        <v>21</v>
      </c>
      <c r="H14" t="s">
        <v>23</v>
      </c>
      <c r="I14" s="21">
        <f>AVERAGE(K14:M14)</f>
        <v>1569.2020439534024</v>
      </c>
      <c r="K14" s="21">
        <f>SQRT(($A$13/K12)^2+(-$A$12*K13/K12^2)^2)</f>
        <v>1962.5535407565508</v>
      </c>
      <c r="L14" s="21">
        <f>SQRT(($C$13/L12)^2+(-$C$12*L13/L12^2)^2)</f>
        <v>1356.5943913100559</v>
      </c>
      <c r="M14" s="21">
        <f>SQRT(($E$13/M12)^2+(-$E$12*M13/M12^2)^2)</f>
        <v>1388.4581997936</v>
      </c>
    </row>
    <row r="15" spans="1:22" x14ac:dyDescent="0.25">
      <c r="A15">
        <v>3540.1603053435165</v>
      </c>
      <c r="B15">
        <v>9</v>
      </c>
      <c r="C15">
        <v>7552.551724137933</v>
      </c>
      <c r="D15">
        <v>9</v>
      </c>
      <c r="E15">
        <v>7142.0869565217472</v>
      </c>
      <c r="F15">
        <v>9</v>
      </c>
      <c r="H15" s="17" t="s">
        <v>24</v>
      </c>
      <c r="I15" s="17">
        <f>_xlfn.STDEV.S(H12:J12)/SQRT(3)</f>
        <v>1407.2466288536698</v>
      </c>
    </row>
    <row r="16" spans="1:22" x14ac:dyDescent="0.25">
      <c r="A16">
        <v>4.6844545454545452</v>
      </c>
      <c r="B16">
        <v>1.1909090909090892E-2</v>
      </c>
      <c r="C16">
        <v>8.8494545454545452</v>
      </c>
      <c r="D16">
        <v>1.0545454545454542E-2</v>
      </c>
      <c r="E16">
        <v>19.911272727272728</v>
      </c>
      <c r="F16">
        <v>2.5090909090909063E-2</v>
      </c>
    </row>
    <row r="17" spans="1:20" ht="15.75" thickBot="1" x14ac:dyDescent="0.3">
      <c r="A17" t="s">
        <v>18</v>
      </c>
      <c r="B17" t="s">
        <v>5</v>
      </c>
    </row>
    <row r="18" spans="1:20" x14ac:dyDescent="0.25">
      <c r="A18" s="11" t="s">
        <v>2</v>
      </c>
      <c r="B18" s="1">
        <v>0</v>
      </c>
      <c r="C18" s="2">
        <v>0.5</v>
      </c>
      <c r="D18" s="2">
        <v>1</v>
      </c>
      <c r="E18" s="2">
        <v>1.5</v>
      </c>
      <c r="F18" s="2">
        <v>2</v>
      </c>
      <c r="G18" s="2">
        <v>2.5</v>
      </c>
      <c r="H18" s="2">
        <v>3</v>
      </c>
      <c r="I18" s="2">
        <v>3.5</v>
      </c>
      <c r="J18" s="2">
        <v>4</v>
      </c>
      <c r="K18" s="2">
        <v>4.5</v>
      </c>
      <c r="L18" s="2">
        <v>5</v>
      </c>
      <c r="M18" s="2">
        <v>5.5</v>
      </c>
      <c r="N18" s="2">
        <v>6</v>
      </c>
      <c r="O18" s="2">
        <v>6.5</v>
      </c>
      <c r="P18" s="2">
        <v>7</v>
      </c>
      <c r="Q18" s="2">
        <v>7.5</v>
      </c>
    </row>
    <row r="19" spans="1:20" x14ac:dyDescent="0.25">
      <c r="A19" s="12" t="s">
        <v>3</v>
      </c>
      <c r="B19" s="15">
        <v>-12.3</v>
      </c>
      <c r="C19" s="14">
        <v>-6.3</v>
      </c>
      <c r="D19" s="14">
        <v>-3.3</v>
      </c>
      <c r="E19" s="14">
        <v>-1.9</v>
      </c>
      <c r="F19" s="14">
        <v>-0.9</v>
      </c>
      <c r="G19" s="14">
        <v>-0.4</v>
      </c>
      <c r="H19" s="14">
        <v>-0.1</v>
      </c>
      <c r="I19" s="14">
        <v>0</v>
      </c>
      <c r="J19" s="14">
        <v>0.1</v>
      </c>
      <c r="K19" s="14">
        <v>0.2</v>
      </c>
      <c r="L19" s="14">
        <v>0.3</v>
      </c>
      <c r="M19" s="14">
        <v>0.3</v>
      </c>
      <c r="N19" s="14">
        <v>0.4</v>
      </c>
      <c r="O19" s="14">
        <v>0.4</v>
      </c>
      <c r="P19" s="14">
        <v>0.4</v>
      </c>
      <c r="Q19" s="14">
        <v>0.4</v>
      </c>
    </row>
    <row r="20" spans="1:20" ht="15.75" thickBot="1" x14ac:dyDescent="0.3">
      <c r="A20" s="13" t="s">
        <v>4</v>
      </c>
      <c r="B20" s="7">
        <f>(0.001*B19-0.001*$F$12)/($A$5*0.001*$J$12)</f>
        <v>-1.5907227579310264E-5</v>
      </c>
      <c r="C20" s="7">
        <f t="shared" ref="C20:Q20" si="12">(0.001*C19-0.001*$F$12)/($A$5*0.001*$J$12)</f>
        <v>-8.445415068759607E-6</v>
      </c>
      <c r="D20" s="7">
        <f t="shared" si="12"/>
        <v>-4.7145088134842793E-6</v>
      </c>
      <c r="E20" s="7">
        <f t="shared" si="12"/>
        <v>-2.9734192276891254E-6</v>
      </c>
      <c r="F20" s="7">
        <f t="shared" si="12"/>
        <v>-1.7297838092640163E-6</v>
      </c>
      <c r="G20" s="7">
        <f t="shared" si="12"/>
        <v>-1.1079661000514616E-6</v>
      </c>
      <c r="H20" s="7">
        <f t="shared" si="12"/>
        <v>-7.3487547452392876E-7</v>
      </c>
      <c r="I20" s="7">
        <f t="shared" si="12"/>
        <v>-6.1051193268141778E-7</v>
      </c>
      <c r="J20" s="7">
        <f t="shared" si="12"/>
        <v>-4.8614839083890681E-7</v>
      </c>
      <c r="K20" s="7">
        <f t="shared" si="12"/>
        <v>-3.6178484899639589E-7</v>
      </c>
      <c r="L20" s="7">
        <f t="shared" si="12"/>
        <v>-2.3742130715388494E-7</v>
      </c>
      <c r="M20" s="7">
        <f t="shared" si="12"/>
        <v>-2.3742130715388494E-7</v>
      </c>
      <c r="N20" s="7">
        <f t="shared" si="12"/>
        <v>-1.1305776531137394E-7</v>
      </c>
      <c r="O20" s="7">
        <f t="shared" si="12"/>
        <v>-1.1305776531137394E-7</v>
      </c>
      <c r="P20" s="7">
        <f t="shared" si="12"/>
        <v>-1.1305776531137394E-7</v>
      </c>
      <c r="Q20" s="7">
        <f t="shared" si="12"/>
        <v>-1.1305776531137394E-7</v>
      </c>
    </row>
    <row r="22" spans="1:20" ht="15.75" thickBot="1" x14ac:dyDescent="0.3">
      <c r="A22" t="s">
        <v>19</v>
      </c>
    </row>
    <row r="23" spans="1:20" x14ac:dyDescent="0.25">
      <c r="A23" s="11" t="s">
        <v>2</v>
      </c>
      <c r="B23" s="1">
        <v>0</v>
      </c>
      <c r="C23" s="2">
        <v>0.5</v>
      </c>
      <c r="D23" s="2">
        <v>1</v>
      </c>
      <c r="E23" s="2">
        <v>1.5</v>
      </c>
      <c r="F23" s="2">
        <v>2</v>
      </c>
      <c r="G23" s="2">
        <v>2.5</v>
      </c>
      <c r="H23" s="2">
        <v>3</v>
      </c>
      <c r="I23" s="2">
        <v>3.5</v>
      </c>
      <c r="J23" s="2">
        <v>4</v>
      </c>
      <c r="K23" s="2">
        <v>4.5</v>
      </c>
      <c r="L23" s="2">
        <v>5</v>
      </c>
      <c r="M23" s="2">
        <v>5.5</v>
      </c>
      <c r="N23" s="2">
        <v>6</v>
      </c>
      <c r="O23" s="2">
        <v>6.5</v>
      </c>
      <c r="P23" s="2">
        <v>7</v>
      </c>
      <c r="Q23" s="2"/>
    </row>
    <row r="24" spans="1:20" x14ac:dyDescent="0.25">
      <c r="A24" s="12" t="s">
        <v>3</v>
      </c>
      <c r="B24" s="15">
        <v>169.9</v>
      </c>
      <c r="C24" s="14">
        <v>69.7</v>
      </c>
      <c r="D24" s="14">
        <v>32.1</v>
      </c>
      <c r="E24" s="14">
        <v>17.100000000000001</v>
      </c>
      <c r="F24" s="14">
        <v>10.1</v>
      </c>
      <c r="G24" s="14">
        <v>6.6</v>
      </c>
      <c r="H24" s="14">
        <v>4.5</v>
      </c>
      <c r="I24" s="14">
        <v>3.3</v>
      </c>
      <c r="J24" s="14">
        <v>2.5</v>
      </c>
      <c r="K24" s="14">
        <v>2</v>
      </c>
      <c r="L24" s="14">
        <v>1.7</v>
      </c>
      <c r="M24" s="14">
        <v>1.4</v>
      </c>
      <c r="N24" s="14">
        <v>1.2</v>
      </c>
      <c r="O24" s="14">
        <v>1.1000000000000001</v>
      </c>
      <c r="P24" s="14">
        <v>1</v>
      </c>
      <c r="Q24" s="14"/>
    </row>
    <row r="25" spans="1:20" ht="15.75" thickBot="1" x14ac:dyDescent="0.3">
      <c r="A25" s="13" t="s">
        <v>4</v>
      </c>
      <c r="B25" s="7">
        <f>(0.001*B24-0.001*$F$12)/($A$5*0.001*$J$12)</f>
        <v>2.1068314565774466E-4</v>
      </c>
      <c r="C25" s="7">
        <f t="shared" ref="C25:P25" si="13">(0.001*C24-0.001*$F$12)/($A$5*0.001*$J$12)</f>
        <v>8.6070876731548696E-5</v>
      </c>
      <c r="D25" s="7">
        <f t="shared" si="13"/>
        <v>3.93101849987646E-5</v>
      </c>
      <c r="E25" s="7">
        <f t="shared" si="13"/>
        <v>2.0655653722387954E-5</v>
      </c>
      <c r="F25" s="7">
        <f t="shared" si="13"/>
        <v>1.1950205793412187E-5</v>
      </c>
      <c r="G25" s="7">
        <f t="shared" si="13"/>
        <v>7.5974818289243046E-6</v>
      </c>
      <c r="H25" s="7">
        <f t="shared" si="13"/>
        <v>4.9858474502315752E-6</v>
      </c>
      <c r="I25" s="7">
        <f t="shared" si="13"/>
        <v>3.4934849481214431E-6</v>
      </c>
      <c r="J25" s="7">
        <f t="shared" si="13"/>
        <v>2.4985766133813557E-6</v>
      </c>
      <c r="K25" s="7">
        <f t="shared" si="13"/>
        <v>1.8767589041688009E-6</v>
      </c>
      <c r="L25" s="7">
        <f t="shared" si="13"/>
        <v>1.5036682786412683E-6</v>
      </c>
      <c r="M25" s="7">
        <f t="shared" si="13"/>
        <v>1.1305776531137355E-6</v>
      </c>
      <c r="N25" s="7">
        <f t="shared" si="13"/>
        <v>8.8185056942871347E-7</v>
      </c>
      <c r="O25" s="7">
        <f t="shared" si="13"/>
        <v>7.5748702758620271E-7</v>
      </c>
      <c r="P25" s="7">
        <f t="shared" si="13"/>
        <v>6.3312348574369173E-7</v>
      </c>
      <c r="Q25" s="8"/>
    </row>
    <row r="27" spans="1:20" x14ac:dyDescent="0.25">
      <c r="B27" s="18">
        <f>B10*1000000</f>
        <v>5.2345745339165966</v>
      </c>
      <c r="C27" s="18">
        <f t="shared" ref="C27:T27" si="14">C10*1000000</f>
        <v>5.2345745339165966</v>
      </c>
      <c r="D27" s="18">
        <f t="shared" si="14"/>
        <v>5.1102109920740855</v>
      </c>
      <c r="E27" s="18">
        <f t="shared" si="14"/>
        <v>4.8614839083890642</v>
      </c>
      <c r="F27" s="18">
        <f t="shared" si="14"/>
        <v>4.4883932828615301</v>
      </c>
      <c r="G27" s="18">
        <f t="shared" si="14"/>
        <v>4.1153026573339977</v>
      </c>
      <c r="H27" s="18">
        <f t="shared" si="14"/>
        <v>3.7422120318064653</v>
      </c>
      <c r="I27" s="18">
        <f t="shared" si="14"/>
        <v>3.2447578644364219</v>
      </c>
      <c r="J27" s="18">
        <f t="shared" si="14"/>
        <v>2.8716672389088882</v>
      </c>
      <c r="K27" s="18">
        <f t="shared" si="14"/>
        <v>2.4985766133813558</v>
      </c>
      <c r="L27" s="18">
        <f t="shared" si="14"/>
        <v>2.2498495296963337</v>
      </c>
      <c r="M27" s="18">
        <f t="shared" si="14"/>
        <v>2.0011224460113124</v>
      </c>
      <c r="N27" s="18">
        <f t="shared" si="14"/>
        <v>1.7523953623262902</v>
      </c>
      <c r="O27" s="18">
        <f t="shared" si="14"/>
        <v>1.5036682786412683</v>
      </c>
      <c r="P27" s="18">
        <f t="shared" si="14"/>
        <v>1.2549411949562463</v>
      </c>
      <c r="Q27" s="18">
        <f t="shared" si="14"/>
        <v>1.1305776531137355</v>
      </c>
      <c r="R27" s="18">
        <f t="shared" si="14"/>
        <v>1.0062141112712246</v>
      </c>
      <c r="S27" s="18">
        <f t="shared" si="14"/>
        <v>0.88185056942871343</v>
      </c>
      <c r="T27" s="18">
        <f t="shared" si="14"/>
        <v>0.75748702758620268</v>
      </c>
    </row>
    <row r="28" spans="1:20" x14ac:dyDescent="0.25">
      <c r="B28" s="18">
        <f>B20*1000000</f>
        <v>-15.907227579310264</v>
      </c>
      <c r="C28" s="18">
        <f t="shared" ref="C28:T28" si="15">C20*1000000</f>
        <v>-8.4454150687596066</v>
      </c>
      <c r="D28" s="18">
        <f t="shared" si="15"/>
        <v>-4.7145088134842794</v>
      </c>
      <c r="E28" s="18">
        <f t="shared" si="15"/>
        <v>-2.9734192276891256</v>
      </c>
      <c r="F28" s="18">
        <f t="shared" si="15"/>
        <v>-1.7297838092640163</v>
      </c>
      <c r="G28" s="18">
        <f t="shared" si="15"/>
        <v>-1.1079661000514616</v>
      </c>
      <c r="H28" s="18">
        <f t="shared" si="15"/>
        <v>-0.73487547452392876</v>
      </c>
      <c r="I28" s="18">
        <f t="shared" si="15"/>
        <v>-0.61051193268141779</v>
      </c>
      <c r="J28" s="18">
        <f t="shared" si="15"/>
        <v>-0.48614839083890682</v>
      </c>
      <c r="K28" s="18">
        <f t="shared" si="15"/>
        <v>-0.3617848489963959</v>
      </c>
      <c r="L28" s="18">
        <f t="shared" si="15"/>
        <v>-0.23742130715388493</v>
      </c>
      <c r="M28" s="18">
        <f t="shared" si="15"/>
        <v>-0.23742130715388493</v>
      </c>
      <c r="N28" s="18">
        <f t="shared" si="15"/>
        <v>-0.11305776531137395</v>
      </c>
      <c r="O28" s="18">
        <f t="shared" si="15"/>
        <v>-0.11305776531137395</v>
      </c>
      <c r="P28" s="18">
        <f t="shared" si="15"/>
        <v>-0.11305776531137395</v>
      </c>
      <c r="Q28" s="18">
        <f t="shared" si="15"/>
        <v>-0.11305776531137395</v>
      </c>
    </row>
    <row r="29" spans="1:20" x14ac:dyDescent="0.25">
      <c r="B29" s="18">
        <f>B25*1000000</f>
        <v>210.68314565774466</v>
      </c>
      <c r="C29" s="18">
        <f t="shared" ref="C29:Q29" si="16">C25*1000000</f>
        <v>86.070876731548694</v>
      </c>
      <c r="D29" s="18">
        <f t="shared" si="16"/>
        <v>39.310184998764598</v>
      </c>
      <c r="E29" s="18">
        <f t="shared" si="16"/>
        <v>20.655653722387953</v>
      </c>
      <c r="F29" s="18">
        <f t="shared" si="16"/>
        <v>11.950205793412188</v>
      </c>
      <c r="G29" s="18">
        <f t="shared" si="16"/>
        <v>7.5974818289243045</v>
      </c>
      <c r="H29" s="18">
        <f t="shared" si="16"/>
        <v>4.9858474502315753</v>
      </c>
      <c r="I29" s="18">
        <f t="shared" si="16"/>
        <v>3.4934849481214432</v>
      </c>
      <c r="J29" s="18">
        <f t="shared" si="16"/>
        <v>2.4985766133813558</v>
      </c>
      <c r="K29" s="18">
        <f t="shared" si="16"/>
        <v>1.8767589041688009</v>
      </c>
      <c r="L29" s="18">
        <f t="shared" si="16"/>
        <v>1.5036682786412683</v>
      </c>
      <c r="M29" s="18">
        <f t="shared" si="16"/>
        <v>1.1305776531137355</v>
      </c>
      <c r="N29" s="18">
        <f t="shared" si="16"/>
        <v>0.88185056942871343</v>
      </c>
      <c r="O29" s="18">
        <f t="shared" si="16"/>
        <v>0.75748702758620268</v>
      </c>
      <c r="P29" s="18">
        <f t="shared" si="16"/>
        <v>0.63312348574369171</v>
      </c>
    </row>
    <row r="31" spans="1:20" x14ac:dyDescent="0.25">
      <c r="A31" t="s">
        <v>25</v>
      </c>
      <c r="B31" s="22">
        <f>40*7.5*0.001*4*PI()*10^(-7)/0.095</f>
        <v>3.9683275624292124E-6</v>
      </c>
      <c r="C31" s="22">
        <f>$B$31/(1+C8/($Q$3*0.001/2))^1.5</f>
        <v>1.0140788911339823E-7</v>
      </c>
      <c r="D31" s="22">
        <f>$B$31/(1+D8/($Q$3*0.001/2))^1.5</f>
        <v>3.8319239423636442E-8</v>
      </c>
      <c r="E31" s="22">
        <f>$B$31/(1+E8/($Q$3*0.001/2))^1.5</f>
        <v>2.134036982246384E-8</v>
      </c>
      <c r="F31" s="22">
        <f>$B$31/(1+F8/($Q$3*0.001/2))^1.5</f>
        <v>1.402206778529273E-8</v>
      </c>
      <c r="G31" s="22">
        <f>$B$31/(1+G8/($Q$3*0.001/2))^1.5</f>
        <v>1.010361150746066E-8</v>
      </c>
      <c r="H31" s="22">
        <f>$B$31/(1+H8/($Q$3*0.001/2))^1.5</f>
        <v>7.7220455035538302E-9</v>
      </c>
      <c r="I31" s="22">
        <f>$B$31/(1+I8/($Q$3*0.001/2))^1.5</f>
        <v>6.1484312564176973E-9</v>
      </c>
      <c r="J31" s="22">
        <f>$B$31/(1+J8/($Q$3*0.001/2))^1.5</f>
        <v>5.0450751732832737E-9</v>
      </c>
      <c r="K31" s="22">
        <f>$B$31/(1+K8/($Q$3*0.001/2))^1.5</f>
        <v>4.2363210554137007E-9</v>
      </c>
      <c r="L31" s="22">
        <f>$B$31/(1+L8/($Q$3*0.001/2))^1.5</f>
        <v>3.6227088869098766E-9</v>
      </c>
      <c r="M31" s="22">
        <f>$B$31/(1+M8/($Q$3*0.001/2))^1.5</f>
        <v>3.1441406210499732E-9</v>
      </c>
      <c r="N31" s="22">
        <f>$B$31/(1+N8/($Q$3*0.001/2))^1.5</f>
        <v>2.7623843973293596E-9</v>
      </c>
      <c r="O31" s="22">
        <f>$B$31/(1+O8/($Q$3*0.001/2))^1.5</f>
        <v>2.4520801815323786E-9</v>
      </c>
      <c r="P31" s="22">
        <f>$B$31/(1+P8/($Q$3*0.001/2))^1.5</f>
        <v>2.1958127428639142E-9</v>
      </c>
      <c r="Q31" s="22">
        <f>$B$31/(1+Q8/($Q$3*0.001/2))^1.5</f>
        <v>1.9812680919838551E-9</v>
      </c>
      <c r="R31" s="22">
        <f>$B$31/(1+R8/($Q$3*0.001/2))^1.5</f>
        <v>1.7995190555058303E-9</v>
      </c>
      <c r="S31" s="22">
        <f>$B$31/(1+S8/($Q$3*0.001/2))^1.5</f>
        <v>1.6439524951194529E-9</v>
      </c>
      <c r="T31" s="22">
        <f>$B$31/(1+T8/($Q$3*0.001/2))^1.5</f>
        <v>1.5095762003546474E-9</v>
      </c>
    </row>
    <row r="32" spans="1:20" x14ac:dyDescent="0.25">
      <c r="B32">
        <f>B31*1000000</f>
        <v>3.9683275624292125</v>
      </c>
      <c r="C32">
        <f t="shared" ref="C32:T32" si="17">C31*1000000</f>
        <v>0.10140788911339822</v>
      </c>
      <c r="D32">
        <f t="shared" si="17"/>
        <v>3.8319239423636443E-2</v>
      </c>
      <c r="E32">
        <f t="shared" si="17"/>
        <v>2.1340369822463841E-2</v>
      </c>
      <c r="F32">
        <f t="shared" si="17"/>
        <v>1.4022067785292731E-2</v>
      </c>
      <c r="G32">
        <f t="shared" si="17"/>
        <v>1.010361150746066E-2</v>
      </c>
      <c r="H32">
        <f t="shared" si="17"/>
        <v>7.72204550355383E-3</v>
      </c>
      <c r="I32">
        <f t="shared" si="17"/>
        <v>6.1484312564176972E-3</v>
      </c>
      <c r="J32">
        <f t="shared" si="17"/>
        <v>5.0450751732832736E-3</v>
      </c>
      <c r="K32">
        <f t="shared" si="17"/>
        <v>4.2363210554137009E-3</v>
      </c>
      <c r="L32">
        <f t="shared" si="17"/>
        <v>3.6227088869098768E-3</v>
      </c>
      <c r="M32">
        <f t="shared" si="17"/>
        <v>3.1441406210499733E-3</v>
      </c>
      <c r="N32">
        <f t="shared" si="17"/>
        <v>2.7623843973293596E-3</v>
      </c>
      <c r="O32">
        <f t="shared" si="17"/>
        <v>2.4520801815323787E-3</v>
      </c>
      <c r="P32">
        <f t="shared" si="17"/>
        <v>2.1958127428639142E-3</v>
      </c>
      <c r="Q32">
        <f t="shared" si="17"/>
        <v>1.981268091983855E-3</v>
      </c>
      <c r="R32">
        <f t="shared" si="17"/>
        <v>1.7995190555058303E-3</v>
      </c>
      <c r="S32">
        <f t="shared" si="17"/>
        <v>1.643952495119453E-3</v>
      </c>
      <c r="T32">
        <f t="shared" si="17"/>
        <v>1.5095762003546475E-3</v>
      </c>
    </row>
  </sheetData>
  <mergeCells count="1">
    <mergeCell ref="B2:L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2015-06-05T18:19:34Z</dcterms:created>
  <dcterms:modified xsi:type="dcterms:W3CDTF">2022-05-31T14:59:19Z</dcterms:modified>
</cp:coreProperties>
</file>