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jc\Desktop\Labolatorium fizyczne 2\"/>
    </mc:Choice>
  </mc:AlternateContent>
  <xr:revisionPtr revIDLastSave="0" documentId="13_ncr:1_{F6020ADE-14A7-4A85-9E8D-C8537EF2C546}" xr6:coauthVersionLast="47" xr6:coauthVersionMax="47" xr10:uidLastSave="{00000000-0000-0000-0000-000000000000}"/>
  <bookViews>
    <workbookView xWindow="-108" yWindow="-108" windowWidth="23256" windowHeight="12576" xr2:uid="{4E2B056F-843F-4810-9671-41A9EB6EC00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C81" i="1"/>
  <c r="N44" i="1"/>
  <c r="G103" i="1"/>
  <c r="G104" i="1"/>
  <c r="G105" i="1"/>
  <c r="G106" i="1"/>
  <c r="G107" i="1"/>
  <c r="G108" i="1"/>
  <c r="G109" i="1"/>
  <c r="G102" i="1"/>
  <c r="F109" i="1"/>
  <c r="F108" i="1"/>
  <c r="F107" i="1"/>
  <c r="F106" i="1"/>
  <c r="F105" i="1"/>
  <c r="F104" i="1"/>
  <c r="F103" i="1"/>
  <c r="F102" i="1"/>
  <c r="D139" i="1"/>
  <c r="E139" i="1"/>
  <c r="F139" i="1"/>
  <c r="G139" i="1"/>
  <c r="H139" i="1"/>
  <c r="I139" i="1"/>
  <c r="J139" i="1"/>
  <c r="C139" i="1"/>
  <c r="J134" i="1"/>
  <c r="J135" i="1"/>
  <c r="J136" i="1"/>
  <c r="J137" i="1"/>
  <c r="J138" i="1"/>
  <c r="J133" i="1"/>
  <c r="I134" i="1"/>
  <c r="I135" i="1"/>
  <c r="I136" i="1"/>
  <c r="I137" i="1"/>
  <c r="I138" i="1"/>
  <c r="I133" i="1"/>
  <c r="H134" i="1"/>
  <c r="H135" i="1"/>
  <c r="H136" i="1"/>
  <c r="H137" i="1"/>
  <c r="H138" i="1"/>
  <c r="H133" i="1"/>
  <c r="G134" i="1"/>
  <c r="G135" i="1"/>
  <c r="G136" i="1"/>
  <c r="G137" i="1"/>
  <c r="G138" i="1"/>
  <c r="G133" i="1"/>
  <c r="F134" i="1"/>
  <c r="F135" i="1"/>
  <c r="F136" i="1"/>
  <c r="F137" i="1"/>
  <c r="F138" i="1"/>
  <c r="F133" i="1"/>
  <c r="E134" i="1"/>
  <c r="E135" i="1"/>
  <c r="E136" i="1"/>
  <c r="E137" i="1"/>
  <c r="E138" i="1"/>
  <c r="E133" i="1"/>
  <c r="D134" i="1"/>
  <c r="D135" i="1"/>
  <c r="D136" i="1"/>
  <c r="D137" i="1"/>
  <c r="D138" i="1"/>
  <c r="D133" i="1"/>
  <c r="C134" i="1"/>
  <c r="C135" i="1"/>
  <c r="C136" i="1"/>
  <c r="C137" i="1"/>
  <c r="C138" i="1"/>
  <c r="C133" i="1"/>
  <c r="B134" i="1"/>
  <c r="B135" i="1"/>
  <c r="B136" i="1"/>
  <c r="B137" i="1"/>
  <c r="B138" i="1"/>
  <c r="B133" i="1"/>
  <c r="D131" i="1"/>
  <c r="E131" i="1"/>
  <c r="F131" i="1"/>
  <c r="G131" i="1"/>
  <c r="H131" i="1"/>
  <c r="I131" i="1"/>
  <c r="J131" i="1"/>
  <c r="C131" i="1"/>
  <c r="J130" i="1"/>
  <c r="I130" i="1"/>
  <c r="H130" i="1"/>
  <c r="G130" i="1"/>
  <c r="F130" i="1"/>
  <c r="E130" i="1"/>
  <c r="D130" i="1"/>
  <c r="C130" i="1"/>
  <c r="AC61" i="1"/>
  <c r="AC62" i="1"/>
  <c r="F4" i="1"/>
  <c r="E18" i="1" s="1"/>
  <c r="AO36" i="1" a="1"/>
  <c r="AO36" i="1" s="1"/>
  <c r="AK36" i="1" a="1"/>
  <c r="AK36" i="1" s="1"/>
  <c r="U21" i="1"/>
  <c r="V5" i="1"/>
  <c r="V6" i="1"/>
  <c r="V7" i="1"/>
  <c r="V8" i="1"/>
  <c r="V9" i="1"/>
  <c r="V10" i="1"/>
  <c r="V11" i="1"/>
  <c r="V12" i="1"/>
  <c r="V13" i="1"/>
  <c r="V14" i="1"/>
  <c r="V4" i="1"/>
  <c r="F53" i="1"/>
  <c r="N42" i="1"/>
  <c r="N43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57" i="1"/>
  <c r="B53" i="1"/>
  <c r="B54" i="1"/>
  <c r="S5" i="1"/>
  <c r="S6" i="1"/>
  <c r="S7" i="1"/>
  <c r="S8" i="1"/>
  <c r="S9" i="1"/>
  <c r="S10" i="1"/>
  <c r="S11" i="1"/>
  <c r="S12" i="1"/>
  <c r="S13" i="1"/>
  <c r="S14" i="1"/>
  <c r="S4" i="1"/>
  <c r="K5" i="1"/>
  <c r="K6" i="1"/>
  <c r="K7" i="1"/>
  <c r="K8" i="1"/>
  <c r="K9" i="1"/>
  <c r="K10" i="1"/>
  <c r="K11" i="1"/>
  <c r="K12" i="1"/>
  <c r="K13" i="1"/>
  <c r="K14" i="1"/>
  <c r="K4" i="1"/>
  <c r="C1" i="1"/>
  <c r="C5" i="1" l="1"/>
  <c r="C6" i="1"/>
  <c r="C7" i="1"/>
  <c r="C8" i="1"/>
  <c r="C9" i="1"/>
  <c r="C10" i="1"/>
  <c r="C11" i="1"/>
  <c r="C12" i="1"/>
  <c r="C13" i="1"/>
  <c r="C14" i="1"/>
  <c r="C4" i="1"/>
  <c r="Q9" i="1" l="1"/>
  <c r="Q11" i="1" s="1"/>
  <c r="I9" i="1"/>
  <c r="I11" i="1" s="1"/>
  <c r="A9" i="1"/>
  <c r="A11" i="1" s="1"/>
  <c r="E8" i="1" l="1"/>
  <c r="D22" i="1" s="1"/>
  <c r="E7" i="1"/>
  <c r="D21" i="1" s="1"/>
  <c r="E10" i="1"/>
  <c r="D24" i="1" s="1"/>
  <c r="N10" i="1"/>
  <c r="M24" i="1" s="1"/>
  <c r="F9" i="1"/>
  <c r="E23" i="1" s="1"/>
  <c r="W14" i="1"/>
  <c r="V28" i="1" s="1"/>
  <c r="N14" i="1"/>
  <c r="M28" i="1" s="1"/>
  <c r="F5" i="1"/>
  <c r="E19" i="1" s="1"/>
  <c r="M12" i="1"/>
  <c r="L26" i="1" s="1"/>
  <c r="N6" i="1"/>
  <c r="M20" i="1" s="1"/>
  <c r="F13" i="1"/>
  <c r="E27" i="1" s="1"/>
  <c r="M8" i="1"/>
  <c r="L22" i="1" s="1"/>
  <c r="W7" i="1"/>
  <c r="V21" i="1" s="1"/>
  <c r="F8" i="1"/>
  <c r="E22" i="1" s="1"/>
  <c r="W13" i="1"/>
  <c r="V27" i="1" s="1"/>
  <c r="M6" i="1"/>
  <c r="L20" i="1" s="1"/>
  <c r="N12" i="1"/>
  <c r="M26" i="1" s="1"/>
  <c r="W8" i="1"/>
  <c r="V22" i="1" s="1"/>
  <c r="F10" i="1"/>
  <c r="E24" i="1" s="1"/>
  <c r="W4" i="1"/>
  <c r="V18" i="1" s="1"/>
  <c r="W11" i="1"/>
  <c r="V25" i="1" s="1"/>
  <c r="N5" i="1"/>
  <c r="M19" i="1" s="1"/>
  <c r="E11" i="1"/>
  <c r="D25" i="1" s="1"/>
  <c r="N7" i="1"/>
  <c r="M21" i="1" s="1"/>
  <c r="M11" i="1"/>
  <c r="L25" i="1" s="1"/>
  <c r="N13" i="1"/>
  <c r="M27" i="1" s="1"/>
  <c r="W9" i="1"/>
  <c r="V23" i="1" s="1"/>
  <c r="N8" i="1"/>
  <c r="M22" i="1" s="1"/>
  <c r="W10" i="1"/>
  <c r="V24" i="1" s="1"/>
  <c r="M13" i="1"/>
  <c r="L27" i="1" s="1"/>
  <c r="F6" i="1"/>
  <c r="E20" i="1" s="1"/>
  <c r="F12" i="1"/>
  <c r="E26" i="1" s="1"/>
  <c r="M10" i="1"/>
  <c r="L24" i="1" s="1"/>
  <c r="W12" i="1"/>
  <c r="V26" i="1" s="1"/>
  <c r="F14" i="1"/>
  <c r="E28" i="1" s="1"/>
  <c r="M7" i="1"/>
  <c r="L21" i="1" s="1"/>
  <c r="N9" i="1"/>
  <c r="M23" i="1" s="1"/>
  <c r="W5" i="1"/>
  <c r="V19" i="1" s="1"/>
  <c r="M14" i="1"/>
  <c r="L28" i="1" s="1"/>
  <c r="F11" i="1"/>
  <c r="E25" i="1" s="1"/>
  <c r="N4" i="1"/>
  <c r="M18" i="1" s="1"/>
  <c r="M9" i="1"/>
  <c r="L23" i="1" s="1"/>
  <c r="M4" i="1"/>
  <c r="L18" i="1" s="1"/>
  <c r="L31" i="1" s="1" a="1"/>
  <c r="N11" i="1"/>
  <c r="M25" i="1" s="1"/>
  <c r="E9" i="1"/>
  <c r="D23" i="1" s="1"/>
  <c r="W6" i="1"/>
  <c r="V20" i="1" s="1"/>
  <c r="F7" i="1"/>
  <c r="E21" i="1" s="1"/>
  <c r="M5" i="1"/>
  <c r="L19" i="1" s="1"/>
  <c r="E6" i="1"/>
  <c r="D20" i="1" s="1"/>
  <c r="E5" i="1"/>
  <c r="D19" i="1" s="1"/>
  <c r="E12" i="1"/>
  <c r="D26" i="1" s="1"/>
  <c r="E14" i="1"/>
  <c r="D28" i="1" s="1"/>
  <c r="E13" i="1"/>
  <c r="D27" i="1" s="1"/>
  <c r="D18" i="1"/>
  <c r="L31" i="1" l="1"/>
  <c r="J43" i="1" s="1"/>
  <c r="M43" i="1"/>
  <c r="K43" i="1"/>
  <c r="L43" i="1"/>
  <c r="O43" i="1" s="1"/>
  <c r="D31" i="1" a="1"/>
  <c r="F59" i="1"/>
  <c r="G59" i="1" s="1"/>
  <c r="F63" i="1"/>
  <c r="G63" i="1" s="1"/>
  <c r="F67" i="1"/>
  <c r="G67" i="1" s="1"/>
  <c r="F71" i="1"/>
  <c r="G71" i="1" s="1"/>
  <c r="F57" i="1"/>
  <c r="G57" i="1" s="1"/>
  <c r="F60" i="1"/>
  <c r="G60" i="1" s="1"/>
  <c r="F64" i="1"/>
  <c r="G64" i="1" s="1"/>
  <c r="F68" i="1"/>
  <c r="G68" i="1" s="1"/>
  <c r="F72" i="1"/>
  <c r="G72" i="1" s="1"/>
  <c r="F61" i="1"/>
  <c r="G61" i="1" s="1"/>
  <c r="F65" i="1"/>
  <c r="G65" i="1" s="1"/>
  <c r="F69" i="1"/>
  <c r="G69" i="1" s="1"/>
  <c r="F73" i="1"/>
  <c r="G73" i="1" s="1"/>
  <c r="F62" i="1"/>
  <c r="G62" i="1" s="1"/>
  <c r="F70" i="1"/>
  <c r="G70" i="1" s="1"/>
  <c r="F58" i="1"/>
  <c r="G58" i="1" s="1"/>
  <c r="F74" i="1"/>
  <c r="G74" i="1" s="1"/>
  <c r="F66" i="1"/>
  <c r="G66" i="1" s="1"/>
  <c r="U27" i="1"/>
  <c r="X13" i="1"/>
  <c r="Y13" i="1" s="1"/>
  <c r="X5" i="1"/>
  <c r="Y5" i="1" s="1"/>
  <c r="U19" i="1"/>
  <c r="U22" i="1"/>
  <c r="X8" i="1"/>
  <c r="Y8" i="1" s="1"/>
  <c r="U20" i="1"/>
  <c r="X6" i="1"/>
  <c r="Y6" i="1" s="1"/>
  <c r="U26" i="1"/>
  <c r="X12" i="1"/>
  <c r="Y12" i="1" s="1"/>
  <c r="U23" i="1"/>
  <c r="X9" i="1"/>
  <c r="Y9" i="1" s="1"/>
  <c r="U25" i="1"/>
  <c r="X11" i="1"/>
  <c r="Y11" i="1" s="1"/>
  <c r="U18" i="1"/>
  <c r="R31" i="1" s="1" a="1"/>
  <c r="X4" i="1"/>
  <c r="Y4" i="1" s="1"/>
  <c r="U28" i="1"/>
  <c r="X14" i="1"/>
  <c r="Y14" i="1" s="1"/>
  <c r="X7" i="1"/>
  <c r="Y7" i="1" s="1"/>
  <c r="U24" i="1"/>
  <c r="X10" i="1"/>
  <c r="Y10" i="1" s="1"/>
  <c r="U31" i="1" l="1" a="1"/>
  <c r="U31" i="1" s="1"/>
  <c r="AC37" i="1" s="1"/>
  <c r="R31" i="1"/>
  <c r="AA37" i="1" s="1"/>
  <c r="AB37" i="1"/>
  <c r="D31" i="1"/>
  <c r="J42" i="1" s="1"/>
  <c r="L42" i="1"/>
  <c r="M42" i="1"/>
  <c r="K42" i="1"/>
  <c r="AD37" i="1" l="1"/>
  <c r="AC39" i="1"/>
  <c r="AA39" i="1"/>
  <c r="O42" i="1"/>
  <c r="J44" i="1"/>
  <c r="K44" i="1"/>
  <c r="K47" i="1" s="1"/>
  <c r="L44" i="1"/>
  <c r="L47" i="1" s="1"/>
  <c r="M44" i="1"/>
  <c r="M47" i="1" s="1"/>
  <c r="N47" i="1" l="1"/>
  <c r="AD126" i="1" s="1"/>
  <c r="N45" i="1"/>
  <c r="O44" i="1"/>
  <c r="O45" i="1" s="1"/>
  <c r="J47" i="1"/>
  <c r="AE125" i="1" l="1"/>
  <c r="AE121" i="1"/>
  <c r="AE117" i="1"/>
  <c r="AE113" i="1"/>
  <c r="AE109" i="1"/>
  <c r="AE104" i="1"/>
  <c r="AD97" i="1"/>
  <c r="AD93" i="1"/>
  <c r="AD89" i="1"/>
  <c r="T124" i="1"/>
  <c r="T120" i="1"/>
  <c r="T116" i="1"/>
  <c r="T112" i="1"/>
  <c r="T108" i="1"/>
  <c r="T104" i="1"/>
  <c r="S91" i="1"/>
  <c r="S95" i="1"/>
  <c r="S99" i="1"/>
  <c r="E124" i="1"/>
  <c r="E120" i="1"/>
  <c r="E116" i="1"/>
  <c r="E112" i="1"/>
  <c r="E108" i="1"/>
  <c r="E104" i="1"/>
  <c r="D84" i="1"/>
  <c r="D88" i="1"/>
  <c r="D92" i="1"/>
  <c r="D96" i="1"/>
  <c r="AJ59" i="1"/>
  <c r="AJ63" i="1"/>
  <c r="AJ67" i="1"/>
  <c r="AJ71" i="1"/>
  <c r="AJ75" i="1"/>
  <c r="AJ79" i="1"/>
  <c r="AD59" i="1"/>
  <c r="AD63" i="1"/>
  <c r="AD67" i="1"/>
  <c r="AD58" i="1"/>
  <c r="Y63" i="1"/>
  <c r="Y67" i="1"/>
  <c r="Y71" i="1"/>
  <c r="Y75" i="1"/>
  <c r="Y79" i="1"/>
  <c r="Y59" i="1"/>
  <c r="S63" i="1"/>
  <c r="S67" i="1"/>
  <c r="S59" i="1"/>
  <c r="N61" i="1"/>
  <c r="N65" i="1"/>
  <c r="N69" i="1"/>
  <c r="N73" i="1"/>
  <c r="N77" i="1"/>
  <c r="N57" i="1"/>
  <c r="H61" i="1"/>
  <c r="H65" i="1"/>
  <c r="H69" i="1"/>
  <c r="H73" i="1"/>
  <c r="AE107" i="1"/>
  <c r="AE124" i="1"/>
  <c r="AE120" i="1"/>
  <c r="AE116" i="1"/>
  <c r="AE112" i="1"/>
  <c r="AE108" i="1"/>
  <c r="AD87" i="1"/>
  <c r="AD96" i="1"/>
  <c r="AD92" i="1"/>
  <c r="AD88" i="1"/>
  <c r="T123" i="1"/>
  <c r="T119" i="1"/>
  <c r="T115" i="1"/>
  <c r="T111" i="1"/>
  <c r="T107" i="1"/>
  <c r="T103" i="1"/>
  <c r="S92" i="1"/>
  <c r="S96" i="1"/>
  <c r="AE122" i="1"/>
  <c r="AE114" i="1"/>
  <c r="AE105" i="1"/>
  <c r="AD94" i="1"/>
  <c r="T125" i="1"/>
  <c r="T117" i="1"/>
  <c r="T109" i="1"/>
  <c r="S90" i="1"/>
  <c r="S98" i="1"/>
  <c r="E123" i="1"/>
  <c r="E118" i="1"/>
  <c r="E113" i="1"/>
  <c r="E107" i="1"/>
  <c r="D82" i="1"/>
  <c r="D87" i="1"/>
  <c r="D93" i="1"/>
  <c r="D98" i="1"/>
  <c r="AJ62" i="1"/>
  <c r="AJ68" i="1"/>
  <c r="AJ73" i="1"/>
  <c r="AJ78" i="1"/>
  <c r="AD60" i="1"/>
  <c r="AD65" i="1"/>
  <c r="AD70" i="1"/>
  <c r="Y64" i="1"/>
  <c r="Y69" i="1"/>
  <c r="Y74" i="1"/>
  <c r="Y80" i="1"/>
  <c r="S61" i="1"/>
  <c r="S66" i="1"/>
  <c r="N58" i="1"/>
  <c r="N63" i="1"/>
  <c r="N68" i="1"/>
  <c r="N74" i="1"/>
  <c r="N79" i="1"/>
  <c r="H60" i="1"/>
  <c r="H66" i="1"/>
  <c r="H71" i="1"/>
  <c r="AE123" i="1"/>
  <c r="S60" i="1"/>
  <c r="AE103" i="1"/>
  <c r="AE119" i="1"/>
  <c r="AE111" i="1"/>
  <c r="AD99" i="1"/>
  <c r="AD91" i="1"/>
  <c r="T122" i="1"/>
  <c r="T114" i="1"/>
  <c r="T106" i="1"/>
  <c r="S93" i="1"/>
  <c r="S88" i="1"/>
  <c r="E122" i="1"/>
  <c r="E117" i="1"/>
  <c r="E111" i="1"/>
  <c r="E106" i="1"/>
  <c r="D83" i="1"/>
  <c r="D89" i="1"/>
  <c r="D94" i="1"/>
  <c r="D81" i="1"/>
  <c r="AJ64" i="1"/>
  <c r="AJ69" i="1"/>
  <c r="AJ74" i="1"/>
  <c r="AJ80" i="1"/>
  <c r="AD61" i="1"/>
  <c r="AD66" i="1"/>
  <c r="Y60" i="1"/>
  <c r="Y65" i="1"/>
  <c r="Y70" i="1"/>
  <c r="Y76" i="1"/>
  <c r="Y81" i="1"/>
  <c r="S62" i="1"/>
  <c r="S68" i="1"/>
  <c r="N59" i="1"/>
  <c r="N64" i="1"/>
  <c r="N70" i="1"/>
  <c r="N75" i="1"/>
  <c r="N80" i="1"/>
  <c r="H62" i="1"/>
  <c r="H67" i="1"/>
  <c r="H72" i="1"/>
  <c r="AE106" i="1"/>
  <c r="AD95" i="1"/>
  <c r="T118" i="1"/>
  <c r="S89" i="1"/>
  <c r="E125" i="1"/>
  <c r="E114" i="1"/>
  <c r="E103" i="1"/>
  <c r="D91" i="1"/>
  <c r="AJ61" i="1"/>
  <c r="AJ72" i="1"/>
  <c r="AJ58" i="1"/>
  <c r="AD69" i="1"/>
  <c r="Y68" i="1"/>
  <c r="Y78" i="1"/>
  <c r="S70" i="1"/>
  <c r="N67" i="1"/>
  <c r="N78" i="1"/>
  <c r="H64" i="1"/>
  <c r="H57" i="1"/>
  <c r="AE126" i="1"/>
  <c r="AE118" i="1"/>
  <c r="AE110" i="1"/>
  <c r="AD98" i="1"/>
  <c r="AD90" i="1"/>
  <c r="T121" i="1"/>
  <c r="T113" i="1"/>
  <c r="T105" i="1"/>
  <c r="S94" i="1"/>
  <c r="E102" i="1"/>
  <c r="E121" i="1"/>
  <c r="E115" i="1"/>
  <c r="E110" i="1"/>
  <c r="E105" i="1"/>
  <c r="D85" i="1"/>
  <c r="D90" i="1"/>
  <c r="D95" i="1"/>
  <c r="AJ60" i="1"/>
  <c r="AJ65" i="1"/>
  <c r="AJ70" i="1"/>
  <c r="AJ76" i="1"/>
  <c r="AJ81" i="1"/>
  <c r="AD62" i="1"/>
  <c r="AD68" i="1"/>
  <c r="Y61" i="1"/>
  <c r="Y66" i="1"/>
  <c r="Y72" i="1"/>
  <c r="Y77" i="1"/>
  <c r="Y82" i="1"/>
  <c r="S64" i="1"/>
  <c r="S69" i="1"/>
  <c r="N60" i="1"/>
  <c r="N66" i="1"/>
  <c r="N71" i="1"/>
  <c r="N76" i="1"/>
  <c r="H58" i="1"/>
  <c r="H63" i="1"/>
  <c r="H68" i="1"/>
  <c r="H74" i="1"/>
  <c r="AE115" i="1"/>
  <c r="T126" i="1"/>
  <c r="T110" i="1"/>
  <c r="S97" i="1"/>
  <c r="E119" i="1"/>
  <c r="E109" i="1"/>
  <c r="D86" i="1"/>
  <c r="D97" i="1"/>
  <c r="AJ66" i="1"/>
  <c r="AJ77" i="1"/>
  <c r="AD64" i="1"/>
  <c r="Y62" i="1"/>
  <c r="Y73" i="1"/>
  <c r="S65" i="1"/>
  <c r="N62" i="1"/>
  <c r="N72" i="1"/>
  <c r="H59" i="1"/>
  <c r="H70" i="1"/>
  <c r="O47" i="1"/>
  <c r="S108" i="1"/>
  <c r="AC70" i="1"/>
  <c r="D115" i="1"/>
  <c r="E71" i="1"/>
  <c r="W69" i="1"/>
  <c r="X69" i="1" s="1"/>
  <c r="D104" i="1"/>
  <c r="AC93" i="1"/>
  <c r="M66" i="1"/>
  <c r="AI76" i="1"/>
  <c r="R95" i="1"/>
  <c r="AD125" i="1"/>
  <c r="W75" i="1"/>
  <c r="X75" i="1" s="1"/>
  <c r="C89" i="1"/>
  <c r="S119" i="1"/>
  <c r="E60" i="1"/>
  <c r="Q61" i="1"/>
  <c r="R61" i="1" s="1"/>
  <c r="S117" i="1"/>
  <c r="D117" i="1"/>
  <c r="AI63" i="1"/>
  <c r="W78" i="1"/>
  <c r="X78" i="1" s="1"/>
  <c r="S120" i="1"/>
  <c r="M79" i="1"/>
  <c r="AC65" i="1"/>
  <c r="D120" i="1"/>
  <c r="AD112" i="1"/>
  <c r="Q64" i="1"/>
  <c r="R64" i="1" s="1"/>
  <c r="AI60" i="1"/>
  <c r="S114" i="1"/>
  <c r="E61" i="1"/>
  <c r="AC58" i="1"/>
  <c r="D106" i="1"/>
  <c r="AC95" i="1"/>
  <c r="AI74" i="1"/>
  <c r="W66" i="1"/>
  <c r="X66" i="1" s="1"/>
  <c r="AD115" i="1"/>
  <c r="C83" i="1"/>
  <c r="E58" i="1"/>
  <c r="AC68" i="1"/>
  <c r="AD109" i="1"/>
  <c r="Q67" i="1"/>
  <c r="R67" i="1" s="1"/>
  <c r="S103" i="1"/>
  <c r="C98" i="1"/>
  <c r="M64" i="1"/>
  <c r="C94" i="1"/>
  <c r="E68" i="1"/>
  <c r="AC96" i="1"/>
  <c r="M63" i="1"/>
  <c r="AI73" i="1"/>
  <c r="R98" i="1"/>
  <c r="E74" i="1"/>
  <c r="W72" i="1"/>
  <c r="X72" i="1" s="1"/>
  <c r="C96" i="1"/>
  <c r="AC90" i="1"/>
  <c r="M69" i="1"/>
  <c r="AI79" i="1"/>
  <c r="D122" i="1"/>
  <c r="AD114" i="1"/>
  <c r="Q62" i="1"/>
  <c r="R62" i="1" s="1"/>
  <c r="C86" i="1"/>
  <c r="E64" i="1"/>
  <c r="W62" i="1"/>
  <c r="X62" i="1" s="1"/>
  <c r="D103" i="1"/>
  <c r="M68" i="1"/>
  <c r="AI78" i="1"/>
  <c r="D107" i="1"/>
  <c r="M76" i="1"/>
  <c r="R93" i="1"/>
  <c r="S124" i="1"/>
  <c r="AD103" i="1"/>
  <c r="AD119" i="1"/>
  <c r="E67" i="1"/>
  <c r="M75" i="1"/>
  <c r="M59" i="1"/>
  <c r="W81" i="1"/>
  <c r="X81" i="1" s="1"/>
  <c r="W65" i="1"/>
  <c r="X65" i="1" s="1"/>
  <c r="AI69" i="1"/>
  <c r="C87" i="1"/>
  <c r="D108" i="1"/>
  <c r="D124" i="1"/>
  <c r="S105" i="1"/>
  <c r="S121" i="1"/>
  <c r="AC97" i="1"/>
  <c r="AD116" i="1"/>
  <c r="E70" i="1"/>
  <c r="M78" i="1"/>
  <c r="M62" i="1"/>
  <c r="Q60" i="1"/>
  <c r="R60" i="1" s="1"/>
  <c r="W68" i="1"/>
  <c r="X68" i="1" s="1"/>
  <c r="AC64" i="1"/>
  <c r="AI72" i="1"/>
  <c r="C84" i="1"/>
  <c r="D105" i="1"/>
  <c r="D121" i="1"/>
  <c r="R99" i="1"/>
  <c r="S118" i="1"/>
  <c r="AC94" i="1"/>
  <c r="AD113" i="1"/>
  <c r="E73" i="1"/>
  <c r="M57" i="1"/>
  <c r="M65" i="1"/>
  <c r="Q63" i="1"/>
  <c r="R63" i="1" s="1"/>
  <c r="W71" i="1"/>
  <c r="X71" i="1" s="1"/>
  <c r="AC67" i="1"/>
  <c r="AI75" i="1"/>
  <c r="AI59" i="1"/>
  <c r="C93" i="1"/>
  <c r="D110" i="1"/>
  <c r="R88" i="1"/>
  <c r="S107" i="1"/>
  <c r="S123" i="1"/>
  <c r="AC99" i="1"/>
  <c r="AD118" i="1"/>
  <c r="E72" i="1"/>
  <c r="W70" i="1"/>
  <c r="X70" i="1" s="1"/>
  <c r="D111" i="1"/>
  <c r="M72" i="1"/>
  <c r="AI58" i="1"/>
  <c r="D119" i="1"/>
  <c r="Q66" i="1"/>
  <c r="R66" i="1" s="1"/>
  <c r="AI62" i="1"/>
  <c r="D123" i="1"/>
  <c r="M60" i="1"/>
  <c r="AI70" i="1"/>
  <c r="S112" i="1"/>
  <c r="AC88" i="1"/>
  <c r="AD107" i="1"/>
  <c r="AD123" i="1"/>
  <c r="E63" i="1"/>
  <c r="M71" i="1"/>
  <c r="Q69" i="1"/>
  <c r="R69" i="1" s="1"/>
  <c r="W77" i="1"/>
  <c r="X77" i="1" s="1"/>
  <c r="W61" i="1"/>
  <c r="X61" i="1" s="1"/>
  <c r="AI81" i="1"/>
  <c r="AI65" i="1"/>
  <c r="C91" i="1"/>
  <c r="D112" i="1"/>
  <c r="R90" i="1"/>
  <c r="S109" i="1"/>
  <c r="S125" i="1"/>
  <c r="AD104" i="1"/>
  <c r="AD120" i="1"/>
  <c r="E66" i="1"/>
  <c r="M74" i="1"/>
  <c r="M58" i="1"/>
  <c r="W80" i="1"/>
  <c r="X80" i="1" s="1"/>
  <c r="W64" i="1"/>
  <c r="X64" i="1" s="1"/>
  <c r="AC60" i="1"/>
  <c r="AI68" i="1"/>
  <c r="C88" i="1"/>
  <c r="D109" i="1"/>
  <c r="D125" i="1"/>
  <c r="S106" i="1"/>
  <c r="S122" i="1"/>
  <c r="AC98" i="1"/>
  <c r="AD117" i="1"/>
  <c r="E69" i="1"/>
  <c r="M77" i="1"/>
  <c r="M61" i="1"/>
  <c r="W59" i="1"/>
  <c r="X59" i="1" s="1"/>
  <c r="W67" i="1"/>
  <c r="X67" i="1" s="1"/>
  <c r="AC63" i="1"/>
  <c r="AI71" i="1"/>
  <c r="C97" i="1"/>
  <c r="D114" i="1"/>
  <c r="R92" i="1"/>
  <c r="S111" i="1"/>
  <c r="AC87" i="1"/>
  <c r="AD106" i="1"/>
  <c r="AD122" i="1"/>
  <c r="M80" i="1"/>
  <c r="AC66" i="1"/>
  <c r="R89" i="1"/>
  <c r="Q70" i="1"/>
  <c r="R70" i="1" s="1"/>
  <c r="AI66" i="1"/>
  <c r="R97" i="1"/>
  <c r="W74" i="1"/>
  <c r="X74" i="1" s="1"/>
  <c r="C82" i="1"/>
  <c r="S104" i="1"/>
  <c r="W82" i="1"/>
  <c r="X82" i="1" s="1"/>
  <c r="C90" i="1"/>
  <c r="S116" i="1"/>
  <c r="AC92" i="1"/>
  <c r="AD111" i="1"/>
  <c r="E57" i="1"/>
  <c r="E59" i="1"/>
  <c r="M67" i="1"/>
  <c r="Q65" i="1"/>
  <c r="R65" i="1" s="1"/>
  <c r="W73" i="1"/>
  <c r="X73" i="1" s="1"/>
  <c r="AC69" i="1"/>
  <c r="AI77" i="1"/>
  <c r="AI61" i="1"/>
  <c r="C95" i="1"/>
  <c r="D116" i="1"/>
  <c r="R94" i="1"/>
  <c r="S113" i="1"/>
  <c r="AC89" i="1"/>
  <c r="AD108" i="1"/>
  <c r="AD124" i="1"/>
  <c r="E62" i="1"/>
  <c r="M70" i="1"/>
  <c r="Q68" i="1"/>
  <c r="R68" i="1" s="1"/>
  <c r="W76" i="1"/>
  <c r="X76" i="1" s="1"/>
  <c r="W60" i="1"/>
  <c r="X60" i="1" s="1"/>
  <c r="AI80" i="1"/>
  <c r="AI64" i="1"/>
  <c r="C92" i="1"/>
  <c r="D113" i="1"/>
  <c r="R91" i="1"/>
  <c r="S110" i="1"/>
  <c r="S126" i="1"/>
  <c r="AD105" i="1"/>
  <c r="AD121" i="1"/>
  <c r="E65" i="1"/>
  <c r="M73" i="1"/>
  <c r="Q59" i="1"/>
  <c r="R59" i="1" s="1"/>
  <c r="W79" i="1"/>
  <c r="X79" i="1" s="1"/>
  <c r="W63" i="1"/>
  <c r="X63" i="1" s="1"/>
  <c r="AC59" i="1"/>
  <c r="AI67" i="1"/>
  <c r="C85" i="1"/>
  <c r="D102" i="1"/>
  <c r="D118" i="1"/>
  <c r="R96" i="1"/>
  <c r="S115" i="1"/>
  <c r="AC91" i="1"/>
  <c r="AD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<sst xmlns="http://schemas.openxmlformats.org/spreadsheetml/2006/main" count="135" uniqueCount="63">
  <si>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Ih</t>
  </si>
  <si>
    <t>Ic</t>
  </si>
  <si>
    <t>U</t>
  </si>
  <si>
    <t>Ih [mA]</t>
  </si>
  <si>
    <t>Ic [mA]</t>
  </si>
  <si>
    <t>U [V]</t>
  </si>
  <si>
    <t>R [mm]</t>
  </si>
  <si>
    <t>2R [mm]</t>
  </si>
  <si>
    <t>B</t>
  </si>
  <si>
    <t>cewka</t>
  </si>
  <si>
    <t>odległość [cm]</t>
  </si>
  <si>
    <t xml:space="preserve">odległość </t>
  </si>
  <si>
    <t>wysokość</t>
  </si>
  <si>
    <t>wysokość (od środka w dół) [cm]</t>
  </si>
  <si>
    <t>kalibracja odwrotna</t>
  </si>
  <si>
    <t>4 cm</t>
  </si>
  <si>
    <t xml:space="preserve">magnes szerokość </t>
  </si>
  <si>
    <t>0,5cm</t>
  </si>
  <si>
    <t>MAGNES NEODYMOWY</t>
  </si>
  <si>
    <t>MAGNES FERRYTOWY</t>
  </si>
  <si>
    <t>odległość na początku</t>
  </si>
  <si>
    <t>CEWKA</t>
  </si>
  <si>
    <t xml:space="preserve">odległość między halotronem a obudową </t>
  </si>
  <si>
    <t xml:space="preserve">odległość halotron magnes </t>
  </si>
  <si>
    <t>3,5 cm</t>
  </si>
  <si>
    <t>Ic [A]</t>
  </si>
  <si>
    <t>B [T]</t>
  </si>
  <si>
    <t>mi0</t>
  </si>
  <si>
    <t>N</t>
  </si>
  <si>
    <t>R [m]</t>
  </si>
  <si>
    <t>B [mikroT]</t>
  </si>
  <si>
    <t>u(B) [T]</t>
  </si>
  <si>
    <t>Odw. Kalibr.</t>
  </si>
  <si>
    <t>odw</t>
  </si>
  <si>
    <t>a</t>
  </si>
  <si>
    <t>b</t>
  </si>
  <si>
    <t>u(a)</t>
  </si>
  <si>
    <t>u(b)</t>
  </si>
  <si>
    <t>c</t>
  </si>
  <si>
    <t>u©</t>
  </si>
  <si>
    <t>średnia:</t>
  </si>
  <si>
    <t xml:space="preserve">średnie </t>
  </si>
  <si>
    <t>A</t>
  </si>
  <si>
    <t>B0</t>
  </si>
  <si>
    <t xml:space="preserve">B teo </t>
  </si>
  <si>
    <t>Bteo mikroT</t>
  </si>
  <si>
    <t>u(B)</t>
  </si>
  <si>
    <t>h-r [cm]</t>
  </si>
  <si>
    <t>a1</t>
  </si>
  <si>
    <t>u(a1)</t>
  </si>
  <si>
    <t>a2</t>
  </si>
  <si>
    <t>u(a2)</t>
  </si>
  <si>
    <t>μ</t>
  </si>
  <si>
    <t>u(B) [μT]</t>
  </si>
  <si>
    <t>B [μT]</t>
  </si>
  <si>
    <t>n</t>
  </si>
  <si>
    <t>alfa</t>
  </si>
  <si>
    <t>cos</t>
  </si>
  <si>
    <t>suma</t>
  </si>
  <si>
    <t>p</t>
  </si>
  <si>
    <t>B teo</t>
  </si>
  <si>
    <t>y</t>
  </si>
  <si>
    <t>B przeskalowane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</si>
</sst>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00000"/>
    <numFmt numFmtId="166" formatCode="0.00000000"/>
    <numFmt numFmtId="167" formatCode="0.0000000"/>
    <numFmt numFmtId="168" formatCode="0.000"/>
    <numFmt numFmtId="169" formatCode="0.0000"/>
    <numFmt numFmtId="170" formatCode="0.0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3" xfId="0" applyBorder="1"/>
    <xf numFmtId="2" fontId="0" fillId="0" borderId="3" xfId="0" applyNumberFormat="1" applyBorder="1"/>
    <xf numFmtId="164" fontId="0" fillId="0" borderId="3" xfId="0" applyNumberFormat="1" applyBorder="1"/>
    <xf numFmtId="1" fontId="0" fillId="0" borderId="0" xfId="0" applyNumberFormat="1"/>
    <xf numFmtId="169" fontId="0" fillId="0" borderId="0" xfId="0" applyNumberFormat="1"/>
    <xf numFmtId="169" fontId="0" fillId="0" borderId="3" xfId="0" applyNumberFormat="1" applyBorder="1"/>
    <xf numFmtId="168" fontId="0" fillId="0" borderId="3" xfId="0" applyNumberFormat="1" applyBorder="1"/>
    <xf numFmtId="1" fontId="0" fillId="0" borderId="3" xfId="0" applyNumberFormat="1" applyBorder="1"/>
    <xf numFmtId="1" fontId="1" fillId="0" borderId="3" xfId="0" applyNumberFormat="1" applyFont="1" applyBorder="1"/>
    <xf numFmtId="0" fontId="0" fillId="0" borderId="7" xfId="0" applyBorder="1"/>
    <xf numFmtId="0" fontId="0" fillId="0" borderId="0" xfId="0" applyFill="1" applyBorder="1"/>
    <xf numFmtId="2" fontId="0" fillId="0" borderId="0" xfId="0" applyNumberFormat="1" applyBorder="1"/>
    <xf numFmtId="0" fontId="1" fillId="0" borderId="3" xfId="0" applyFont="1" applyBorder="1"/>
    <xf numFmtId="0" fontId="0" fillId="0" borderId="3" xfId="0" applyFont="1" applyBorder="1"/>
    <xf numFmtId="0" fontId="0" fillId="0" borderId="3" xfId="0" applyFont="1" applyFill="1" applyBorder="1"/>
    <xf numFmtId="2" fontId="0" fillId="0" borderId="3" xfId="0" applyNumberFormat="1" applyFont="1" applyBorder="1"/>
    <xf numFmtId="0" fontId="2" fillId="0" borderId="0" xfId="0" applyFont="1"/>
    <xf numFmtId="2" fontId="0" fillId="0" borderId="0" xfId="0" applyNumberFormat="1"/>
    <xf numFmtId="170" fontId="0" fillId="0" borderId="0" xfId="0" applyNumberFormat="1"/>
    <xf numFmtId="168" fontId="0" fillId="0" borderId="0" xfId="0" applyNumberFormat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Ih = 3,5mA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Arkusz1!$E$18</c:f>
                <c:numCache>
                  <c:formatCode>General</c:formatCode>
                  <c:ptCount val="1"/>
                  <c:pt idx="0">
                    <c:v>0.52911034165722837</c:v>
                  </c:pt>
                </c:numCache>
              </c:numRef>
            </c:plus>
            <c:minus>
              <c:numRef>
                <c:f>Arkusz1!$E$18</c:f>
                <c:numCache>
                  <c:formatCode>General</c:formatCode>
                  <c:ptCount val="1"/>
                  <c:pt idx="0">
                    <c:v>0.52911034165722837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Arkusz1!$D$18:$D$28</c:f>
              <c:numCache>
                <c:formatCode>0.00</c:formatCode>
                <c:ptCount val="11"/>
                <c:pt idx="0">
                  <c:v>0</c:v>
                </c:pt>
                <c:pt idx="1">
                  <c:v>0.52911034165722837</c:v>
                </c:pt>
                <c:pt idx="2">
                  <c:v>1.0582206833144567</c:v>
                </c:pt>
                <c:pt idx="3">
                  <c:v>1.587331024971685</c:v>
                </c:pt>
                <c:pt idx="4">
                  <c:v>2.1164413666289135</c:v>
                </c:pt>
                <c:pt idx="5">
                  <c:v>2.6455517082861415</c:v>
                </c:pt>
                <c:pt idx="6">
                  <c:v>3.17466204994337</c:v>
                </c:pt>
                <c:pt idx="7">
                  <c:v>3.7037723916005985</c:v>
                </c:pt>
                <c:pt idx="8">
                  <c:v>4.2328827332578269</c:v>
                </c:pt>
                <c:pt idx="9">
                  <c:v>4.7619930749150559</c:v>
                </c:pt>
                <c:pt idx="10">
                  <c:v>5.291103416572283</c:v>
                </c:pt>
              </c:numCache>
            </c:numRef>
          </c:xVal>
          <c:yVal>
            <c:numRef>
              <c:f>Arkusz1!$C$18:$C$28</c:f>
              <c:numCache>
                <c:formatCode>General</c:formatCode>
                <c:ptCount val="11"/>
                <c:pt idx="0">
                  <c:v>-0.4</c:v>
                </c:pt>
                <c:pt idx="1">
                  <c:v>-0.1</c:v>
                </c:pt>
                <c:pt idx="2">
                  <c:v>0</c:v>
                </c:pt>
                <c:pt idx="3">
                  <c:v>0.2</c:v>
                </c:pt>
                <c:pt idx="4">
                  <c:v>0.4</c:v>
                </c:pt>
                <c:pt idx="5">
                  <c:v>0.6</c:v>
                </c:pt>
                <c:pt idx="6">
                  <c:v>0.8</c:v>
                </c:pt>
                <c:pt idx="7">
                  <c:v>1</c:v>
                </c:pt>
                <c:pt idx="8">
                  <c:v>1.2</c:v>
                </c:pt>
                <c:pt idx="9">
                  <c:v>1.4</c:v>
                </c:pt>
                <c:pt idx="10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7D-4BE5-AF05-148A77087B65}"/>
            </c:ext>
          </c:extLst>
        </c:ser>
        <c:ser>
          <c:idx val="1"/>
          <c:order val="1"/>
          <c:tx>
            <c:v>Ih = 5mA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Arkusz1!$L$18:$L$28</c:f>
              <c:numCache>
                <c:formatCode>0.00</c:formatCode>
                <c:ptCount val="11"/>
                <c:pt idx="0">
                  <c:v>0</c:v>
                </c:pt>
                <c:pt idx="1">
                  <c:v>0.52911034165722837</c:v>
                </c:pt>
                <c:pt idx="2">
                  <c:v>1.0582206833144567</c:v>
                </c:pt>
                <c:pt idx="3">
                  <c:v>1.587331024971685</c:v>
                </c:pt>
                <c:pt idx="4">
                  <c:v>2.1164413666289135</c:v>
                </c:pt>
                <c:pt idx="5">
                  <c:v>2.6455517082861415</c:v>
                </c:pt>
                <c:pt idx="6">
                  <c:v>3.17466204994337</c:v>
                </c:pt>
                <c:pt idx="7">
                  <c:v>3.7037723916005985</c:v>
                </c:pt>
                <c:pt idx="8">
                  <c:v>4.2328827332578269</c:v>
                </c:pt>
                <c:pt idx="9">
                  <c:v>4.7619930749150559</c:v>
                </c:pt>
                <c:pt idx="10">
                  <c:v>5.291103416572283</c:v>
                </c:pt>
              </c:numCache>
            </c:numRef>
          </c:xVal>
          <c:yVal>
            <c:numRef>
              <c:f>Arkusz1!$K$18:$K$28</c:f>
              <c:numCache>
                <c:formatCode>General</c:formatCode>
                <c:ptCount val="11"/>
                <c:pt idx="0">
                  <c:v>-0.5</c:v>
                </c:pt>
                <c:pt idx="1">
                  <c:v>-0.2</c:v>
                </c:pt>
                <c:pt idx="2">
                  <c:v>0</c:v>
                </c:pt>
                <c:pt idx="3">
                  <c:v>0.3</c:v>
                </c:pt>
                <c:pt idx="4">
                  <c:v>0.6</c:v>
                </c:pt>
                <c:pt idx="5">
                  <c:v>0.9</c:v>
                </c:pt>
                <c:pt idx="6">
                  <c:v>1.1000000000000001</c:v>
                </c:pt>
                <c:pt idx="7">
                  <c:v>1.4</c:v>
                </c:pt>
                <c:pt idx="8">
                  <c:v>1.7</c:v>
                </c:pt>
                <c:pt idx="9">
                  <c:v>2</c:v>
                </c:pt>
                <c:pt idx="10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7D-4BE5-AF05-148A77087B65}"/>
            </c:ext>
          </c:extLst>
        </c:ser>
        <c:ser>
          <c:idx val="2"/>
          <c:order val="2"/>
          <c:tx>
            <c:v>Ih = 7,5mA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Arkusz1!$U$18:$U$28</c:f>
              <c:numCache>
                <c:formatCode>0.00</c:formatCode>
                <c:ptCount val="11"/>
                <c:pt idx="0">
                  <c:v>0</c:v>
                </c:pt>
                <c:pt idx="1">
                  <c:v>0.52911034165722837</c:v>
                </c:pt>
                <c:pt idx="2">
                  <c:v>1.0582206833144567</c:v>
                </c:pt>
                <c:pt idx="3">
                  <c:v>1.587331024971685</c:v>
                </c:pt>
                <c:pt idx="4">
                  <c:v>2.1164413666289135</c:v>
                </c:pt>
                <c:pt idx="5">
                  <c:v>2.6455517082861415</c:v>
                </c:pt>
                <c:pt idx="6">
                  <c:v>3.17466204994337</c:v>
                </c:pt>
                <c:pt idx="7">
                  <c:v>3.7037723916005985</c:v>
                </c:pt>
                <c:pt idx="8">
                  <c:v>4.2328827332578269</c:v>
                </c:pt>
                <c:pt idx="9">
                  <c:v>4.7619930749150559</c:v>
                </c:pt>
                <c:pt idx="10">
                  <c:v>5.291103416572283</c:v>
                </c:pt>
              </c:numCache>
            </c:numRef>
          </c:xVal>
          <c:yVal>
            <c:numRef>
              <c:f>Arkusz1!$S$18:$S$28</c:f>
              <c:numCache>
                <c:formatCode>General</c:formatCode>
                <c:ptCount val="11"/>
                <c:pt idx="0">
                  <c:v>-0.8</c:v>
                </c:pt>
                <c:pt idx="1">
                  <c:v>-0.3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  <c:pt idx="5" formatCode="0.0">
                  <c:v>1.3</c:v>
                </c:pt>
                <c:pt idx="6">
                  <c:v>1.8</c:v>
                </c:pt>
                <c:pt idx="7">
                  <c:v>2.2000000000000002</c:v>
                </c:pt>
                <c:pt idx="8">
                  <c:v>2.6</c:v>
                </c:pt>
                <c:pt idx="9">
                  <c:v>3.1</c:v>
                </c:pt>
                <c:pt idx="1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7D-4BE5-AF05-148A77087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265792"/>
        <c:axId val="1047609248"/>
      </c:scatterChart>
      <c:valAx>
        <c:axId val="114426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[mikroT]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7609248"/>
        <c:crosses val="autoZero"/>
        <c:crossBetween val="midCat"/>
      </c:valAx>
      <c:valAx>
        <c:axId val="10476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pl-PL" baseline="0"/>
                  <a:t>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426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Ih = 7,5 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Arkusz1!$U$18:$U$28</c:f>
              <c:numCache>
                <c:formatCode>0.00</c:formatCode>
                <c:ptCount val="11"/>
                <c:pt idx="0">
                  <c:v>0</c:v>
                </c:pt>
                <c:pt idx="1">
                  <c:v>0.52911034165722837</c:v>
                </c:pt>
                <c:pt idx="2">
                  <c:v>1.0582206833144567</c:v>
                </c:pt>
                <c:pt idx="3">
                  <c:v>1.587331024971685</c:v>
                </c:pt>
                <c:pt idx="4">
                  <c:v>2.1164413666289135</c:v>
                </c:pt>
                <c:pt idx="5">
                  <c:v>2.6455517082861415</c:v>
                </c:pt>
                <c:pt idx="6">
                  <c:v>3.17466204994337</c:v>
                </c:pt>
                <c:pt idx="7">
                  <c:v>3.7037723916005985</c:v>
                </c:pt>
                <c:pt idx="8">
                  <c:v>4.2328827332578269</c:v>
                </c:pt>
                <c:pt idx="9">
                  <c:v>4.7619930749150559</c:v>
                </c:pt>
                <c:pt idx="10">
                  <c:v>5.291103416572283</c:v>
                </c:pt>
              </c:numCache>
            </c:numRef>
          </c:xVal>
          <c:yVal>
            <c:numRef>
              <c:f>Arkusz1!$S$18:$S$28</c:f>
              <c:numCache>
                <c:formatCode>General</c:formatCode>
                <c:ptCount val="11"/>
                <c:pt idx="0">
                  <c:v>-0.8</c:v>
                </c:pt>
                <c:pt idx="1">
                  <c:v>-0.3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  <c:pt idx="5" formatCode="0.0">
                  <c:v>1.3</c:v>
                </c:pt>
                <c:pt idx="6">
                  <c:v>1.8</c:v>
                </c:pt>
                <c:pt idx="7">
                  <c:v>2.2000000000000002</c:v>
                </c:pt>
                <c:pt idx="8">
                  <c:v>2.6</c:v>
                </c:pt>
                <c:pt idx="9">
                  <c:v>3.1</c:v>
                </c:pt>
                <c:pt idx="1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7-470F-BBB7-9C40CB93CD40}"/>
            </c:ext>
          </c:extLst>
        </c:ser>
        <c:ser>
          <c:idx val="1"/>
          <c:order val="1"/>
          <c:tx>
            <c:v>Ih = -7,5mA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Arkusz1!$Y$4:$Y$14</c:f>
              <c:numCache>
                <c:formatCode>General</c:formatCode>
                <c:ptCount val="11"/>
                <c:pt idx="0">
                  <c:v>0</c:v>
                </c:pt>
                <c:pt idx="1">
                  <c:v>-0.52911034165722837</c:v>
                </c:pt>
                <c:pt idx="2">
                  <c:v>-1.0582206833144567</c:v>
                </c:pt>
                <c:pt idx="3">
                  <c:v>-1.587331024971685</c:v>
                </c:pt>
                <c:pt idx="4">
                  <c:v>-2.1164413666289135</c:v>
                </c:pt>
                <c:pt idx="5">
                  <c:v>-2.6455517082861415</c:v>
                </c:pt>
                <c:pt idx="6">
                  <c:v>-3.17466204994337</c:v>
                </c:pt>
                <c:pt idx="7">
                  <c:v>-3.7037723916005985</c:v>
                </c:pt>
                <c:pt idx="8">
                  <c:v>-4.2328827332578269</c:v>
                </c:pt>
                <c:pt idx="9">
                  <c:v>-4.7619930749150559</c:v>
                </c:pt>
                <c:pt idx="10">
                  <c:v>-5.291103416572283</c:v>
                </c:pt>
              </c:numCache>
            </c:numRef>
          </c:xVal>
          <c:yVal>
            <c:numRef>
              <c:f>Arkusz1!$U$4:$U$14</c:f>
              <c:numCache>
                <c:formatCode>General</c:formatCode>
                <c:ptCount val="11"/>
                <c:pt idx="0">
                  <c:v>-0.8</c:v>
                </c:pt>
                <c:pt idx="1">
                  <c:v>-1.4</c:v>
                </c:pt>
                <c:pt idx="2">
                  <c:v>-1.8</c:v>
                </c:pt>
                <c:pt idx="3">
                  <c:v>-2.2999999999999998</c:v>
                </c:pt>
                <c:pt idx="4">
                  <c:v>-2.7</c:v>
                </c:pt>
                <c:pt idx="5">
                  <c:v>-3.1</c:v>
                </c:pt>
                <c:pt idx="6">
                  <c:v>-3.5</c:v>
                </c:pt>
                <c:pt idx="7">
                  <c:v>-3.9</c:v>
                </c:pt>
                <c:pt idx="8">
                  <c:v>-4.3</c:v>
                </c:pt>
                <c:pt idx="9">
                  <c:v>-4.7</c:v>
                </c:pt>
                <c:pt idx="10">
                  <c:v>-5.0999999999999996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5D-4A5C-8D51-35A3FC31A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437232"/>
        <c:axId val="1255100880"/>
      </c:scatterChart>
      <c:valAx>
        <c:axId val="136343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</a:t>
                </a:r>
                <a:r>
                  <a:rPr lang="el-GR"/>
                  <a:t>μ</a:t>
                </a:r>
                <a:r>
                  <a:rPr lang="pl-PL"/>
                  <a:t>T]</a:t>
                </a:r>
              </a:p>
            </c:rich>
          </c:tx>
          <c:layout>
            <c:manualLayout>
              <c:xMode val="edge"/>
              <c:yMode val="edge"/>
              <c:x val="0.44317185183822699"/>
              <c:y val="0.81091886579389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5100880"/>
        <c:crosses val="autoZero"/>
        <c:crossBetween val="midCat"/>
        <c:majorUnit val="2"/>
      </c:valAx>
      <c:valAx>
        <c:axId val="12551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layout>
            <c:manualLayout>
              <c:xMode val="edge"/>
              <c:yMode val="edge"/>
              <c:x val="1.1074197120708749E-2"/>
              <c:y val="0.3149646398366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3437232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B 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Arkusz1!$A$57:$A$72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Arkusz1!$G$57:$G$72</c:f>
              <c:numCache>
                <c:formatCode>General</c:formatCode>
                <c:ptCount val="16"/>
                <c:pt idx="0">
                  <c:v>5.291103416572283</c:v>
                </c:pt>
                <c:pt idx="1">
                  <c:v>5.2043651044124681</c:v>
                </c:pt>
                <c:pt idx="2">
                  <c:v>4.9578687743693246</c:v>
                </c:pt>
                <c:pt idx="3">
                  <c:v>4.5879776412811211</c:v>
                </c:pt>
                <c:pt idx="4">
                  <c:v>4.1421293592562574</c:v>
                </c:pt>
                <c:pt idx="5">
                  <c:v>3.6665335630574587</c:v>
                </c:pt>
                <c:pt idx="6">
                  <c:v>3.1979376033344664</c:v>
                </c:pt>
                <c:pt idx="7">
                  <c:v>2.7607320693899884</c:v>
                </c:pt>
                <c:pt idx="8">
                  <c:v>2.367986962069824</c:v>
                </c:pt>
                <c:pt idx="9">
                  <c:v>2.0242828498048198</c:v>
                </c:pt>
                <c:pt idx="10">
                  <c:v>1.7287415398512411</c:v>
                </c:pt>
                <c:pt idx="11">
                  <c:v>1.4774812885385977</c:v>
                </c:pt>
                <c:pt idx="12">
                  <c:v>1.2653121158259166</c:v>
                </c:pt>
                <c:pt idx="13">
                  <c:v>1.0867731955688866</c:v>
                </c:pt>
                <c:pt idx="14">
                  <c:v>0.93669633916488093</c:v>
                </c:pt>
                <c:pt idx="15">
                  <c:v>0.81046529581466598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11-4D53-ABF6-1C8C7908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20703"/>
        <c:axId val="473926111"/>
      </c:scatterChart>
      <c:scatterChart>
        <c:scatterStyle val="lineMarker"/>
        <c:varyColors val="0"/>
        <c:ser>
          <c:idx val="0"/>
          <c:order val="0"/>
          <c:tx>
            <c:v>B(x)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Arkusz1!$H$57:$H$74</c:f>
                <c:numCache>
                  <c:formatCode>General</c:formatCode>
                  <c:ptCount val="18"/>
                  <c:pt idx="0">
                    <c:v>0.58847754009189002</c:v>
                  </c:pt>
                  <c:pt idx="1">
                    <c:v>0.60528855486454003</c:v>
                  </c:pt>
                  <c:pt idx="2">
                    <c:v>0.58847754009189002</c:v>
                  </c:pt>
                  <c:pt idx="3">
                    <c:v>0.57166652537041074</c:v>
                  </c:pt>
                  <c:pt idx="4">
                    <c:v>0.53804449610015026</c:v>
                  </c:pt>
                  <c:pt idx="5">
                    <c:v>0.4876114527158148</c:v>
                  </c:pt>
                  <c:pt idx="6">
                    <c:v>0.43717841014909475</c:v>
                  </c:pt>
                  <c:pt idx="7">
                    <c:v>0.38674536871985049</c:v>
                  </c:pt>
                  <c:pt idx="8">
                    <c:v>0.336312328939806</c:v>
                  </c:pt>
                  <c:pt idx="9">
                    <c:v>0.26906828006800837</c:v>
                  </c:pt>
                  <c:pt idx="10">
                    <c:v>0.21863524894411007</c:v>
                  </c:pt>
                  <c:pt idx="11">
                    <c:v>0.18501323298160727</c:v>
                  </c:pt>
                  <c:pt idx="12">
                    <c:v>0.13458022339322437</c:v>
                  </c:pt>
                  <c:pt idx="13">
                    <c:v>0.10095823772630746</c:v>
                  </c:pt>
                  <c:pt idx="14">
                    <c:v>8.4147258563390032E-2</c:v>
                  </c:pt>
                  <c:pt idx="15">
                    <c:v>5.0525373063760821E-2</c:v>
                  </c:pt>
                  <c:pt idx="16">
                    <c:v>3.3714539353192914E-2</c:v>
                  </c:pt>
                  <c:pt idx="17">
                    <c:v>1.6904067505827493E-2</c:v>
                  </c:pt>
                </c:numCache>
              </c:numRef>
            </c:plus>
            <c:minus>
              <c:numRef>
                <c:f>Arkusz1!$H$57:$H$74</c:f>
                <c:numCache>
                  <c:formatCode>General</c:formatCode>
                  <c:ptCount val="18"/>
                  <c:pt idx="0">
                    <c:v>0.58847754009189002</c:v>
                  </c:pt>
                  <c:pt idx="1">
                    <c:v>0.60528855486454003</c:v>
                  </c:pt>
                  <c:pt idx="2">
                    <c:v>0.58847754009189002</c:v>
                  </c:pt>
                  <c:pt idx="3">
                    <c:v>0.57166652537041074</c:v>
                  </c:pt>
                  <c:pt idx="4">
                    <c:v>0.53804449610015026</c:v>
                  </c:pt>
                  <c:pt idx="5">
                    <c:v>0.4876114527158148</c:v>
                  </c:pt>
                  <c:pt idx="6">
                    <c:v>0.43717841014909475</c:v>
                  </c:pt>
                  <c:pt idx="7">
                    <c:v>0.38674536871985049</c:v>
                  </c:pt>
                  <c:pt idx="8">
                    <c:v>0.336312328939806</c:v>
                  </c:pt>
                  <c:pt idx="9">
                    <c:v>0.26906828006800837</c:v>
                  </c:pt>
                  <c:pt idx="10">
                    <c:v>0.21863524894411007</c:v>
                  </c:pt>
                  <c:pt idx="11">
                    <c:v>0.18501323298160727</c:v>
                  </c:pt>
                  <c:pt idx="12">
                    <c:v>0.13458022339322437</c:v>
                  </c:pt>
                  <c:pt idx="13">
                    <c:v>0.10095823772630746</c:v>
                  </c:pt>
                  <c:pt idx="14">
                    <c:v>8.4147258563390032E-2</c:v>
                  </c:pt>
                  <c:pt idx="15">
                    <c:v>5.0525373063760821E-2</c:v>
                  </c:pt>
                  <c:pt idx="16">
                    <c:v>3.3714539353192914E-2</c:v>
                  </c:pt>
                  <c:pt idx="17">
                    <c:v>1.6904067505827493E-2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Arkusz1!$C$59:$C$74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Arkusz1!$E$59:$E$74</c:f>
              <c:numCache>
                <c:formatCode>General</c:formatCode>
                <c:ptCount val="16"/>
                <c:pt idx="0">
                  <c:v>5.1025253032624311</c:v>
                </c:pt>
                <c:pt idx="1">
                  <c:v>4.9764426862593156</c:v>
                </c:pt>
                <c:pt idx="2">
                  <c:v>4.7242774522530855</c:v>
                </c:pt>
                <c:pt idx="3">
                  <c:v>4.3460296012437398</c:v>
                </c:pt>
                <c:pt idx="4">
                  <c:v>3.9677817502343951</c:v>
                </c:pt>
                <c:pt idx="5">
                  <c:v>3.5895338992250494</c:v>
                </c:pt>
                <c:pt idx="6">
                  <c:v>3.2112860482157042</c:v>
                </c:pt>
                <c:pt idx="7">
                  <c:v>2.7069555802032439</c:v>
                </c:pt>
                <c:pt idx="8">
                  <c:v>2.3287077291938987</c:v>
                </c:pt>
                <c:pt idx="9">
                  <c:v>2.0765424951876685</c:v>
                </c:pt>
                <c:pt idx="10">
                  <c:v>1.6982946441783231</c:v>
                </c:pt>
                <c:pt idx="11">
                  <c:v>1.446129410172093</c:v>
                </c:pt>
                <c:pt idx="12">
                  <c:v>1.3200467931689777</c:v>
                </c:pt>
                <c:pt idx="13">
                  <c:v>1.0678815591627475</c:v>
                </c:pt>
                <c:pt idx="14">
                  <c:v>0.94179894215963234</c:v>
                </c:pt>
                <c:pt idx="15">
                  <c:v>0.81571632515651726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1-4D53-ABF6-1C8C7908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22367"/>
        <c:axId val="473919871"/>
      </c:scatterChart>
      <c:valAx>
        <c:axId val="47392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 [cm]</a:t>
                </a:r>
              </a:p>
            </c:rich>
          </c:tx>
          <c:layout>
            <c:manualLayout>
              <c:xMode val="edge"/>
              <c:yMode val="edge"/>
              <c:x val="0.4765474628171478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3926111"/>
        <c:crosses val="autoZero"/>
        <c:crossBetween val="midCat"/>
      </c:valAx>
      <c:valAx>
        <c:axId val="47392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l-PL" sz="1000" b="0" i="0" u="none" strike="noStrike" baseline="0">
                    <a:effectLst/>
                  </a:rPr>
                  <a:t>T</a:t>
                </a:r>
                <a:r>
                  <a:rPr lang="pl-PL"/>
                  <a:t>]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5793161271507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3920703"/>
        <c:crosses val="autoZero"/>
        <c:crossBetween val="midCat"/>
      </c:valAx>
      <c:valAx>
        <c:axId val="473919871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73922367"/>
        <c:crosses val="max"/>
        <c:crossBetween val="midCat"/>
      </c:valAx>
      <c:valAx>
        <c:axId val="47392236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73919871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5892388451443"/>
          <c:y val="2.5428331875182269E-2"/>
          <c:w val="0.83318963254593181"/>
          <c:h val="0.72185112277631958"/>
        </c:manualLayout>
      </c:layout>
      <c:scatterChart>
        <c:scatterStyle val="lineMarker"/>
        <c:varyColors val="0"/>
        <c:ser>
          <c:idx val="0"/>
          <c:order val="0"/>
          <c:tx>
            <c:v>Cewka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Arkusz1!$D$88:$D$98</c:f>
                <c:numCache>
                  <c:formatCode>General</c:formatCode>
                  <c:ptCount val="11"/>
                  <c:pt idx="0">
                    <c:v>0.38674536871985049</c:v>
                  </c:pt>
                  <c:pt idx="1">
                    <c:v>0.336312328939806</c:v>
                  </c:pt>
                  <c:pt idx="2">
                    <c:v>0.26906828006800837</c:v>
                  </c:pt>
                  <c:pt idx="3">
                    <c:v>0.21863524894411007</c:v>
                  </c:pt>
                  <c:pt idx="4">
                    <c:v>0.18501323298160727</c:v>
                  </c:pt>
                  <c:pt idx="5">
                    <c:v>0.13458022339322437</c:v>
                  </c:pt>
                  <c:pt idx="6">
                    <c:v>0.10095823772630746</c:v>
                  </c:pt>
                  <c:pt idx="7">
                    <c:v>8.4147258563390032E-2</c:v>
                  </c:pt>
                  <c:pt idx="8">
                    <c:v>5.0525373063760821E-2</c:v>
                  </c:pt>
                  <c:pt idx="9">
                    <c:v>3.3714539353192914E-2</c:v>
                  </c:pt>
                  <c:pt idx="10">
                    <c:v>1.6904067505827493E-2</c:v>
                  </c:pt>
                </c:numCache>
              </c:numRef>
            </c:plus>
            <c:minus>
              <c:numRef>
                <c:f>Arkusz1!$D$88:$D$98</c:f>
                <c:numCache>
                  <c:formatCode>General</c:formatCode>
                  <c:ptCount val="11"/>
                  <c:pt idx="0">
                    <c:v>0.38674536871985049</c:v>
                  </c:pt>
                  <c:pt idx="1">
                    <c:v>0.336312328939806</c:v>
                  </c:pt>
                  <c:pt idx="2">
                    <c:v>0.26906828006800837</c:v>
                  </c:pt>
                  <c:pt idx="3">
                    <c:v>0.21863524894411007</c:v>
                  </c:pt>
                  <c:pt idx="4">
                    <c:v>0.18501323298160727</c:v>
                  </c:pt>
                  <c:pt idx="5">
                    <c:v>0.13458022339322437</c:v>
                  </c:pt>
                  <c:pt idx="6">
                    <c:v>0.10095823772630746</c:v>
                  </c:pt>
                  <c:pt idx="7">
                    <c:v>8.4147258563390032E-2</c:v>
                  </c:pt>
                  <c:pt idx="8">
                    <c:v>5.0525373063760821E-2</c:v>
                  </c:pt>
                  <c:pt idx="9">
                    <c:v>3.3714539353192914E-2</c:v>
                  </c:pt>
                  <c:pt idx="10">
                    <c:v>1.6904067505827493E-2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Arkusz1!$A$64:$A$74</c:f>
              <c:numCache>
                <c:formatCode>General</c:formatCode>
                <c:ptCount val="11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</c:numCache>
            </c:numRef>
          </c:xVal>
          <c:yVal>
            <c:numRef>
              <c:f>Arkusz1!$E$64:$E$74</c:f>
              <c:numCache>
                <c:formatCode>General</c:formatCode>
                <c:ptCount val="11"/>
                <c:pt idx="0">
                  <c:v>3.5895338992250494</c:v>
                </c:pt>
                <c:pt idx="1">
                  <c:v>3.2112860482157042</c:v>
                </c:pt>
                <c:pt idx="2">
                  <c:v>2.7069555802032439</c:v>
                </c:pt>
                <c:pt idx="3">
                  <c:v>2.3287077291938987</c:v>
                </c:pt>
                <c:pt idx="4">
                  <c:v>2.0765424951876685</c:v>
                </c:pt>
                <c:pt idx="5">
                  <c:v>1.6982946441783231</c:v>
                </c:pt>
                <c:pt idx="6">
                  <c:v>1.446129410172093</c:v>
                </c:pt>
                <c:pt idx="7">
                  <c:v>1.3200467931689777</c:v>
                </c:pt>
                <c:pt idx="8">
                  <c:v>1.0678815591627475</c:v>
                </c:pt>
                <c:pt idx="9">
                  <c:v>0.94179894215963234</c:v>
                </c:pt>
                <c:pt idx="10">
                  <c:v>0.81571632515651726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A-4265-8980-ECA750513668}"/>
            </c:ext>
          </c:extLst>
        </c:ser>
        <c:ser>
          <c:idx val="1"/>
          <c:order val="1"/>
          <c:tx>
            <c:v>magnes neodymowy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Arkusz1!$S$88:$S$98</c:f>
                <c:numCache>
                  <c:formatCode>General</c:formatCode>
                  <c:ptCount val="11"/>
                  <c:pt idx="0">
                    <c:v>0.72278173686997282</c:v>
                  </c:pt>
                  <c:pt idx="1">
                    <c:v>0.55467158817322737</c:v>
                  </c:pt>
                  <c:pt idx="2">
                    <c:v>0.4369944876242996</c:v>
                  </c:pt>
                  <c:pt idx="3">
                    <c:v>0.35293941945762031</c:v>
                  </c:pt>
                  <c:pt idx="4">
                    <c:v>0.30250638123757045</c:v>
                  </c:pt>
                  <c:pt idx="5">
                    <c:v>0.26888435757233037</c:v>
                  </c:pt>
                  <c:pt idx="6">
                    <c:v>0.2352623360851254</c:v>
                  </c:pt>
                  <c:pt idx="7">
                    <c:v>0.21845132647255772</c:v>
                  </c:pt>
                  <c:pt idx="8">
                    <c:v>0.20164031786546888</c:v>
                  </c:pt>
                  <c:pt idx="9">
                    <c:v>0.18482931053821638</c:v>
                  </c:pt>
                  <c:pt idx="10">
                    <c:v>0.16801830487496094</c:v>
                  </c:pt>
                </c:numCache>
              </c:numRef>
            </c:plus>
            <c:minus>
              <c:numRef>
                <c:f>Arkusz1!$S$88:$S$98</c:f>
                <c:numCache>
                  <c:formatCode>General</c:formatCode>
                  <c:ptCount val="11"/>
                  <c:pt idx="0">
                    <c:v>0.72278173686997282</c:v>
                  </c:pt>
                  <c:pt idx="1">
                    <c:v>0.55467158817322737</c:v>
                  </c:pt>
                  <c:pt idx="2">
                    <c:v>0.4369944876242996</c:v>
                  </c:pt>
                  <c:pt idx="3">
                    <c:v>0.35293941945762031</c:v>
                  </c:pt>
                  <c:pt idx="4">
                    <c:v>0.30250638123757045</c:v>
                  </c:pt>
                  <c:pt idx="5">
                    <c:v>0.26888435757233037</c:v>
                  </c:pt>
                  <c:pt idx="6">
                    <c:v>0.2352623360851254</c:v>
                  </c:pt>
                  <c:pt idx="7">
                    <c:v>0.21845132647255772</c:v>
                  </c:pt>
                  <c:pt idx="8">
                    <c:v>0.20164031786546888</c:v>
                  </c:pt>
                  <c:pt idx="9">
                    <c:v>0.18482931053821638</c:v>
                  </c:pt>
                  <c:pt idx="10">
                    <c:v>0.16801830487496094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Arkusz1!$O$59:$O$69</c:f>
              <c:numCache>
                <c:formatCode>General</c:formatCode>
                <c:ptCount val="11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</c:numCache>
            </c:numRef>
          </c:xVal>
          <c:yVal>
            <c:numRef>
              <c:f>Arkusz1!$R$59:$R$69</c:f>
              <c:numCache>
                <c:formatCode>General</c:formatCode>
                <c:ptCount val="11"/>
                <c:pt idx="0">
                  <c:v>4.7319188229805471</c:v>
                </c:pt>
                <c:pt idx="1">
                  <c:v>3.471092652949396</c:v>
                </c:pt>
                <c:pt idx="2">
                  <c:v>2.5885143339275904</c:v>
                </c:pt>
                <c:pt idx="3">
                  <c:v>1.9581012489120151</c:v>
                </c:pt>
                <c:pt idx="4">
                  <c:v>1.5798533979026697</c:v>
                </c:pt>
                <c:pt idx="5">
                  <c:v>1.3276881638964395</c:v>
                </c:pt>
                <c:pt idx="6">
                  <c:v>1.0755229298902091</c:v>
                </c:pt>
                <c:pt idx="7">
                  <c:v>0.94944031288709418</c:v>
                </c:pt>
                <c:pt idx="8">
                  <c:v>0.823357695883979</c:v>
                </c:pt>
                <c:pt idx="9">
                  <c:v>0.69727507888086404</c:v>
                </c:pt>
                <c:pt idx="10">
                  <c:v>0.57119246187774886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5A-4265-8980-ECA750513668}"/>
            </c:ext>
          </c:extLst>
        </c:ser>
        <c:ser>
          <c:idx val="2"/>
          <c:order val="2"/>
          <c:tx>
            <c:v>magnes ferrytowy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Arkusz1!$AD$87:$AD$98</c:f>
                <c:numCache>
                  <c:formatCode>General</c:formatCode>
                  <c:ptCount val="12"/>
                  <c:pt idx="0">
                    <c:v>3.3530619809944935E-2</c:v>
                  </c:pt>
                  <c:pt idx="1">
                    <c:v>5.0341451854250548E-2</c:v>
                  </c:pt>
                  <c:pt idx="2">
                    <c:v>6.7152375822649574E-2</c:v>
                  </c:pt>
                  <c:pt idx="3">
                    <c:v>8.3963336500741267E-2</c:v>
                  </c:pt>
                  <c:pt idx="4">
                    <c:v>0.10077431551702469</c:v>
                  </c:pt>
                  <c:pt idx="5">
                    <c:v>0.10077431551702469</c:v>
                  </c:pt>
                  <c:pt idx="6">
                    <c:v>0.10077431551702469</c:v>
                  </c:pt>
                  <c:pt idx="7">
                    <c:v>0.10077431551702469</c:v>
                  </c:pt>
                  <c:pt idx="8">
                    <c:v>0.11758530500615615</c:v>
                  </c:pt>
                  <c:pt idx="9">
                    <c:v>0.11758530500615615</c:v>
                  </c:pt>
                  <c:pt idx="10">
                    <c:v>0.11758530500615615</c:v>
                  </c:pt>
                  <c:pt idx="11">
                    <c:v>0.11758530500615615</c:v>
                  </c:pt>
                </c:numCache>
              </c:numRef>
            </c:plus>
            <c:minus>
              <c:numRef>
                <c:f>Arkusz1!$AD$87:$AD$98</c:f>
                <c:numCache>
                  <c:formatCode>General</c:formatCode>
                  <c:ptCount val="12"/>
                  <c:pt idx="0">
                    <c:v>3.3530619809944935E-2</c:v>
                  </c:pt>
                  <c:pt idx="1">
                    <c:v>5.0341451854250548E-2</c:v>
                  </c:pt>
                  <c:pt idx="2">
                    <c:v>6.7152375822649574E-2</c:v>
                  </c:pt>
                  <c:pt idx="3">
                    <c:v>8.3963336500741267E-2</c:v>
                  </c:pt>
                  <c:pt idx="4">
                    <c:v>0.10077431551702469</c:v>
                  </c:pt>
                  <c:pt idx="5">
                    <c:v>0.10077431551702469</c:v>
                  </c:pt>
                  <c:pt idx="6">
                    <c:v>0.10077431551702469</c:v>
                  </c:pt>
                  <c:pt idx="7">
                    <c:v>0.10077431551702469</c:v>
                  </c:pt>
                  <c:pt idx="8">
                    <c:v>0.11758530500615615</c:v>
                  </c:pt>
                  <c:pt idx="9">
                    <c:v>0.11758530500615615</c:v>
                  </c:pt>
                  <c:pt idx="10">
                    <c:v>0.11758530500615615</c:v>
                  </c:pt>
                  <c:pt idx="11">
                    <c:v>0.11758530500615615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Arkusz1!$AA$58:$AA$68</c:f>
              <c:numCache>
                <c:formatCode>General</c:formatCode>
                <c:ptCount val="11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</c:numCache>
            </c:numRef>
          </c:xVal>
          <c:yVal>
            <c:numRef>
              <c:f>Arkusz1!$AC$58:$AC$68</c:f>
              <c:numCache>
                <c:formatCode>General</c:formatCode>
                <c:ptCount val="11"/>
                <c:pt idx="0">
                  <c:v>0.43746847414717199</c:v>
                </c:pt>
                <c:pt idx="1">
                  <c:v>0.31138585714405692</c:v>
                </c:pt>
                <c:pt idx="2">
                  <c:v>0.18530324014094177</c:v>
                </c:pt>
                <c:pt idx="3">
                  <c:v>5.9220623137826681E-2</c:v>
                </c:pt>
                <c:pt idx="4">
                  <c:v>-6.6861993865288391E-2</c:v>
                </c:pt>
                <c:pt idx="5">
                  <c:v>-6.6861993865288391E-2</c:v>
                </c:pt>
                <c:pt idx="6">
                  <c:v>-6.6861993865288391E-2</c:v>
                </c:pt>
                <c:pt idx="7">
                  <c:v>-6.6861993865288391E-2</c:v>
                </c:pt>
                <c:pt idx="8">
                  <c:v>-0.19294461086840348</c:v>
                </c:pt>
                <c:pt idx="9">
                  <c:v>-0.19294461086840348</c:v>
                </c:pt>
                <c:pt idx="10">
                  <c:v>-0.19294461086840348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5A-4265-8980-ECA750513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717455"/>
        <c:axId val="1859712463"/>
      </c:scatterChart>
      <c:valAx>
        <c:axId val="1859717455"/>
        <c:scaling>
          <c:orientation val="minMax"/>
          <c:max val="8.5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9712463"/>
        <c:crosses val="autoZero"/>
        <c:crossBetween val="midCat"/>
      </c:valAx>
      <c:valAx>
        <c:axId val="18597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 [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l-PL" sz="1000" b="0" i="0" u="none" strike="noStrike" baseline="0">
                    <a:effectLst/>
                  </a:rPr>
                  <a:t>T</a:t>
                </a:r>
                <a:r>
                  <a:rPr lang="pl-PL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9717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cewka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Arkusz1!$E$102:$E$109</c:f>
                <c:numCache>
                  <c:formatCode>General</c:formatCode>
                  <c:ptCount val="8"/>
                  <c:pt idx="0">
                    <c:v>0.38674536871985049</c:v>
                  </c:pt>
                  <c:pt idx="1">
                    <c:v>0.38674536871985049</c:v>
                  </c:pt>
                  <c:pt idx="2">
                    <c:v>0.38674536871985049</c:v>
                  </c:pt>
                  <c:pt idx="3">
                    <c:v>0.38674536871985049</c:v>
                  </c:pt>
                  <c:pt idx="4">
                    <c:v>0.38674536871985049</c:v>
                  </c:pt>
                  <c:pt idx="5">
                    <c:v>0.36993435524328244</c:v>
                  </c:pt>
                  <c:pt idx="6">
                    <c:v>0.36993435524328244</c:v>
                  </c:pt>
                  <c:pt idx="7">
                    <c:v>0.35312334197295819</c:v>
                  </c:pt>
                </c:numCache>
              </c:numRef>
            </c:plus>
            <c:minus>
              <c:numRef>
                <c:f>Arkusz1!$E$102:$E$109</c:f>
                <c:numCache>
                  <c:formatCode>General</c:formatCode>
                  <c:ptCount val="8"/>
                  <c:pt idx="0">
                    <c:v>0.38674536871985049</c:v>
                  </c:pt>
                  <c:pt idx="1">
                    <c:v>0.38674536871985049</c:v>
                  </c:pt>
                  <c:pt idx="2">
                    <c:v>0.38674536871985049</c:v>
                  </c:pt>
                  <c:pt idx="3">
                    <c:v>0.38674536871985049</c:v>
                  </c:pt>
                  <c:pt idx="4">
                    <c:v>0.38674536871985049</c:v>
                  </c:pt>
                  <c:pt idx="5">
                    <c:v>0.36993435524328244</c:v>
                  </c:pt>
                  <c:pt idx="6">
                    <c:v>0.36993435524328244</c:v>
                  </c:pt>
                  <c:pt idx="7">
                    <c:v>0.35312334197295819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Arkusz1!$K$57:$K$64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Arkusz1!$M$57:$M$64</c:f>
              <c:numCache>
                <c:formatCode>General</c:formatCode>
                <c:ptCount val="8"/>
                <c:pt idx="0">
                  <c:v>3.5895338992250494</c:v>
                </c:pt>
                <c:pt idx="1">
                  <c:v>3.5895338992250494</c:v>
                </c:pt>
                <c:pt idx="2">
                  <c:v>3.5895338992250494</c:v>
                </c:pt>
                <c:pt idx="3">
                  <c:v>3.5895338992250494</c:v>
                </c:pt>
                <c:pt idx="4">
                  <c:v>3.5895338992250494</c:v>
                </c:pt>
                <c:pt idx="5">
                  <c:v>3.4634512822219348</c:v>
                </c:pt>
                <c:pt idx="6">
                  <c:v>3.4634512822219348</c:v>
                </c:pt>
                <c:pt idx="7">
                  <c:v>3.3373686652188193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7-43AF-9DEB-2D6D4DA29B42}"/>
            </c:ext>
          </c:extLst>
        </c:ser>
        <c:ser>
          <c:idx val="1"/>
          <c:order val="1"/>
          <c:tx>
            <c:v>magnes neodymowy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Arkusz1!$T$103:$T$110</c:f>
                <c:numCache>
                  <c:formatCode>General</c:formatCode>
                  <c:ptCount val="8"/>
                  <c:pt idx="0">
                    <c:v>2.1290035919548718E-4</c:v>
                  </c:pt>
                  <c:pt idx="1">
                    <c:v>8.4147258563390032E-2</c:v>
                  </c:pt>
                  <c:pt idx="2">
                    <c:v>0.16820222729752993</c:v>
                  </c:pt>
                  <c:pt idx="3">
                    <c:v>0.25225726899122386</c:v>
                  </c:pt>
                  <c:pt idx="4">
                    <c:v>0.336312328939806</c:v>
                  </c:pt>
                  <c:pt idx="5">
                    <c:v>0.42036739619274316</c:v>
                  </c:pt>
                  <c:pt idx="6">
                    <c:v>0.50442246709852445</c:v>
                  </c:pt>
                  <c:pt idx="7">
                    <c:v>0.58847754009189002</c:v>
                  </c:pt>
                </c:numCache>
              </c:numRef>
            </c:plus>
            <c:minus>
              <c:numRef>
                <c:f>Arkusz1!$T$103:$T$110</c:f>
                <c:numCache>
                  <c:formatCode>General</c:formatCode>
                  <c:ptCount val="8"/>
                  <c:pt idx="0">
                    <c:v>2.1290035919548718E-4</c:v>
                  </c:pt>
                  <c:pt idx="1">
                    <c:v>8.4147258563390032E-2</c:v>
                  </c:pt>
                  <c:pt idx="2">
                    <c:v>0.16820222729752993</c:v>
                  </c:pt>
                  <c:pt idx="3">
                    <c:v>0.25225726899122386</c:v>
                  </c:pt>
                  <c:pt idx="4">
                    <c:v>0.336312328939806</c:v>
                  </c:pt>
                  <c:pt idx="5">
                    <c:v>0.42036739619274316</c:v>
                  </c:pt>
                  <c:pt idx="6">
                    <c:v>0.50442246709852445</c:v>
                  </c:pt>
                  <c:pt idx="7">
                    <c:v>0.58847754009189002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Arkusz1!$U$59:$U$66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Arkusz1!$X$59:$X$66</c:f>
              <c:numCache>
                <c:formatCode>General</c:formatCode>
                <c:ptCount val="8"/>
                <c:pt idx="0">
                  <c:v>4.7319188229805471</c:v>
                </c:pt>
                <c:pt idx="1">
                  <c:v>4.3536709719712015</c:v>
                </c:pt>
                <c:pt idx="2">
                  <c:v>3.8493405039587416</c:v>
                </c:pt>
                <c:pt idx="3">
                  <c:v>2.9667621849369357</c:v>
                </c:pt>
                <c:pt idx="4">
                  <c:v>2.3363490999213603</c:v>
                </c:pt>
                <c:pt idx="5">
                  <c:v>1.7059360149057847</c:v>
                </c:pt>
                <c:pt idx="6">
                  <c:v>1.2016055468933244</c:v>
                </c:pt>
                <c:pt idx="7">
                  <c:v>0.823357695883979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07-43AF-9DEB-2D6D4DA29B42}"/>
            </c:ext>
          </c:extLst>
        </c:ser>
        <c:ser>
          <c:idx val="2"/>
          <c:order val="2"/>
          <c:tx>
            <c:v>magnes ferrytowy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Arkusz1!$AE$103:$AE$110</c:f>
                <c:numCache>
                  <c:formatCode>General</c:formatCode>
                  <c:ptCount val="8"/>
                  <c:pt idx="0">
                    <c:v>3.3530619809944935E-2</c:v>
                  </c:pt>
                  <c:pt idx="1">
                    <c:v>5.0341451854250548E-2</c:v>
                  </c:pt>
                  <c:pt idx="2">
                    <c:v>6.7152375822649574E-2</c:v>
                  </c:pt>
                  <c:pt idx="3">
                    <c:v>8.3963336500741267E-2</c:v>
                  </c:pt>
                  <c:pt idx="4">
                    <c:v>0.10077431551702469</c:v>
                  </c:pt>
                  <c:pt idx="5">
                    <c:v>0.11758530500615615</c:v>
                  </c:pt>
                  <c:pt idx="6">
                    <c:v>0.11758530500615615</c:v>
                  </c:pt>
                  <c:pt idx="7">
                    <c:v>0.11758530500615615</c:v>
                  </c:pt>
                </c:numCache>
              </c:numRef>
            </c:plus>
            <c:minus>
              <c:numRef>
                <c:f>Arkusz1!$AE$103:$AE$110</c:f>
                <c:numCache>
                  <c:formatCode>General</c:formatCode>
                  <c:ptCount val="8"/>
                  <c:pt idx="0">
                    <c:v>3.3530619809944935E-2</c:v>
                  </c:pt>
                  <c:pt idx="1">
                    <c:v>5.0341451854250548E-2</c:v>
                  </c:pt>
                  <c:pt idx="2">
                    <c:v>6.7152375822649574E-2</c:v>
                  </c:pt>
                  <c:pt idx="3">
                    <c:v>8.3963336500741267E-2</c:v>
                  </c:pt>
                  <c:pt idx="4">
                    <c:v>0.10077431551702469</c:v>
                  </c:pt>
                  <c:pt idx="5">
                    <c:v>0.11758530500615615</c:v>
                  </c:pt>
                  <c:pt idx="6">
                    <c:v>0.11758530500615615</c:v>
                  </c:pt>
                  <c:pt idx="7">
                    <c:v>0.11758530500615615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Arkusz1!$AG$58:$AG$65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Arkusz1!$AI$58:$AI$65</c:f>
              <c:numCache>
                <c:formatCode>General</c:formatCode>
                <c:ptCount val="8"/>
                <c:pt idx="0">
                  <c:v>0.43746847414717199</c:v>
                </c:pt>
                <c:pt idx="1">
                  <c:v>0.31138585714405692</c:v>
                </c:pt>
                <c:pt idx="2">
                  <c:v>0.18530324014094177</c:v>
                </c:pt>
                <c:pt idx="3">
                  <c:v>5.9220623137826681E-2</c:v>
                </c:pt>
                <c:pt idx="4">
                  <c:v>-6.6861993865288391E-2</c:v>
                </c:pt>
                <c:pt idx="5">
                  <c:v>-0.19294461086840348</c:v>
                </c:pt>
                <c:pt idx="6">
                  <c:v>-0.19294461086840348</c:v>
                </c:pt>
                <c:pt idx="7">
                  <c:v>-0.19294461086840348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07-43AF-9DEB-2D6D4DA2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400303"/>
        <c:axId val="1757404047"/>
      </c:scatterChart>
      <c:valAx>
        <c:axId val="1757400303"/>
        <c:scaling>
          <c:orientation val="minMax"/>
          <c:max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h-r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7404047"/>
        <c:crosses val="autoZero"/>
        <c:crossBetween val="midCat"/>
      </c:valAx>
      <c:valAx>
        <c:axId val="175740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</a:t>
                </a:r>
                <a:r>
                  <a:rPr lang="pl-PL" baseline="0"/>
                  <a:t> [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l-PL" sz="1000" b="0" i="0" u="none" strike="noStrike" baseline="0">
                    <a:effectLst/>
                  </a:rPr>
                  <a:t>T]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740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Ih = 7,5 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Arkusz1!$S$18:$S$28</c:f>
              <c:numCache>
                <c:formatCode>General</c:formatCode>
                <c:ptCount val="11"/>
                <c:pt idx="0">
                  <c:v>-0.8</c:v>
                </c:pt>
                <c:pt idx="1">
                  <c:v>-0.3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  <c:pt idx="5" formatCode="0.0">
                  <c:v>1.3</c:v>
                </c:pt>
                <c:pt idx="6">
                  <c:v>1.8</c:v>
                </c:pt>
                <c:pt idx="7">
                  <c:v>2.2000000000000002</c:v>
                </c:pt>
                <c:pt idx="8">
                  <c:v>2.6</c:v>
                </c:pt>
                <c:pt idx="9">
                  <c:v>3.1</c:v>
                </c:pt>
                <c:pt idx="10">
                  <c:v>3.4</c:v>
                </c:pt>
              </c:numCache>
            </c:numRef>
          </c:xVal>
          <c:yVal>
            <c:numRef>
              <c:f>Arkusz1!$U$18:$U$28</c:f>
              <c:numCache>
                <c:formatCode>0.00</c:formatCode>
                <c:ptCount val="11"/>
                <c:pt idx="0">
                  <c:v>0</c:v>
                </c:pt>
                <c:pt idx="1">
                  <c:v>0.52911034165722837</c:v>
                </c:pt>
                <c:pt idx="2">
                  <c:v>1.0582206833144567</c:v>
                </c:pt>
                <c:pt idx="3">
                  <c:v>1.587331024971685</c:v>
                </c:pt>
                <c:pt idx="4">
                  <c:v>2.1164413666289135</c:v>
                </c:pt>
                <c:pt idx="5">
                  <c:v>2.6455517082861415</c:v>
                </c:pt>
                <c:pt idx="6">
                  <c:v>3.17466204994337</c:v>
                </c:pt>
                <c:pt idx="7">
                  <c:v>3.7037723916005985</c:v>
                </c:pt>
                <c:pt idx="8">
                  <c:v>4.2328827332578269</c:v>
                </c:pt>
                <c:pt idx="9">
                  <c:v>4.7619930749150559</c:v>
                </c:pt>
                <c:pt idx="10">
                  <c:v>5.291103416572283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55-478D-8EBB-94C8087B1A5C}"/>
            </c:ext>
          </c:extLst>
        </c:ser>
        <c:ser>
          <c:idx val="1"/>
          <c:order val="1"/>
          <c:tx>
            <c:v>Ih = -7,5 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Arkusz1!$U$4:$U$14</c:f>
              <c:numCache>
                <c:formatCode>General</c:formatCode>
                <c:ptCount val="11"/>
                <c:pt idx="0">
                  <c:v>-0.8</c:v>
                </c:pt>
                <c:pt idx="1">
                  <c:v>-1.4</c:v>
                </c:pt>
                <c:pt idx="2">
                  <c:v>-1.8</c:v>
                </c:pt>
                <c:pt idx="3">
                  <c:v>-2.2999999999999998</c:v>
                </c:pt>
                <c:pt idx="4">
                  <c:v>-2.7</c:v>
                </c:pt>
                <c:pt idx="5">
                  <c:v>-3.1</c:v>
                </c:pt>
                <c:pt idx="6">
                  <c:v>-3.5</c:v>
                </c:pt>
                <c:pt idx="7">
                  <c:v>-3.9</c:v>
                </c:pt>
                <c:pt idx="8">
                  <c:v>-4.3</c:v>
                </c:pt>
                <c:pt idx="9">
                  <c:v>-4.7</c:v>
                </c:pt>
                <c:pt idx="10">
                  <c:v>-5.0999999999999996</c:v>
                </c:pt>
              </c:numCache>
            </c:numRef>
          </c:xVal>
          <c:yVal>
            <c:numRef>
              <c:f>Arkusz1!$Y$4:$Y$14</c:f>
              <c:numCache>
                <c:formatCode>General</c:formatCode>
                <c:ptCount val="11"/>
                <c:pt idx="0">
                  <c:v>0</c:v>
                </c:pt>
                <c:pt idx="1">
                  <c:v>-0.52911034165722837</c:v>
                </c:pt>
                <c:pt idx="2">
                  <c:v>-1.0582206833144567</c:v>
                </c:pt>
                <c:pt idx="3">
                  <c:v>-1.587331024971685</c:v>
                </c:pt>
                <c:pt idx="4">
                  <c:v>-2.1164413666289135</c:v>
                </c:pt>
                <c:pt idx="5">
                  <c:v>-2.6455517082861415</c:v>
                </c:pt>
                <c:pt idx="6">
                  <c:v>-3.17466204994337</c:v>
                </c:pt>
                <c:pt idx="7">
                  <c:v>-3.7037723916005985</c:v>
                </c:pt>
                <c:pt idx="8">
                  <c:v>-4.2328827332578269</c:v>
                </c:pt>
                <c:pt idx="9">
                  <c:v>-4.7619930749150559</c:v>
                </c:pt>
                <c:pt idx="10">
                  <c:v>-5.291103416572283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55-478D-8EBB-94C8087B1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674592"/>
        <c:axId val="1146657120"/>
      </c:scatterChart>
      <c:valAx>
        <c:axId val="11466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U [V]</a:t>
                </a:r>
                <a:endParaRPr lang="pl-PL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4769444444444448"/>
              <c:y val="0.8071759259259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6657120"/>
        <c:crosses val="autoZero"/>
        <c:crossBetween val="midCat"/>
      </c:valAx>
      <c:valAx>
        <c:axId val="11466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B [</a:t>
                </a:r>
                <a:r>
                  <a:rPr lang="el-GR" sz="1000" b="0" i="0" baseline="0">
                    <a:effectLst/>
                  </a:rPr>
                  <a:t>μ</a:t>
                </a:r>
                <a:r>
                  <a:rPr lang="pl-PL" sz="1000" b="0" i="0" baseline="0">
                    <a:effectLst/>
                  </a:rPr>
                  <a:t>T]</a:t>
                </a:r>
                <a:endParaRPr lang="pl-PL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829002780025281E-2"/>
              <c:y val="0.353871071452402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667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7695581802274719"/>
          <c:y val="0.88946704578594338"/>
          <c:w val="0.31138082537769229"/>
          <c:h val="7.2224817158120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Ih = 3,5mA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Arkusz1!$E$102:$E$109</c:f>
                <c:numCache>
                  <c:formatCode>General</c:formatCode>
                  <c:ptCount val="8"/>
                  <c:pt idx="0">
                    <c:v>0.38674536871985049</c:v>
                  </c:pt>
                  <c:pt idx="1">
                    <c:v>0.38674536871985049</c:v>
                  </c:pt>
                  <c:pt idx="2">
                    <c:v>0.38674536871985049</c:v>
                  </c:pt>
                  <c:pt idx="3">
                    <c:v>0.38674536871985049</c:v>
                  </c:pt>
                  <c:pt idx="4">
                    <c:v>0.38674536871985049</c:v>
                  </c:pt>
                  <c:pt idx="5">
                    <c:v>0.36993435524328244</c:v>
                  </c:pt>
                  <c:pt idx="6">
                    <c:v>0.36993435524328244</c:v>
                  </c:pt>
                  <c:pt idx="7">
                    <c:v>0.35312334197295819</c:v>
                  </c:pt>
                </c:numCache>
              </c:numRef>
            </c:plus>
            <c:minus>
              <c:numRef>
                <c:f>Arkusz1!$E$102:$E$109</c:f>
                <c:numCache>
                  <c:formatCode>General</c:formatCode>
                  <c:ptCount val="8"/>
                  <c:pt idx="0">
                    <c:v>0.38674536871985049</c:v>
                  </c:pt>
                  <c:pt idx="1">
                    <c:v>0.38674536871985049</c:v>
                  </c:pt>
                  <c:pt idx="2">
                    <c:v>0.38674536871985049</c:v>
                  </c:pt>
                  <c:pt idx="3">
                    <c:v>0.38674536871985049</c:v>
                  </c:pt>
                  <c:pt idx="4">
                    <c:v>0.38674536871985049</c:v>
                  </c:pt>
                  <c:pt idx="5">
                    <c:v>0.36993435524328244</c:v>
                  </c:pt>
                  <c:pt idx="6">
                    <c:v>0.36993435524328244</c:v>
                  </c:pt>
                  <c:pt idx="7">
                    <c:v>0.35312334197295819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Arkusz1!$B$102:$B$109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Arkusz1!$G$102:$G$109</c:f>
              <c:numCache>
                <c:formatCode>0.00</c:formatCode>
                <c:ptCount val="8"/>
                <c:pt idx="0">
                  <c:v>5.3395338992250494</c:v>
                </c:pt>
                <c:pt idx="1">
                  <c:v>5.3395338992250494</c:v>
                </c:pt>
                <c:pt idx="2">
                  <c:v>5.3395338992250494</c:v>
                </c:pt>
                <c:pt idx="3">
                  <c:v>5.3395338992250494</c:v>
                </c:pt>
                <c:pt idx="4">
                  <c:v>5.3395338992250494</c:v>
                </c:pt>
                <c:pt idx="5">
                  <c:v>5.2134512822219348</c:v>
                </c:pt>
                <c:pt idx="6">
                  <c:v>5.2134512822219348</c:v>
                </c:pt>
                <c:pt idx="7">
                  <c:v>5.0873686652188193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7-417D-B8D2-692D92E03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53392"/>
        <c:axId val="777955888"/>
      </c:scatterChart>
      <c:scatterChart>
        <c:scatterStyle val="smoothMarker"/>
        <c:varyColors val="0"/>
        <c:ser>
          <c:idx val="1"/>
          <c:order val="1"/>
          <c:tx>
            <c:v>Ih = 3,5mA 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Arkusz1!$B$102:$B$109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numCache>
            </c:numRef>
          </c:xVal>
          <c:yVal>
            <c:numRef>
              <c:f>Arkusz1!$F$102:$F$109</c:f>
              <c:numCache>
                <c:formatCode>0.000</c:formatCode>
                <c:ptCount val="8"/>
                <c:pt idx="0">
                  <c:v>5.291103416572283</c:v>
                </c:pt>
                <c:pt idx="1">
                  <c:v>5.2911034165624917</c:v>
                </c:pt>
                <c:pt idx="2">
                  <c:v>5.2911033764650286</c:v>
                </c:pt>
                <c:pt idx="3">
                  <c:v>5.2910982128079986</c:v>
                </c:pt>
                <c:pt idx="4">
                  <c:v>5.2909391423579946</c:v>
                </c:pt>
                <c:pt idx="5">
                  <c:v>5.288713917512772</c:v>
                </c:pt>
                <c:pt idx="6">
                  <c:v>5.269874296318811</c:v>
                </c:pt>
                <c:pt idx="7">
                  <c:v>5.1589570789400669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57-417D-B8D2-692D92E03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53392"/>
        <c:axId val="777955888"/>
      </c:scatterChart>
      <c:valAx>
        <c:axId val="7779533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h-r [cm]</a:t>
                </a:r>
                <a:endParaRPr lang="pl-PL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788779527559053"/>
              <c:y val="0.78203630796150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7955888"/>
        <c:crosses val="autoZero"/>
        <c:crossBetween val="midCat"/>
      </c:valAx>
      <c:valAx>
        <c:axId val="777955888"/>
        <c:scaling>
          <c:orientation val="minMax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B [</a:t>
                </a:r>
                <a:r>
                  <a:rPr lang="el-GR" sz="1000" b="0" i="0" baseline="0">
                    <a:effectLst/>
                  </a:rPr>
                  <a:t>μ</a:t>
                </a:r>
                <a:r>
                  <a:rPr lang="pl-PL" sz="1000" b="0" i="0" baseline="0">
                    <a:effectLst/>
                  </a:rPr>
                  <a:t>T]</a:t>
                </a:r>
                <a:endParaRPr lang="pl-P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79533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452270</xdr:colOff>
      <xdr:row>0</xdr:row>
      <xdr:rowOff>0</xdr:rowOff>
    </xdr:from>
    <xdr:to>
      <xdr:col>33</xdr:col>
      <xdr:colOff>406550</xdr:colOff>
      <xdr:row>16</xdr:row>
      <xdr:rowOff>26894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198D441-B848-463C-B00B-CD20FB49A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281940</xdr:colOff>
      <xdr:row>17</xdr:row>
      <xdr:rowOff>106680</xdr:rowOff>
    </xdr:from>
    <xdr:to>
      <xdr:col>33</xdr:col>
      <xdr:colOff>480060</xdr:colOff>
      <xdr:row>33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9DDCC91-261E-4AA1-9373-6858CF0C8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50586</xdr:colOff>
      <xdr:row>54</xdr:row>
      <xdr:rowOff>82283</xdr:rowOff>
    </xdr:from>
    <xdr:to>
      <xdr:col>45</xdr:col>
      <xdr:colOff>371715</xdr:colOff>
      <xdr:row>69</xdr:row>
      <xdr:rowOff>44183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2EFF620-89FB-4CD6-8331-CD4B2C429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94130</xdr:colOff>
      <xdr:row>70</xdr:row>
      <xdr:rowOff>35858</xdr:rowOff>
    </xdr:from>
    <xdr:to>
      <xdr:col>45</xdr:col>
      <xdr:colOff>398930</xdr:colOff>
      <xdr:row>85</xdr:row>
      <xdr:rowOff>89646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7175CB8-D33E-4BFD-A74E-0CA16CE2B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112058</xdr:colOff>
      <xdr:row>86</xdr:row>
      <xdr:rowOff>134471</xdr:rowOff>
    </xdr:from>
    <xdr:to>
      <xdr:col>45</xdr:col>
      <xdr:colOff>416858</xdr:colOff>
      <xdr:row>102</xdr:row>
      <xdr:rowOff>8965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CC50236-6E14-4F76-B994-0B5C1A7BE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219634</xdr:colOff>
      <xdr:row>16</xdr:row>
      <xdr:rowOff>125505</xdr:rowOff>
    </xdr:from>
    <xdr:to>
      <xdr:col>42</xdr:col>
      <xdr:colOff>349623</xdr:colOff>
      <xdr:row>33</xdr:row>
      <xdr:rowOff>44823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E938C37C-ADB6-1467-2FEF-8ADED6942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744071</xdr:colOff>
      <xdr:row>141</xdr:row>
      <xdr:rowOff>80682</xdr:rowOff>
    </xdr:from>
    <xdr:to>
      <xdr:col>6</xdr:col>
      <xdr:colOff>376518</xdr:colOff>
      <xdr:row>156</xdr:row>
      <xdr:rowOff>134471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3655119-07AA-63FF-A881-2C007F9C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9694-740C-4FE3-808F-025FFD2E1A8E}">
  <dimension ref="A1:AP139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14.33203125" customWidth="1"/>
    <col min="2" max="2" width="10" customWidth="1"/>
    <col min="3" max="3" width="9.5546875" customWidth="1"/>
    <col min="4" max="4" width="12.44140625" customWidth="1"/>
    <col min="5" max="5" width="13" customWidth="1"/>
    <col min="6" max="6" width="12.6640625" bestFit="1" customWidth="1"/>
    <col min="7" max="7" width="11.5546875" customWidth="1"/>
    <col min="8" max="10" width="10.77734375" bestFit="1" customWidth="1"/>
    <col min="12" max="12" width="10.21875" customWidth="1"/>
    <col min="13" max="13" width="13.21875" customWidth="1"/>
    <col min="14" max="14" width="11" bestFit="1" customWidth="1"/>
    <col min="16" max="16" width="14.6640625" customWidth="1"/>
    <col min="18" max="18" width="9.88671875" customWidth="1"/>
    <col min="19" max="19" width="12.77734375" customWidth="1"/>
    <col min="20" max="20" width="12.21875" customWidth="1"/>
    <col min="21" max="21" width="11.6640625" customWidth="1"/>
    <col min="22" max="22" width="12.5546875" customWidth="1"/>
    <col min="23" max="23" width="11" bestFit="1" customWidth="1"/>
    <col min="24" max="24" width="9.109375" bestFit="1" customWidth="1"/>
    <col min="27" max="27" width="13.44140625" customWidth="1"/>
    <col min="29" max="29" width="10.33203125" customWidth="1"/>
    <col min="30" max="30" width="12.6640625" customWidth="1"/>
    <col min="31" max="31" width="12.33203125" customWidth="1"/>
    <col min="37" max="37" width="9.77734375" bestFit="1" customWidth="1"/>
    <col min="38" max="38" width="9" bestFit="1" customWidth="1"/>
    <col min="41" max="41" width="9.77734375" bestFit="1" customWidth="1"/>
    <col min="42" max="42" width="9" bestFit="1" customWidth="1"/>
  </cols>
  <sheetData>
    <row r="1" spans="1:26" x14ac:dyDescent="0.3">
      <c r="B1" t="s">
        <v>27</v>
      </c>
      <c r="C1" s="8">
        <f>4*PI()*10^(-7)</f>
        <v>1.2566370614359173E-6</v>
      </c>
      <c r="H1" t="s">
        <v>28</v>
      </c>
      <c r="I1">
        <v>40</v>
      </c>
    </row>
    <row r="3" spans="1:26" x14ac:dyDescent="0.3">
      <c r="A3" t="s">
        <v>3</v>
      </c>
      <c r="B3" t="s">
        <v>4</v>
      </c>
      <c r="C3" t="s">
        <v>25</v>
      </c>
      <c r="D3" t="s">
        <v>5</v>
      </c>
      <c r="E3" t="s">
        <v>26</v>
      </c>
      <c r="F3" t="s">
        <v>31</v>
      </c>
      <c r="I3" t="s">
        <v>3</v>
      </c>
      <c r="J3" t="s">
        <v>4</v>
      </c>
      <c r="K3" t="s">
        <v>25</v>
      </c>
      <c r="L3" t="s">
        <v>5</v>
      </c>
      <c r="M3" t="s">
        <v>26</v>
      </c>
      <c r="N3" t="s">
        <v>31</v>
      </c>
      <c r="Q3" t="s">
        <v>3</v>
      </c>
      <c r="R3" t="s">
        <v>4</v>
      </c>
      <c r="S3" t="s">
        <v>25</v>
      </c>
      <c r="T3" t="s">
        <v>5</v>
      </c>
      <c r="U3" t="s">
        <v>14</v>
      </c>
      <c r="V3" t="s">
        <v>26</v>
      </c>
      <c r="W3" t="s">
        <v>31</v>
      </c>
      <c r="X3" t="s">
        <v>33</v>
      </c>
    </row>
    <row r="4" spans="1:26" x14ac:dyDescent="0.3">
      <c r="A4">
        <v>3.5</v>
      </c>
      <c r="B4">
        <v>0</v>
      </c>
      <c r="C4">
        <f>B4*0.001</f>
        <v>0</v>
      </c>
      <c r="D4">
        <v>-0.4</v>
      </c>
      <c r="E4" s="7">
        <f>$C$1*$I$1*C4/(2*$A$11)</f>
        <v>0</v>
      </c>
      <c r="F4" s="6">
        <f>SQRT(($C$1*$I$1/(2*$A$11)*10^(-3))^2+(-$C$1*$I$1*$C4/(2*$A$11^2)*0.001)^2)</f>
        <v>5.291103416572284E-7</v>
      </c>
      <c r="I4">
        <v>5</v>
      </c>
      <c r="J4">
        <v>0</v>
      </c>
      <c r="K4">
        <f>J4*0.001</f>
        <v>0</v>
      </c>
      <c r="L4">
        <v>-0.5</v>
      </c>
      <c r="M4" s="7">
        <f>$C$1*$I$1*K4/(2*$A$11)</f>
        <v>0</v>
      </c>
      <c r="N4" s="7">
        <f>SQRT(($C$1*$I$1/(2*$A$11)*10^(-3))^2+(-$C$1*$I$1*$K4/(2*$A$11^2)*0.001)^2)</f>
        <v>5.291103416572284E-7</v>
      </c>
      <c r="Q4">
        <v>7.5</v>
      </c>
      <c r="R4">
        <v>0</v>
      </c>
      <c r="S4">
        <f>R4*0.001</f>
        <v>0</v>
      </c>
      <c r="T4">
        <v>-0.8</v>
      </c>
      <c r="U4">
        <v>-0.8</v>
      </c>
      <c r="V4" s="7">
        <f>$C$1*$I$1*S4/(2*$A$11)*10^6</f>
        <v>0</v>
      </c>
      <c r="W4" s="7">
        <f>SQRT(($C$1*$I$1/(2*$A$11)*10^(-3))^2+(-$C$1*$I$1*$S4/(2*$A$11^2)*0.001)^2)</f>
        <v>5.291103416572284E-7</v>
      </c>
      <c r="X4">
        <f>(-1)*V4</f>
        <v>0</v>
      </c>
      <c r="Y4">
        <f>X4*10^6</f>
        <v>0</v>
      </c>
    </row>
    <row r="5" spans="1:26" x14ac:dyDescent="0.3">
      <c r="B5">
        <v>1</v>
      </c>
      <c r="C5">
        <f t="shared" ref="C5:C14" si="0">B5*0.001</f>
        <v>1E-3</v>
      </c>
      <c r="D5">
        <v>-0.1</v>
      </c>
      <c r="E5" s="7">
        <f t="shared" ref="E5:E14" si="1">$C$1*$I$1*C5/(2*$A$11)</f>
        <v>5.291103416572284E-7</v>
      </c>
      <c r="F5" s="6">
        <f t="shared" ref="F5:F14" si="2">SQRT(($C$1*$I$1/(2*$A$11)*10^(-3))^2+(-$C$1*$I$1*$C5/(2*$A$11^2)*0.001)^2)</f>
        <v>5.2922758303727522E-7</v>
      </c>
      <c r="J5">
        <v>1</v>
      </c>
      <c r="K5">
        <f t="shared" ref="K5:K14" si="3">J5*0.001</f>
        <v>1E-3</v>
      </c>
      <c r="L5">
        <v>-0.2</v>
      </c>
      <c r="M5" s="7">
        <f t="shared" ref="M5:M14" si="4">$C$1*$I$1*K5/(2*$A$11)</f>
        <v>5.291103416572284E-7</v>
      </c>
      <c r="N5" s="7">
        <f t="shared" ref="N5:N14" si="5">SQRT(($C$1*$I$1/(2*$A$11)*10^(-3))^2+(-$C$1*$I$1*$C5/(2*$A$11^2)*0.001)^2)</f>
        <v>5.2922758303727522E-7</v>
      </c>
      <c r="R5">
        <v>1</v>
      </c>
      <c r="S5">
        <f t="shared" ref="S5:S14" si="6">R5*0.001</f>
        <v>1E-3</v>
      </c>
      <c r="T5">
        <v>-0.3</v>
      </c>
      <c r="U5">
        <v>-1.4</v>
      </c>
      <c r="V5" s="7">
        <f t="shared" ref="V5:V14" si="7">$C$1*$I$1*S5/(2*$A$11)</f>
        <v>5.291103416572284E-7</v>
      </c>
      <c r="W5" s="7">
        <f t="shared" ref="W5:W14" si="8">SQRT(($C$1*$I$1/(2*$A$11)*10^(-3))^2+(-$C$1*$I$1*$S5/(2*$A$11^2)*0.001)^2)</f>
        <v>5.2922758303727522E-7</v>
      </c>
      <c r="X5">
        <f t="shared" ref="X5:X14" si="9">(-1)*V5</f>
        <v>-5.291103416572284E-7</v>
      </c>
      <c r="Y5">
        <f t="shared" ref="Y5:Y14" si="10">X5*10^6</f>
        <v>-0.52911034165722837</v>
      </c>
    </row>
    <row r="6" spans="1:26" x14ac:dyDescent="0.3">
      <c r="A6" t="s">
        <v>7</v>
      </c>
      <c r="B6">
        <v>2</v>
      </c>
      <c r="C6">
        <f t="shared" si="0"/>
        <v>2E-3</v>
      </c>
      <c r="D6">
        <v>0</v>
      </c>
      <c r="E6" s="7">
        <f t="shared" si="1"/>
        <v>1.0582206833144568E-6</v>
      </c>
      <c r="F6" s="6">
        <f t="shared" si="2"/>
        <v>5.2957915144387729E-7</v>
      </c>
      <c r="I6" t="s">
        <v>7</v>
      </c>
      <c r="J6">
        <v>2</v>
      </c>
      <c r="K6">
        <f t="shared" si="3"/>
        <v>2E-3</v>
      </c>
      <c r="L6">
        <v>0</v>
      </c>
      <c r="M6" s="7">
        <f t="shared" si="4"/>
        <v>1.0582206833144568E-6</v>
      </c>
      <c r="N6" s="7">
        <f t="shared" si="5"/>
        <v>5.2957915144387729E-7</v>
      </c>
      <c r="Q6" t="s">
        <v>7</v>
      </c>
      <c r="R6">
        <v>2</v>
      </c>
      <c r="S6">
        <f t="shared" si="6"/>
        <v>2E-3</v>
      </c>
      <c r="T6">
        <v>0.1</v>
      </c>
      <c r="U6">
        <v>-1.8</v>
      </c>
      <c r="V6" s="7">
        <f t="shared" si="7"/>
        <v>1.0582206833144568E-6</v>
      </c>
      <c r="W6" s="7">
        <f t="shared" si="8"/>
        <v>5.2957915144387729E-7</v>
      </c>
      <c r="X6">
        <f t="shared" si="9"/>
        <v>-1.0582206833144568E-6</v>
      </c>
      <c r="Y6">
        <f t="shared" si="10"/>
        <v>-1.0582206833144567</v>
      </c>
    </row>
    <row r="7" spans="1:26" x14ac:dyDescent="0.3">
      <c r="A7">
        <v>95</v>
      </c>
      <c r="B7">
        <v>3</v>
      </c>
      <c r="C7">
        <f t="shared" si="0"/>
        <v>3.0000000000000001E-3</v>
      </c>
      <c r="D7">
        <v>0.2</v>
      </c>
      <c r="E7" s="7">
        <f t="shared" si="1"/>
        <v>1.587331024971685E-6</v>
      </c>
      <c r="F7" s="6">
        <f t="shared" si="2"/>
        <v>5.301645807089081E-7</v>
      </c>
      <c r="I7">
        <v>95</v>
      </c>
      <c r="J7">
        <v>3</v>
      </c>
      <c r="K7">
        <f t="shared" si="3"/>
        <v>3.0000000000000001E-3</v>
      </c>
      <c r="L7">
        <v>0.3</v>
      </c>
      <c r="M7" s="7">
        <f t="shared" si="4"/>
        <v>1.587331024971685E-6</v>
      </c>
      <c r="N7" s="7">
        <f t="shared" si="5"/>
        <v>5.301645807089081E-7</v>
      </c>
      <c r="Q7">
        <v>95</v>
      </c>
      <c r="R7">
        <v>3</v>
      </c>
      <c r="S7">
        <f t="shared" si="6"/>
        <v>3.0000000000000001E-3</v>
      </c>
      <c r="T7">
        <v>0.5</v>
      </c>
      <c r="U7">
        <v>-2.2999999999999998</v>
      </c>
      <c r="V7" s="7">
        <f t="shared" si="7"/>
        <v>1.587331024971685E-6</v>
      </c>
      <c r="W7" s="7">
        <f t="shared" si="8"/>
        <v>5.301645807089081E-7</v>
      </c>
      <c r="X7">
        <f t="shared" si="9"/>
        <v>-1.587331024971685E-6</v>
      </c>
      <c r="Y7">
        <f t="shared" si="10"/>
        <v>-1.587331024971685</v>
      </c>
    </row>
    <row r="8" spans="1:26" x14ac:dyDescent="0.3">
      <c r="A8" t="s">
        <v>6</v>
      </c>
      <c r="B8">
        <v>4</v>
      </c>
      <c r="C8">
        <f t="shared" si="0"/>
        <v>4.0000000000000001E-3</v>
      </c>
      <c r="D8">
        <v>0.4</v>
      </c>
      <c r="E8" s="7">
        <f t="shared" si="1"/>
        <v>2.1164413666289136E-6</v>
      </c>
      <c r="F8" s="6">
        <f t="shared" si="2"/>
        <v>5.3098309731118706E-7</v>
      </c>
      <c r="I8" t="s">
        <v>6</v>
      </c>
      <c r="J8">
        <v>4</v>
      </c>
      <c r="K8">
        <f t="shared" si="3"/>
        <v>4.0000000000000001E-3</v>
      </c>
      <c r="L8">
        <v>0.6</v>
      </c>
      <c r="M8" s="7">
        <f t="shared" si="4"/>
        <v>2.1164413666289136E-6</v>
      </c>
      <c r="N8" s="7">
        <f t="shared" si="5"/>
        <v>5.3098309731118706E-7</v>
      </c>
      <c r="Q8" t="s">
        <v>6</v>
      </c>
      <c r="R8">
        <v>4</v>
      </c>
      <c r="S8">
        <f t="shared" si="6"/>
        <v>4.0000000000000001E-3</v>
      </c>
      <c r="T8">
        <v>1</v>
      </c>
      <c r="U8">
        <v>-2.7</v>
      </c>
      <c r="V8" s="7">
        <f t="shared" si="7"/>
        <v>2.1164413666289136E-6</v>
      </c>
      <c r="W8" s="7">
        <f t="shared" si="8"/>
        <v>5.3098309731118706E-7</v>
      </c>
      <c r="X8">
        <f t="shared" si="9"/>
        <v>-2.1164413666289136E-6</v>
      </c>
      <c r="Y8">
        <f t="shared" si="10"/>
        <v>-2.1164413666289135</v>
      </c>
    </row>
    <row r="9" spans="1:26" x14ac:dyDescent="0.3">
      <c r="A9">
        <f>A7/2</f>
        <v>47.5</v>
      </c>
      <c r="B9">
        <v>5</v>
      </c>
      <c r="C9">
        <f t="shared" si="0"/>
        <v>5.0000000000000001E-3</v>
      </c>
      <c r="D9">
        <v>0.6</v>
      </c>
      <c r="E9" s="7">
        <f t="shared" si="1"/>
        <v>2.6455517082861416E-6</v>
      </c>
      <c r="F9" s="6">
        <f t="shared" si="2"/>
        <v>5.3203362545971183E-7</v>
      </c>
      <c r="I9">
        <f>I7/2</f>
        <v>47.5</v>
      </c>
      <c r="J9">
        <v>5</v>
      </c>
      <c r="K9">
        <f t="shared" si="3"/>
        <v>5.0000000000000001E-3</v>
      </c>
      <c r="L9">
        <v>0.9</v>
      </c>
      <c r="M9" s="7">
        <f t="shared" si="4"/>
        <v>2.6455517082861416E-6</v>
      </c>
      <c r="N9" s="7">
        <f t="shared" si="5"/>
        <v>5.3203362545971183E-7</v>
      </c>
      <c r="Q9">
        <f>Q7/2</f>
        <v>47.5</v>
      </c>
      <c r="R9">
        <v>5</v>
      </c>
      <c r="S9">
        <f t="shared" si="6"/>
        <v>5.0000000000000001E-3</v>
      </c>
      <c r="T9" s="1">
        <v>1.3</v>
      </c>
      <c r="U9">
        <v>-3.1</v>
      </c>
      <c r="V9" s="7">
        <f t="shared" si="7"/>
        <v>2.6455517082861416E-6</v>
      </c>
      <c r="W9" s="7">
        <f t="shared" si="8"/>
        <v>5.3203362545971183E-7</v>
      </c>
      <c r="X9">
        <f t="shared" si="9"/>
        <v>-2.6455517082861416E-6</v>
      </c>
      <c r="Y9">
        <f t="shared" si="10"/>
        <v>-2.6455517082861415</v>
      </c>
    </row>
    <row r="10" spans="1:26" x14ac:dyDescent="0.3">
      <c r="A10" t="s">
        <v>29</v>
      </c>
      <c r="B10">
        <v>6</v>
      </c>
      <c r="C10">
        <f t="shared" si="0"/>
        <v>6.0000000000000001E-3</v>
      </c>
      <c r="D10">
        <v>0.8</v>
      </c>
      <c r="E10" s="7">
        <f t="shared" si="1"/>
        <v>3.17466204994337E-6</v>
      </c>
      <c r="F10" s="6">
        <f t="shared" si="2"/>
        <v>5.3331479410112221E-7</v>
      </c>
      <c r="I10" t="s">
        <v>29</v>
      </c>
      <c r="J10">
        <v>6</v>
      </c>
      <c r="K10">
        <f t="shared" si="3"/>
        <v>6.0000000000000001E-3</v>
      </c>
      <c r="L10">
        <v>1.1000000000000001</v>
      </c>
      <c r="M10" s="7">
        <f t="shared" si="4"/>
        <v>3.17466204994337E-6</v>
      </c>
      <c r="N10" s="7">
        <f t="shared" si="5"/>
        <v>5.3331479410112221E-7</v>
      </c>
      <c r="Q10" t="s">
        <v>29</v>
      </c>
      <c r="R10">
        <v>6</v>
      </c>
      <c r="S10">
        <f t="shared" si="6"/>
        <v>6.0000000000000001E-3</v>
      </c>
      <c r="T10">
        <v>1.8</v>
      </c>
      <c r="U10">
        <v>-3.5</v>
      </c>
      <c r="V10" s="7">
        <f t="shared" si="7"/>
        <v>3.17466204994337E-6</v>
      </c>
      <c r="W10" s="7">
        <f t="shared" si="8"/>
        <v>5.3331479410112221E-7</v>
      </c>
      <c r="X10">
        <f t="shared" si="9"/>
        <v>-3.17466204994337E-6</v>
      </c>
      <c r="Y10">
        <f t="shared" si="10"/>
        <v>-3.17466204994337</v>
      </c>
    </row>
    <row r="11" spans="1:26" x14ac:dyDescent="0.3">
      <c r="A11">
        <f>A9*0.001</f>
        <v>4.7500000000000001E-2</v>
      </c>
      <c r="B11">
        <v>7</v>
      </c>
      <c r="C11">
        <f t="shared" si="0"/>
        <v>7.0000000000000001E-3</v>
      </c>
      <c r="D11">
        <v>1</v>
      </c>
      <c r="E11" s="7">
        <f t="shared" si="1"/>
        <v>3.7037723916005984E-6</v>
      </c>
      <c r="F11" s="6">
        <f t="shared" si="2"/>
        <v>5.3482494574592708E-7</v>
      </c>
      <c r="I11">
        <f>I9*0.001</f>
        <v>4.7500000000000001E-2</v>
      </c>
      <c r="J11">
        <v>7</v>
      </c>
      <c r="K11">
        <f t="shared" si="3"/>
        <v>7.0000000000000001E-3</v>
      </c>
      <c r="L11">
        <v>1.4</v>
      </c>
      <c r="M11" s="7">
        <f t="shared" si="4"/>
        <v>3.7037723916005984E-6</v>
      </c>
      <c r="N11" s="7">
        <f t="shared" si="5"/>
        <v>5.3482494574592708E-7</v>
      </c>
      <c r="Q11">
        <f>Q9*0.001</f>
        <v>4.7500000000000001E-2</v>
      </c>
      <c r="R11">
        <v>7</v>
      </c>
      <c r="S11">
        <f t="shared" si="6"/>
        <v>7.0000000000000001E-3</v>
      </c>
      <c r="T11">
        <v>2.2000000000000002</v>
      </c>
      <c r="U11">
        <v>-3.9</v>
      </c>
      <c r="V11" s="7">
        <f t="shared" si="7"/>
        <v>3.7037723916005984E-6</v>
      </c>
      <c r="W11" s="7">
        <f t="shared" si="8"/>
        <v>5.3482494574592708E-7</v>
      </c>
      <c r="X11">
        <f t="shared" si="9"/>
        <v>-3.7037723916005984E-6</v>
      </c>
      <c r="Y11">
        <f t="shared" si="10"/>
        <v>-3.7037723916005985</v>
      </c>
    </row>
    <row r="12" spans="1:26" x14ac:dyDescent="0.3">
      <c r="B12">
        <v>8</v>
      </c>
      <c r="C12">
        <f t="shared" si="0"/>
        <v>8.0000000000000002E-3</v>
      </c>
      <c r="D12">
        <v>1.2</v>
      </c>
      <c r="E12" s="7">
        <f t="shared" si="1"/>
        <v>4.2328827332578272E-6</v>
      </c>
      <c r="F12" s="6">
        <f t="shared" si="2"/>
        <v>5.3656214698284429E-7</v>
      </c>
      <c r="J12">
        <v>8</v>
      </c>
      <c r="K12">
        <f t="shared" si="3"/>
        <v>8.0000000000000002E-3</v>
      </c>
      <c r="L12">
        <v>1.7</v>
      </c>
      <c r="M12" s="7">
        <f t="shared" si="4"/>
        <v>4.2328827332578272E-6</v>
      </c>
      <c r="N12" s="7">
        <f t="shared" si="5"/>
        <v>5.3656214698284429E-7</v>
      </c>
      <c r="R12">
        <v>8</v>
      </c>
      <c r="S12">
        <f t="shared" si="6"/>
        <v>8.0000000000000002E-3</v>
      </c>
      <c r="T12">
        <v>2.6</v>
      </c>
      <c r="U12">
        <v>-4.3</v>
      </c>
      <c r="V12" s="7">
        <f t="shared" si="7"/>
        <v>4.2328827332578272E-6</v>
      </c>
      <c r="W12" s="7">
        <f t="shared" si="8"/>
        <v>5.3656214698284429E-7</v>
      </c>
      <c r="X12">
        <f t="shared" si="9"/>
        <v>-4.2328827332578272E-6</v>
      </c>
      <c r="Y12">
        <f t="shared" si="10"/>
        <v>-4.2328827332578269</v>
      </c>
    </row>
    <row r="13" spans="1:26" x14ac:dyDescent="0.3">
      <c r="B13">
        <v>9</v>
      </c>
      <c r="C13">
        <f t="shared" si="0"/>
        <v>9.0000000000000011E-3</v>
      </c>
      <c r="D13">
        <v>1.4</v>
      </c>
      <c r="E13" s="7">
        <f t="shared" si="1"/>
        <v>4.761993074915056E-6</v>
      </c>
      <c r="F13" s="6">
        <f t="shared" si="2"/>
        <v>5.3852420052885182E-7</v>
      </c>
      <c r="J13">
        <v>9</v>
      </c>
      <c r="K13">
        <f t="shared" si="3"/>
        <v>9.0000000000000011E-3</v>
      </c>
      <c r="L13">
        <v>2</v>
      </c>
      <c r="M13" s="7">
        <f t="shared" si="4"/>
        <v>4.761993074915056E-6</v>
      </c>
      <c r="N13" s="7">
        <f t="shared" si="5"/>
        <v>5.3852420052885182E-7</v>
      </c>
      <c r="R13">
        <v>9</v>
      </c>
      <c r="S13">
        <f t="shared" si="6"/>
        <v>9.0000000000000011E-3</v>
      </c>
      <c r="T13">
        <v>3.1</v>
      </c>
      <c r="U13">
        <v>-4.7</v>
      </c>
      <c r="V13" s="7">
        <f t="shared" si="7"/>
        <v>4.761993074915056E-6</v>
      </c>
      <c r="W13" s="7">
        <f t="shared" si="8"/>
        <v>5.3852420052885182E-7</v>
      </c>
      <c r="X13">
        <f t="shared" si="9"/>
        <v>-4.761993074915056E-6</v>
      </c>
      <c r="Y13">
        <f t="shared" si="10"/>
        <v>-4.7619930749150559</v>
      </c>
      <c r="Z13" s="4"/>
    </row>
    <row r="14" spans="1:26" x14ac:dyDescent="0.3">
      <c r="B14">
        <v>10</v>
      </c>
      <c r="C14">
        <f t="shared" si="0"/>
        <v>0.01</v>
      </c>
      <c r="D14">
        <v>1.6</v>
      </c>
      <c r="E14" s="7">
        <f t="shared" si="1"/>
        <v>5.2911034165722831E-6</v>
      </c>
      <c r="F14" s="6">
        <f t="shared" si="2"/>
        <v>5.4070865864468337E-7</v>
      </c>
      <c r="J14">
        <v>10</v>
      </c>
      <c r="K14">
        <f t="shared" si="3"/>
        <v>0.01</v>
      </c>
      <c r="L14">
        <v>2.2999999999999998</v>
      </c>
      <c r="M14" s="7">
        <f t="shared" si="4"/>
        <v>5.2911034165722831E-6</v>
      </c>
      <c r="N14" s="7">
        <f t="shared" si="5"/>
        <v>5.4070865864468337E-7</v>
      </c>
      <c r="R14">
        <v>10</v>
      </c>
      <c r="S14">
        <f t="shared" si="6"/>
        <v>0.01</v>
      </c>
      <c r="T14">
        <v>3.4</v>
      </c>
      <c r="U14">
        <v>-5.0999999999999996</v>
      </c>
      <c r="V14" s="7">
        <f t="shared" si="7"/>
        <v>5.2911034165722831E-6</v>
      </c>
      <c r="W14" s="7">
        <f t="shared" si="8"/>
        <v>5.4070865864468337E-7</v>
      </c>
      <c r="X14">
        <f t="shared" si="9"/>
        <v>-5.2911034165722831E-6</v>
      </c>
      <c r="Y14">
        <f t="shared" si="10"/>
        <v>-5.291103416572283</v>
      </c>
      <c r="Z14" s="4"/>
    </row>
    <row r="15" spans="1:26" x14ac:dyDescent="0.3">
      <c r="W15" s="4"/>
      <c r="X15" s="4"/>
      <c r="Y15" s="4"/>
      <c r="Z15" s="4"/>
    </row>
    <row r="16" spans="1:26" x14ac:dyDescent="0.3">
      <c r="U16" s="4"/>
      <c r="V16" s="4"/>
      <c r="W16" s="4"/>
      <c r="X16" s="4"/>
      <c r="Y16" s="4"/>
      <c r="Z16" s="4"/>
    </row>
    <row r="17" spans="2:22" x14ac:dyDescent="0.3">
      <c r="B17" s="22" t="s">
        <v>4</v>
      </c>
      <c r="C17" s="22" t="s">
        <v>5</v>
      </c>
      <c r="D17" s="22" t="s">
        <v>54</v>
      </c>
      <c r="E17" s="22" t="s">
        <v>53</v>
      </c>
      <c r="J17" s="22" t="s">
        <v>4</v>
      </c>
      <c r="K17" s="22" t="s">
        <v>5</v>
      </c>
      <c r="L17" s="22" t="s">
        <v>54</v>
      </c>
      <c r="M17" s="22" t="s">
        <v>53</v>
      </c>
      <c r="R17" s="22" t="s">
        <v>4</v>
      </c>
      <c r="S17" s="22" t="s">
        <v>5</v>
      </c>
      <c r="T17" s="22" t="s">
        <v>32</v>
      </c>
      <c r="U17" s="22" t="s">
        <v>54</v>
      </c>
      <c r="V17" s="22" t="s">
        <v>53</v>
      </c>
    </row>
    <row r="18" spans="2:22" x14ac:dyDescent="0.3">
      <c r="B18" s="9">
        <v>0</v>
      </c>
      <c r="C18" s="9">
        <v>-0.4</v>
      </c>
      <c r="D18" s="10">
        <f>E4*10^6</f>
        <v>0</v>
      </c>
      <c r="E18" s="10">
        <f>F4*10^6</f>
        <v>0.52911034165722837</v>
      </c>
      <c r="J18" s="9">
        <v>0</v>
      </c>
      <c r="K18" s="9">
        <v>-0.5</v>
      </c>
      <c r="L18" s="10">
        <f>M4*10^6</f>
        <v>0</v>
      </c>
      <c r="M18" s="10">
        <f>N4*10^6</f>
        <v>0.52911034165722837</v>
      </c>
      <c r="R18" s="9">
        <v>0</v>
      </c>
      <c r="S18" s="9">
        <v>-0.8</v>
      </c>
      <c r="T18" s="9">
        <v>-0.8</v>
      </c>
      <c r="U18" s="10">
        <f t="shared" ref="U18:V28" si="11">V4*10^6</f>
        <v>0</v>
      </c>
      <c r="V18" s="10">
        <f t="shared" si="11"/>
        <v>0.52911034165722837</v>
      </c>
    </row>
    <row r="19" spans="2:22" x14ac:dyDescent="0.3">
      <c r="B19" s="9">
        <v>1</v>
      </c>
      <c r="C19" s="9">
        <v>-0.1</v>
      </c>
      <c r="D19" s="10">
        <f t="shared" ref="D19:E28" si="12">E5*10^6</f>
        <v>0.52911034165722837</v>
      </c>
      <c r="E19" s="10">
        <f t="shared" si="12"/>
        <v>0.52922758303727524</v>
      </c>
      <c r="J19" s="9">
        <v>1</v>
      </c>
      <c r="K19" s="9">
        <v>-0.2</v>
      </c>
      <c r="L19" s="10">
        <f t="shared" ref="L19:M28" si="13">M5*10^6</f>
        <v>0.52911034165722837</v>
      </c>
      <c r="M19" s="10">
        <f t="shared" si="13"/>
        <v>0.52922758303727524</v>
      </c>
      <c r="R19" s="9">
        <v>1</v>
      </c>
      <c r="S19" s="9">
        <v>-0.3</v>
      </c>
      <c r="T19" s="9">
        <v>-1.4</v>
      </c>
      <c r="U19" s="10">
        <f t="shared" si="11"/>
        <v>0.52911034165722837</v>
      </c>
      <c r="V19" s="10">
        <f t="shared" si="11"/>
        <v>0.52922758303727524</v>
      </c>
    </row>
    <row r="20" spans="2:22" x14ac:dyDescent="0.3">
      <c r="B20" s="9">
        <v>2</v>
      </c>
      <c r="C20" s="9">
        <v>0</v>
      </c>
      <c r="D20" s="10">
        <f t="shared" si="12"/>
        <v>1.0582206833144567</v>
      </c>
      <c r="E20" s="10">
        <f t="shared" si="12"/>
        <v>0.52957915144387724</v>
      </c>
      <c r="J20" s="9">
        <v>2</v>
      </c>
      <c r="K20" s="9">
        <v>0</v>
      </c>
      <c r="L20" s="10">
        <f t="shared" si="13"/>
        <v>1.0582206833144567</v>
      </c>
      <c r="M20" s="10">
        <f t="shared" si="13"/>
        <v>0.52957915144387724</v>
      </c>
      <c r="R20" s="9">
        <v>2</v>
      </c>
      <c r="S20" s="9">
        <v>0.1</v>
      </c>
      <c r="T20" s="9">
        <v>-1.8</v>
      </c>
      <c r="U20" s="10">
        <f t="shared" si="11"/>
        <v>1.0582206833144567</v>
      </c>
      <c r="V20" s="10">
        <f t="shared" si="11"/>
        <v>0.52957915144387724</v>
      </c>
    </row>
    <row r="21" spans="2:22" x14ac:dyDescent="0.3">
      <c r="B21" s="9">
        <v>3</v>
      </c>
      <c r="C21" s="9">
        <v>0.2</v>
      </c>
      <c r="D21" s="10">
        <f t="shared" si="12"/>
        <v>1.587331024971685</v>
      </c>
      <c r="E21" s="10">
        <f t="shared" si="12"/>
        <v>0.53016458070890815</v>
      </c>
      <c r="J21" s="9">
        <v>3</v>
      </c>
      <c r="K21" s="9">
        <v>0.3</v>
      </c>
      <c r="L21" s="10">
        <f t="shared" si="13"/>
        <v>1.587331024971685</v>
      </c>
      <c r="M21" s="10">
        <f t="shared" si="13"/>
        <v>0.53016458070890815</v>
      </c>
      <c r="R21" s="9">
        <v>3</v>
      </c>
      <c r="S21" s="9">
        <v>0.5</v>
      </c>
      <c r="T21" s="9">
        <v>-2.2999999999999998</v>
      </c>
      <c r="U21" s="10">
        <f>V7*10^6</f>
        <v>1.587331024971685</v>
      </c>
      <c r="V21" s="10">
        <f t="shared" si="11"/>
        <v>0.53016458070890815</v>
      </c>
    </row>
    <row r="22" spans="2:22" x14ac:dyDescent="0.3">
      <c r="B22" s="9">
        <v>4</v>
      </c>
      <c r="C22" s="9">
        <v>0.4</v>
      </c>
      <c r="D22" s="10">
        <f t="shared" si="12"/>
        <v>2.1164413666289135</v>
      </c>
      <c r="E22" s="10">
        <f t="shared" si="12"/>
        <v>0.53098309731118709</v>
      </c>
      <c r="J22" s="9">
        <v>4</v>
      </c>
      <c r="K22" s="9">
        <v>0.6</v>
      </c>
      <c r="L22" s="10">
        <f t="shared" si="13"/>
        <v>2.1164413666289135</v>
      </c>
      <c r="M22" s="10">
        <f t="shared" si="13"/>
        <v>0.53098309731118709</v>
      </c>
      <c r="R22" s="9">
        <v>4</v>
      </c>
      <c r="S22" s="9">
        <v>1</v>
      </c>
      <c r="T22" s="9">
        <v>-2.7</v>
      </c>
      <c r="U22" s="10">
        <f t="shared" si="11"/>
        <v>2.1164413666289135</v>
      </c>
      <c r="V22" s="10">
        <f t="shared" si="11"/>
        <v>0.53098309731118709</v>
      </c>
    </row>
    <row r="23" spans="2:22" x14ac:dyDescent="0.3">
      <c r="B23" s="9">
        <v>5</v>
      </c>
      <c r="C23" s="9">
        <v>0.6</v>
      </c>
      <c r="D23" s="10">
        <f t="shared" si="12"/>
        <v>2.6455517082861415</v>
      </c>
      <c r="E23" s="10">
        <f t="shared" si="12"/>
        <v>0.53203362545971178</v>
      </c>
      <c r="J23" s="9">
        <v>5</v>
      </c>
      <c r="K23" s="9">
        <v>0.9</v>
      </c>
      <c r="L23" s="10">
        <f t="shared" si="13"/>
        <v>2.6455517082861415</v>
      </c>
      <c r="M23" s="10">
        <f t="shared" si="13"/>
        <v>0.53203362545971178</v>
      </c>
      <c r="R23" s="9">
        <v>5</v>
      </c>
      <c r="S23" s="11">
        <v>1.3</v>
      </c>
      <c r="T23" s="9">
        <v>-3.1</v>
      </c>
      <c r="U23" s="10">
        <f t="shared" si="11"/>
        <v>2.6455517082861415</v>
      </c>
      <c r="V23" s="10">
        <f t="shared" si="11"/>
        <v>0.53203362545971178</v>
      </c>
    </row>
    <row r="24" spans="2:22" x14ac:dyDescent="0.3">
      <c r="B24" s="9">
        <v>6</v>
      </c>
      <c r="C24" s="9">
        <v>0.8</v>
      </c>
      <c r="D24" s="10">
        <f t="shared" si="12"/>
        <v>3.17466204994337</v>
      </c>
      <c r="E24" s="10">
        <f t="shared" si="12"/>
        <v>0.53331479410112226</v>
      </c>
      <c r="J24" s="9">
        <v>6</v>
      </c>
      <c r="K24" s="9">
        <v>1.1000000000000001</v>
      </c>
      <c r="L24" s="10">
        <f t="shared" si="13"/>
        <v>3.17466204994337</v>
      </c>
      <c r="M24" s="10">
        <f t="shared" si="13"/>
        <v>0.53331479410112226</v>
      </c>
      <c r="R24" s="9">
        <v>6</v>
      </c>
      <c r="S24" s="9">
        <v>1.8</v>
      </c>
      <c r="T24" s="9">
        <v>-3.5</v>
      </c>
      <c r="U24" s="10">
        <f t="shared" si="11"/>
        <v>3.17466204994337</v>
      </c>
      <c r="V24" s="10">
        <f t="shared" si="11"/>
        <v>0.53331479410112226</v>
      </c>
    </row>
    <row r="25" spans="2:22" x14ac:dyDescent="0.3">
      <c r="B25" s="9">
        <v>7</v>
      </c>
      <c r="C25" s="9">
        <v>1</v>
      </c>
      <c r="D25" s="10">
        <f t="shared" si="12"/>
        <v>3.7037723916005985</v>
      </c>
      <c r="E25" s="10">
        <f t="shared" si="12"/>
        <v>0.53482494574592709</v>
      </c>
      <c r="J25" s="9">
        <v>7</v>
      </c>
      <c r="K25" s="9">
        <v>1.4</v>
      </c>
      <c r="L25" s="10">
        <f t="shared" si="13"/>
        <v>3.7037723916005985</v>
      </c>
      <c r="M25" s="10">
        <f t="shared" si="13"/>
        <v>0.53482494574592709</v>
      </c>
      <c r="R25" s="9">
        <v>7</v>
      </c>
      <c r="S25" s="9">
        <v>2.2000000000000002</v>
      </c>
      <c r="T25" s="9">
        <v>-3.9</v>
      </c>
      <c r="U25" s="10">
        <f t="shared" si="11"/>
        <v>3.7037723916005985</v>
      </c>
      <c r="V25" s="10">
        <f t="shared" si="11"/>
        <v>0.53482494574592709</v>
      </c>
    </row>
    <row r="26" spans="2:22" x14ac:dyDescent="0.3">
      <c r="B26" s="9">
        <v>8</v>
      </c>
      <c r="C26" s="9">
        <v>1.2</v>
      </c>
      <c r="D26" s="10">
        <f t="shared" si="12"/>
        <v>4.2328827332578269</v>
      </c>
      <c r="E26" s="10">
        <f t="shared" si="12"/>
        <v>0.53656214698284432</v>
      </c>
      <c r="J26" s="9">
        <v>8</v>
      </c>
      <c r="K26" s="9">
        <v>1.7</v>
      </c>
      <c r="L26" s="10">
        <f t="shared" si="13"/>
        <v>4.2328827332578269</v>
      </c>
      <c r="M26" s="10">
        <f t="shared" si="13"/>
        <v>0.53656214698284432</v>
      </c>
      <c r="R26" s="9">
        <v>8</v>
      </c>
      <c r="S26" s="9">
        <v>2.6</v>
      </c>
      <c r="T26" s="9">
        <v>-4.3</v>
      </c>
      <c r="U26" s="10">
        <f t="shared" si="11"/>
        <v>4.2328827332578269</v>
      </c>
      <c r="V26" s="10">
        <f t="shared" si="11"/>
        <v>0.53656214698284432</v>
      </c>
    </row>
    <row r="27" spans="2:22" x14ac:dyDescent="0.3">
      <c r="B27" s="9">
        <v>9</v>
      </c>
      <c r="C27" s="9">
        <v>1.4</v>
      </c>
      <c r="D27" s="10">
        <f t="shared" si="12"/>
        <v>4.7619930749150559</v>
      </c>
      <c r="E27" s="10">
        <f t="shared" si="12"/>
        <v>0.53852420052885186</v>
      </c>
      <c r="J27" s="9">
        <v>9</v>
      </c>
      <c r="K27" s="9">
        <v>2</v>
      </c>
      <c r="L27" s="10">
        <f t="shared" si="13"/>
        <v>4.7619930749150559</v>
      </c>
      <c r="M27" s="10">
        <f t="shared" si="13"/>
        <v>0.53852420052885186</v>
      </c>
      <c r="R27" s="9">
        <v>9</v>
      </c>
      <c r="S27" s="9">
        <v>3.1</v>
      </c>
      <c r="T27" s="9">
        <v>-4.7</v>
      </c>
      <c r="U27" s="10">
        <f t="shared" si="11"/>
        <v>4.7619930749150559</v>
      </c>
      <c r="V27" s="10">
        <f t="shared" si="11"/>
        <v>0.53852420052885186</v>
      </c>
    </row>
    <row r="28" spans="2:22" x14ac:dyDescent="0.3">
      <c r="B28" s="9">
        <v>10</v>
      </c>
      <c r="C28" s="9">
        <v>1.6</v>
      </c>
      <c r="D28" s="10">
        <f t="shared" si="12"/>
        <v>5.291103416572283</v>
      </c>
      <c r="E28" s="10">
        <f t="shared" si="12"/>
        <v>0.54070865864468343</v>
      </c>
      <c r="J28" s="9">
        <v>10</v>
      </c>
      <c r="K28" s="9">
        <v>2.2999999999999998</v>
      </c>
      <c r="L28" s="10">
        <f t="shared" si="13"/>
        <v>5.291103416572283</v>
      </c>
      <c r="M28" s="10">
        <f t="shared" si="13"/>
        <v>0.54070865864468343</v>
      </c>
      <c r="R28" s="9">
        <v>10</v>
      </c>
      <c r="S28" s="9">
        <v>3.4</v>
      </c>
      <c r="T28" s="9">
        <v>-5.0999999999999996</v>
      </c>
      <c r="U28" s="10">
        <f t="shared" si="11"/>
        <v>5.291103416572283</v>
      </c>
      <c r="V28" s="10">
        <f t="shared" si="11"/>
        <v>0.54070865864468343</v>
      </c>
    </row>
    <row r="31" spans="2:22" x14ac:dyDescent="0.3">
      <c r="D31" cm="1">
        <f t="array" ref="D31:E35">LINEST(C18:C28,D18:D28,TRUE,TRUE)</f>
        <v>0.37112039002791952</v>
      </c>
      <c r="E31">
        <v>-0.3727272727272728</v>
      </c>
      <c r="L31" cm="1">
        <f t="array" ref="L31:M35">LINEST(K18:K28,L18:L28,TRUE,TRUE)</f>
        <v>0.52575388587288596</v>
      </c>
      <c r="M31">
        <v>-0.51818181818181819</v>
      </c>
      <c r="R31" cm="1">
        <f t="array" ref="R31:S35">LINEST(S18:S28,U18:U28,TRUE,TRUE)</f>
        <v>0.79550342862466061</v>
      </c>
      <c r="S31">
        <v>-0.74999999999999956</v>
      </c>
      <c r="U31" cm="1">
        <f t="array" ref="U31:V35">LINEST(U4:U14,Y4:Y14,TRUE,TRUE)</f>
        <v>0.79378527867082782</v>
      </c>
      <c r="V31">
        <v>-0.95454545454545503</v>
      </c>
    </row>
    <row r="32" spans="2:22" x14ac:dyDescent="0.3">
      <c r="D32">
        <v>5.2490348124829538E-3</v>
      </c>
      <c r="E32">
        <v>1.6430838438455719E-2</v>
      </c>
      <c r="L32">
        <v>5.840586761248553E-3</v>
      </c>
      <c r="M32">
        <v>1.8282549247270775E-2</v>
      </c>
      <c r="R32">
        <v>8.3191898956145437E-3</v>
      </c>
      <c r="S32">
        <v>2.6041219004416687E-2</v>
      </c>
      <c r="U32">
        <v>1.2495202144092258E-2</v>
      </c>
      <c r="V32">
        <v>3.911321890972734E-2</v>
      </c>
    </row>
    <row r="33" spans="4:42" x14ac:dyDescent="0.3">
      <c r="D33">
        <v>0.99820282413350458</v>
      </c>
      <c r="E33">
        <v>2.9128763250176791E-2</v>
      </c>
      <c r="L33">
        <v>0.99889054832515467</v>
      </c>
      <c r="M33">
        <v>3.2411495653626589E-2</v>
      </c>
      <c r="R33">
        <v>0.99901668375431085</v>
      </c>
      <c r="S33">
        <v>4.6166147026940864E-2</v>
      </c>
      <c r="U33">
        <v>0.99777486910994773</v>
      </c>
      <c r="V33">
        <v>6.9340325987702095E-2</v>
      </c>
    </row>
    <row r="34" spans="4:42" x14ac:dyDescent="0.3">
      <c r="D34">
        <v>4998.8571428571349</v>
      </c>
      <c r="E34">
        <v>9</v>
      </c>
      <c r="L34">
        <v>8103.1153846153466</v>
      </c>
      <c r="M34">
        <v>9</v>
      </c>
      <c r="R34">
        <v>9143.7014218009936</v>
      </c>
      <c r="S34">
        <v>9</v>
      </c>
      <c r="U34">
        <v>4035.7058823529519</v>
      </c>
      <c r="V34">
        <v>9</v>
      </c>
    </row>
    <row r="35" spans="4:42" x14ac:dyDescent="0.3">
      <c r="D35">
        <v>4.2414545454545456</v>
      </c>
      <c r="E35">
        <v>7.6363636363636495E-3</v>
      </c>
      <c r="L35">
        <v>8.5123636363636361</v>
      </c>
      <c r="M35">
        <v>9.4545454545454984E-3</v>
      </c>
      <c r="R35">
        <v>19.488090909090911</v>
      </c>
      <c r="S35">
        <v>1.9181818181818085E-2</v>
      </c>
      <c r="U35">
        <v>19.404</v>
      </c>
      <c r="V35">
        <v>4.3272727272727157E-2</v>
      </c>
      <c r="AF35" s="25" t="s">
        <v>52</v>
      </c>
    </row>
    <row r="36" spans="4:42" x14ac:dyDescent="0.3">
      <c r="AA36" t="s">
        <v>48</v>
      </c>
      <c r="AB36" t="s">
        <v>49</v>
      </c>
      <c r="AC36" t="s">
        <v>50</v>
      </c>
      <c r="AD36" t="s">
        <v>51</v>
      </c>
      <c r="AK36" s="28" cm="1">
        <f t="array" ref="AK36:AL40">LINEST(U18:U28,S18:S28,TRUE,TRUE)</f>
        <v>1.2558295134962549</v>
      </c>
      <c r="AL36" s="28">
        <v>0.94447354909576031</v>
      </c>
      <c r="AO36" s="28" cm="1">
        <f t="array" ref="AO36:AP40">LINEST(Y4:Y14,U4:U14,TRUE,TRUE)</f>
        <v>1.2569833378375257</v>
      </c>
      <c r="AP36" s="28">
        <v>1.1939610327448458</v>
      </c>
    </row>
    <row r="37" spans="4:42" x14ac:dyDescent="0.3">
      <c r="AA37" s="13">
        <f>R31</f>
        <v>0.79550342862466061</v>
      </c>
      <c r="AB37" s="13">
        <f>R32</f>
        <v>8.3191898956145437E-3</v>
      </c>
      <c r="AC37" s="13">
        <f>U31</f>
        <v>0.79378527867082782</v>
      </c>
      <c r="AD37" s="13">
        <f>U32</f>
        <v>1.2495202144092258E-2</v>
      </c>
      <c r="AK37" s="28">
        <v>1.3133173061686361E-2</v>
      </c>
      <c r="AL37" s="28">
        <v>2.4946744210929572E-2</v>
      </c>
      <c r="AO37" s="28">
        <v>1.9786535880755324E-2</v>
      </c>
      <c r="AP37" s="28">
        <v>6.5916734544936462E-2</v>
      </c>
    </row>
    <row r="38" spans="4:42" x14ac:dyDescent="0.3">
      <c r="AK38" s="28">
        <v>0.99901668375431074</v>
      </c>
      <c r="AL38" s="28">
        <v>5.8005335769536426E-2</v>
      </c>
      <c r="AO38" s="28">
        <v>0.99777486910994762</v>
      </c>
      <c r="AP38" s="28">
        <v>8.7256767334405627E-2</v>
      </c>
    </row>
    <row r="39" spans="4:42" x14ac:dyDescent="0.3">
      <c r="AA39" s="13">
        <f>AA37-AC37</f>
        <v>1.7181499538327927E-3</v>
      </c>
      <c r="AC39" s="13">
        <f>AB37+AD37</f>
        <v>2.0814392039706801E-2</v>
      </c>
      <c r="AK39" s="28">
        <v>9143.7014218010609</v>
      </c>
      <c r="AL39" s="28">
        <v>9</v>
      </c>
      <c r="AO39" s="28">
        <v>4035.7058823529483</v>
      </c>
      <c r="AP39" s="28">
        <v>9</v>
      </c>
    </row>
    <row r="40" spans="4:42" x14ac:dyDescent="0.3">
      <c r="AK40" s="28">
        <v>30.765071330549549</v>
      </c>
      <c r="AL40" s="28">
        <v>3.0281570799629957E-2</v>
      </c>
      <c r="AO40" s="28">
        <v>30.726829210338323</v>
      </c>
      <c r="AP40" s="28">
        <v>6.8523691010855384E-2</v>
      </c>
    </row>
    <row r="41" spans="4:42" x14ac:dyDescent="0.3">
      <c r="I41" s="21" t="s">
        <v>0</v>
      </c>
      <c r="J41" s="21" t="s">
        <v>34</v>
      </c>
      <c r="K41" s="21" t="s">
        <v>35</v>
      </c>
      <c r="L41" s="21" t="s">
        <v>36</v>
      </c>
      <c r="M41" s="21" t="s">
        <v>37</v>
      </c>
      <c r="N41" s="21" t="s">
        <v>38</v>
      </c>
      <c r="O41" s="21" t="s">
        <v>39</v>
      </c>
    </row>
    <row r="42" spans="4:42" x14ac:dyDescent="0.3">
      <c r="I42" s="9">
        <v>3.5</v>
      </c>
      <c r="J42" s="14">
        <f>D31</f>
        <v>0.37112039002791952</v>
      </c>
      <c r="K42" s="15">
        <f>E31</f>
        <v>-0.3727272727272728</v>
      </c>
      <c r="L42" s="14">
        <f>D32</f>
        <v>5.2490348124829538E-3</v>
      </c>
      <c r="M42" s="15">
        <f>E32</f>
        <v>1.6430838438455719E-2</v>
      </c>
      <c r="N42" s="16">
        <f>J42/(I42*0.001)</f>
        <v>106.03439715083415</v>
      </c>
      <c r="O42" s="16">
        <f>SQRT((1/(I42*0.001)*L42)^2+(-J42/(I42*0.001)^2*0.001)^2)</f>
        <v>30.33263985309269</v>
      </c>
    </row>
    <row r="43" spans="4:42" x14ac:dyDescent="0.3">
      <c r="I43" s="9">
        <v>5</v>
      </c>
      <c r="J43" s="14">
        <f>L31</f>
        <v>0.52575388587288596</v>
      </c>
      <c r="K43" s="15">
        <f>M31</f>
        <v>-0.51818181818181819</v>
      </c>
      <c r="L43" s="14">
        <f>L32</f>
        <v>5.840586761248553E-3</v>
      </c>
      <c r="M43" s="15">
        <f>M32</f>
        <v>1.8282549247270775E-2</v>
      </c>
      <c r="N43" s="16">
        <f t="shared" ref="N43" si="14">J43/(I43*0.001)</f>
        <v>105.15077717457719</v>
      </c>
      <c r="O43" s="16">
        <f t="shared" ref="O43:O44" si="15">SQRT((1/(I43*0.001)*L43)^2+(-J43/(I43*0.001)^2*0.001)^2)</f>
        <v>21.062571917155086</v>
      </c>
    </row>
    <row r="44" spans="4:42" x14ac:dyDescent="0.3">
      <c r="I44" s="9">
        <v>7.5</v>
      </c>
      <c r="J44" s="14">
        <f>R31</f>
        <v>0.79550342862466061</v>
      </c>
      <c r="K44" s="15">
        <f>S31</f>
        <v>-0.74999999999999956</v>
      </c>
      <c r="L44" s="14">
        <f>R32</f>
        <v>8.3191898956145437E-3</v>
      </c>
      <c r="M44" s="15">
        <f>S32</f>
        <v>2.6041219004416687E-2</v>
      </c>
      <c r="N44" s="16">
        <f>J44/(I44*0.001)</f>
        <v>106.06712381662142</v>
      </c>
      <c r="O44" s="16">
        <f t="shared" si="15"/>
        <v>14.185716556686977</v>
      </c>
    </row>
    <row r="45" spans="4:42" x14ac:dyDescent="0.3">
      <c r="I45" s="36" t="s">
        <v>40</v>
      </c>
      <c r="J45" s="37"/>
      <c r="K45" s="37"/>
      <c r="L45" s="37"/>
      <c r="M45" s="38"/>
      <c r="N45" s="17">
        <f t="shared" ref="N45:O45" si="16">AVERAGE(N42:N44)</f>
        <v>105.75076604734426</v>
      </c>
      <c r="O45" s="17">
        <f t="shared" si="16"/>
        <v>21.860309442311586</v>
      </c>
    </row>
    <row r="46" spans="4:42" x14ac:dyDescent="0.3">
      <c r="N46" s="12"/>
    </row>
    <row r="47" spans="4:42" x14ac:dyDescent="0.3">
      <c r="I47" t="s">
        <v>41</v>
      </c>
      <c r="J47" s="13">
        <f>AVERAGE(J42:J44)</f>
        <v>0.56412590150848863</v>
      </c>
      <c r="K47" s="13">
        <f t="shared" ref="K47:O47" si="17">AVERAGE(K42:K44)</f>
        <v>-0.54696969696969688</v>
      </c>
      <c r="L47" s="13">
        <f t="shared" si="17"/>
        <v>6.469603823115351E-3</v>
      </c>
      <c r="M47" s="13">
        <f t="shared" si="17"/>
        <v>2.0251535563381062E-2</v>
      </c>
      <c r="N47" s="13">
        <f t="shared" si="17"/>
        <v>105.75076604734426</v>
      </c>
      <c r="O47" s="13">
        <f t="shared" si="17"/>
        <v>21.860309442311586</v>
      </c>
    </row>
    <row r="51" spans="1:3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6" x14ac:dyDescent="0.3">
      <c r="A53" t="s">
        <v>1</v>
      </c>
      <c r="B53">
        <f>10*0.001</f>
        <v>0.01</v>
      </c>
      <c r="D53" t="s">
        <v>42</v>
      </c>
      <c r="E53" t="s">
        <v>43</v>
      </c>
      <c r="F53" s="8">
        <f>C1*B53*I1/(2*A11)</f>
        <v>5.2911034165722831E-6</v>
      </c>
    </row>
    <row r="54" spans="1:36" x14ac:dyDescent="0.3">
      <c r="A54" t="s">
        <v>0</v>
      </c>
      <c r="B54">
        <f>7.5*0.001</f>
        <v>7.4999999999999997E-3</v>
      </c>
      <c r="D54" t="s">
        <v>42</v>
      </c>
      <c r="E54" s="35" t="s">
        <v>21</v>
      </c>
      <c r="F54" s="35"/>
      <c r="G54" s="35"/>
      <c r="H54" s="35"/>
      <c r="I54" s="35"/>
      <c r="J54" s="35"/>
      <c r="K54" s="5"/>
      <c r="N54" s="3"/>
      <c r="O54" t="s">
        <v>18</v>
      </c>
      <c r="Y54" s="3"/>
      <c r="AA54" t="s">
        <v>19</v>
      </c>
      <c r="AB54" s="4"/>
      <c r="AC54" s="4"/>
      <c r="AD54" s="4"/>
      <c r="AE54" s="4"/>
      <c r="AF54" s="4"/>
      <c r="AG54" s="4"/>
    </row>
    <row r="55" spans="1:36" x14ac:dyDescent="0.3">
      <c r="A55" t="s">
        <v>9</v>
      </c>
      <c r="N55" s="3"/>
      <c r="O55" t="s">
        <v>0</v>
      </c>
      <c r="P55">
        <v>7.5</v>
      </c>
      <c r="R55" t="s">
        <v>22</v>
      </c>
      <c r="W55" t="s">
        <v>15</v>
      </c>
      <c r="X55" t="s">
        <v>23</v>
      </c>
      <c r="Y55" s="3"/>
      <c r="AA55" t="s">
        <v>0</v>
      </c>
      <c r="AB55">
        <v>7.5</v>
      </c>
      <c r="AD55" t="s">
        <v>20</v>
      </c>
      <c r="AG55">
        <v>3.5</v>
      </c>
    </row>
    <row r="56" spans="1:36" x14ac:dyDescent="0.3">
      <c r="A56" s="4" t="s">
        <v>10</v>
      </c>
      <c r="B56" s="4"/>
      <c r="D56" s="4" t="s">
        <v>5</v>
      </c>
      <c r="E56" s="4" t="s">
        <v>30</v>
      </c>
      <c r="F56" t="s">
        <v>44</v>
      </c>
      <c r="G56" s="4" t="s">
        <v>45</v>
      </c>
      <c r="H56" s="19" t="s">
        <v>46</v>
      </c>
      <c r="I56" s="4"/>
      <c r="J56" s="4" t="s">
        <v>11</v>
      </c>
      <c r="K56" s="4" t="s">
        <v>13</v>
      </c>
      <c r="L56" s="4" t="s">
        <v>2</v>
      </c>
      <c r="M56" s="4" t="s">
        <v>8</v>
      </c>
      <c r="N56" s="3"/>
      <c r="R56" t="s">
        <v>16</v>
      </c>
      <c r="U56" t="s">
        <v>17</v>
      </c>
      <c r="X56" t="s">
        <v>24</v>
      </c>
      <c r="Y56" s="3"/>
    </row>
    <row r="57" spans="1:36" x14ac:dyDescent="0.3">
      <c r="A57" s="4">
        <v>0</v>
      </c>
      <c r="B57" s="4">
        <f>A57*0.01</f>
        <v>0</v>
      </c>
      <c r="C57">
        <f>A57-1</f>
        <v>-1</v>
      </c>
      <c r="D57" s="4">
        <v>3.5</v>
      </c>
      <c r="E57" s="4">
        <f>(D57-$K$47)/($B$54*$N$47)</f>
        <v>5.1025253032624311</v>
      </c>
      <c r="F57" s="8">
        <f t="shared" ref="F57:F74" si="18">$F$53/(1+(B57^2/$A$11^2))^(3/2)</f>
        <v>5.2911034165722831E-6</v>
      </c>
      <c r="G57" s="4">
        <f>F57*10^6</f>
        <v>5.291103416572283</v>
      </c>
      <c r="H57">
        <f>SQRT((1/($B$54*$N$45)*0.1)^2+(-1/($B$54*$N$45)*$M$47)^2+(-D57/($B$54^2*$N$45)+$K$47/($B$54^2*$N$45)*0.001)^2+(-D57/($B$54*($N$45)^2)+$K$47/($B$54*($N$45)^2)*$O$45)^2)*0.001</f>
        <v>0.58847754009189002</v>
      </c>
      <c r="J57" s="4">
        <v>3.5</v>
      </c>
      <c r="K57" s="4">
        <v>0</v>
      </c>
      <c r="L57" s="4">
        <v>2.2999999999999998</v>
      </c>
      <c r="M57" s="4">
        <f>(L57-$K$47)/($B$54*$N$47)</f>
        <v>3.5895338992250494</v>
      </c>
      <c r="N57" s="4">
        <f>SQRT((1/($B$54*$N$45)*0.1)^2+(-1/($B$54*$N$45)*$M$47)^2+(-L57/($B$54^2*$N$45)+$K$47/($B$54^2*$N$45)*0.001)^2+(-L57/($B$54*($N$45)^2)+$K$47/($B$54*($N$45)^2)*$O$45)^2)*0.001</f>
        <v>0.38674536871985049</v>
      </c>
      <c r="O57" s="18"/>
      <c r="P57" s="4"/>
      <c r="Q57" s="4"/>
      <c r="R57" s="4"/>
      <c r="S57" s="4"/>
      <c r="T57" s="4"/>
      <c r="U57" s="4"/>
      <c r="V57" s="4"/>
      <c r="Y57" s="3"/>
      <c r="AA57" s="4" t="s">
        <v>11</v>
      </c>
      <c r="AB57" s="4" t="s">
        <v>2</v>
      </c>
      <c r="AC57" s="4" t="s">
        <v>8</v>
      </c>
      <c r="AF57" s="4" t="s">
        <v>11</v>
      </c>
      <c r="AG57" s="4" t="s">
        <v>12</v>
      </c>
      <c r="AH57" s="4" t="s">
        <v>2</v>
      </c>
      <c r="AI57" s="4" t="s">
        <v>8</v>
      </c>
      <c r="AJ57" s="4"/>
    </row>
    <row r="58" spans="1:36" x14ac:dyDescent="0.3">
      <c r="A58" s="4">
        <v>0.5</v>
      </c>
      <c r="B58" s="4">
        <f t="shared" ref="B58:B74" si="19">A58*0.01</f>
        <v>5.0000000000000001E-3</v>
      </c>
      <c r="C58">
        <f t="shared" ref="C58:C74" si="20">A58-1</f>
        <v>-0.5</v>
      </c>
      <c r="D58" s="4">
        <v>3.6</v>
      </c>
      <c r="E58" s="4">
        <f t="shared" ref="E58:E74" si="21">(D58-$K$47)/($B$54*$N$47)</f>
        <v>5.2286079202655458</v>
      </c>
      <c r="F58" s="8">
        <f t="shared" si="18"/>
        <v>5.2043651044124679E-6</v>
      </c>
      <c r="G58" s="4">
        <f t="shared" ref="G58:G74" si="22">F58*10^6</f>
        <v>5.2043651044124681</v>
      </c>
      <c r="H58">
        <f t="shared" ref="H58:H74" si="23">SQRT((1/($B$54*$N$45)*0.1)^2+(-1/($B$54*$N$45)*$M$47)^2+(-D58/($B$54^2*$N$45)+$K$47/($B$54^2*$N$45)*0.001)^2+(-D58/($B$54*($N$45)^2)+$K$47/($B$54*($N$45)^2)*$O$45)^2)*0.001</f>
        <v>0.60528855486454003</v>
      </c>
      <c r="J58" s="4"/>
      <c r="K58" s="4">
        <v>0.5</v>
      </c>
      <c r="L58" s="4">
        <v>2.2999999999999998</v>
      </c>
      <c r="M58" s="4">
        <f t="shared" ref="M58:M80" si="24">(L58-$K$47)/($B$54*$N$47)</f>
        <v>3.5895338992250494</v>
      </c>
      <c r="N58" s="4">
        <f t="shared" ref="N58:N80" si="25">SQRT((1/($B$54*$N$45)*0.1)^2+(-1/($B$54*$N$45)*$M$47)^2+(-L58/($B$54^2*$N$45)+$K$47/($B$54^2*$N$45)*0.001)^2+(-L58/($B$54*($N$45)^2)+$K$47/($B$54*($N$45)^2)*$O$45)^2)*0.001</f>
        <v>0.38674536871985049</v>
      </c>
      <c r="O58" s="18" t="s">
        <v>10</v>
      </c>
      <c r="P58" s="4" t="s">
        <v>5</v>
      </c>
      <c r="Q58" s="4" t="s">
        <v>8</v>
      </c>
      <c r="S58" s="4"/>
      <c r="T58" s="4" t="s">
        <v>11</v>
      </c>
      <c r="U58" s="4" t="s">
        <v>12</v>
      </c>
      <c r="V58" s="4" t="s">
        <v>2</v>
      </c>
      <c r="W58" s="4" t="s">
        <v>8</v>
      </c>
      <c r="Y58" s="3"/>
      <c r="AA58" s="4">
        <v>3.5</v>
      </c>
      <c r="AB58" s="4">
        <v>-0.2</v>
      </c>
      <c r="AC58" s="4">
        <f>(AB58-$K$47)/($B$54*$N$47)</f>
        <v>0.43746847414717199</v>
      </c>
      <c r="AD58">
        <f>SQRT((1/($B$54*$N$45)*0.1)^2+(-1/($B$54*$N$45)*$M$47)^2+(-AB58/($B$54^2*$N$45)+$K$47/($B$54^2*$N$45)*0.001)^2+(-AB58/($B$54*($N$45)^2)+$K$47/($B$54*($N$45)^2)*$O$45)^2)*0.001</f>
        <v>3.3530619809944935E-2</v>
      </c>
      <c r="AF58" s="4">
        <v>3.5</v>
      </c>
      <c r="AG58" s="4">
        <v>0</v>
      </c>
      <c r="AH58" s="4">
        <v>-0.2</v>
      </c>
      <c r="AI58" s="4">
        <f>(AH58-$K$47)/($B$54*$N$47)</f>
        <v>0.43746847414717199</v>
      </c>
      <c r="AJ58" s="4">
        <f>SQRT((1/($B$54*$N$45)*0.1)^2+(-1/($B$54*$N$45)*$M$47)^2+(-AH58/($B$54^2*$N$45)+$K$47/($B$54^2*$N$45)*0.001)^2+(-AH58/($B$54*($N$45)^2)+$K$47/($B$54*($N$45)^2)*$O$45)^2)*0.001</f>
        <v>3.3530619809944935E-2</v>
      </c>
    </row>
    <row r="59" spans="1:36" x14ac:dyDescent="0.3">
      <c r="A59" s="4">
        <v>1</v>
      </c>
      <c r="B59" s="4">
        <f t="shared" si="19"/>
        <v>0.01</v>
      </c>
      <c r="C59">
        <f t="shared" si="20"/>
        <v>0</v>
      </c>
      <c r="D59" s="4">
        <v>3.5</v>
      </c>
      <c r="E59" s="4">
        <f t="shared" si="21"/>
        <v>5.1025253032624311</v>
      </c>
      <c r="F59" s="8">
        <f t="shared" si="18"/>
        <v>4.957868774369325E-6</v>
      </c>
      <c r="G59" s="4">
        <f t="shared" si="22"/>
        <v>4.9578687743693246</v>
      </c>
      <c r="H59">
        <f t="shared" si="23"/>
        <v>0.58847754009189002</v>
      </c>
      <c r="J59" s="4"/>
      <c r="K59" s="4">
        <v>1</v>
      </c>
      <c r="L59" s="4">
        <v>2.2999999999999998</v>
      </c>
      <c r="M59" s="4">
        <f t="shared" si="24"/>
        <v>3.5895338992250494</v>
      </c>
      <c r="N59" s="4">
        <f t="shared" si="25"/>
        <v>0.38674536871985049</v>
      </c>
      <c r="O59" s="18">
        <v>3.5</v>
      </c>
      <c r="P59" s="4">
        <v>-4.3</v>
      </c>
      <c r="Q59" s="4">
        <f>(P59-$K$47)/($B$54*$N$47)</f>
        <v>-4.7319188229805471</v>
      </c>
      <c r="R59">
        <f>(-1)*Q59</f>
        <v>4.7319188229805471</v>
      </c>
      <c r="S59" s="4">
        <f>SQRT((1/($B$54*$N$45)*0.1)^2+(-1/($B$54*$N$45)*$M$47)^2+(-P59/($B$54^2*$N$45)+$K$47/($B$54^2*$N$45)*0.001)^2+(-P59/($B$54*($N$45)^2)+$K$47/($B$54*($N$45)^2)*$O$45)^2)*0.001</f>
        <v>0.72278173686997282</v>
      </c>
      <c r="T59" s="4">
        <v>3.5</v>
      </c>
      <c r="U59" s="4">
        <v>0</v>
      </c>
      <c r="V59" s="4">
        <v>-4.3</v>
      </c>
      <c r="W59" s="4">
        <f>(V59-$K$47)/($B$54*$N$47)</f>
        <v>-4.7319188229805471</v>
      </c>
      <c r="X59">
        <f>-1*W59</f>
        <v>4.7319188229805471</v>
      </c>
      <c r="Y59">
        <f>SQRT((1/($B$54*$N$45)*0.1)^2+(-1/($B$54*$N$45)*$M$47)^2+(-V59/($B$54^2*$N$45)+$K$47/($B$54^2*$N$45)*0.001)^2+(-V59/($B$54*($N$45)^2)+$K$47/($B$54*($N$45)^2)*$O$45)^2)*0.001</f>
        <v>0.72278173686997282</v>
      </c>
      <c r="AA59" s="4">
        <v>4</v>
      </c>
      <c r="AB59" s="4">
        <v>-0.3</v>
      </c>
      <c r="AC59" s="4">
        <f t="shared" ref="AC59:AC70" si="26">(AB59-$K$47)/($B$54*$N$47)</f>
        <v>0.31138585714405692</v>
      </c>
      <c r="AD59">
        <f t="shared" ref="AD59:AD70" si="27">SQRT((1/($B$54*$N$45)*0.1)^2+(-1/($B$54*$N$45)*$M$47)^2+(-AB59/($B$54^2*$N$45)+$K$47/($B$54^2*$N$45)*0.001)^2+(-AB59/($B$54*($N$45)^2)+$K$47/($B$54*($N$45)^2)*$O$45)^2)*0.001</f>
        <v>5.0341451854250548E-2</v>
      </c>
      <c r="AF59" s="4"/>
      <c r="AG59" s="4">
        <v>0.5</v>
      </c>
      <c r="AH59" s="4">
        <v>-0.3</v>
      </c>
      <c r="AI59" s="4">
        <f t="shared" ref="AI59:AI81" si="28">(AH59-$K$47)/($B$54*$N$47)</f>
        <v>0.31138585714405692</v>
      </c>
      <c r="AJ59" s="4">
        <f t="shared" ref="AJ59:AJ81" si="29">SQRT((1/($B$54*$N$45)*0.1)^2+(-1/($B$54*$N$45)*$M$47)^2+(-AH59/($B$54^2*$N$45)+$K$47/($B$54^2*$N$45)*0.001)^2+(-AH59/($B$54*($N$45)^2)+$K$47/($B$54*($N$45)^2)*$O$45)^2)*0.001</f>
        <v>5.0341451854250548E-2</v>
      </c>
    </row>
    <row r="60" spans="1:36" x14ac:dyDescent="0.3">
      <c r="A60" s="4">
        <v>1.5</v>
      </c>
      <c r="B60" s="4">
        <f t="shared" si="19"/>
        <v>1.4999999999999999E-2</v>
      </c>
      <c r="C60">
        <f t="shared" si="20"/>
        <v>0.5</v>
      </c>
      <c r="D60" s="4">
        <v>3.4</v>
      </c>
      <c r="E60" s="4">
        <f t="shared" si="21"/>
        <v>4.9764426862593156</v>
      </c>
      <c r="F60" s="8">
        <f t="shared" si="18"/>
        <v>4.5879776412811214E-6</v>
      </c>
      <c r="G60" s="4">
        <f t="shared" si="22"/>
        <v>4.5879776412811211</v>
      </c>
      <c r="H60">
        <f t="shared" si="23"/>
        <v>0.57166652537041074</v>
      </c>
      <c r="J60" s="4"/>
      <c r="K60" s="4">
        <v>1.5</v>
      </c>
      <c r="L60" s="4">
        <v>2.2999999999999998</v>
      </c>
      <c r="M60" s="4">
        <f t="shared" si="24"/>
        <v>3.5895338992250494</v>
      </c>
      <c r="N60" s="4">
        <f t="shared" si="25"/>
        <v>0.38674536871985049</v>
      </c>
      <c r="O60" s="18">
        <v>4</v>
      </c>
      <c r="P60" s="4">
        <v>-3.3</v>
      </c>
      <c r="Q60" s="4">
        <f t="shared" ref="Q60:Q70" si="30">(P60-$K$47)/($B$54*$N$47)</f>
        <v>-3.471092652949396</v>
      </c>
      <c r="R60">
        <f t="shared" ref="R60:R70" si="31">(-1)*Q60</f>
        <v>3.471092652949396</v>
      </c>
      <c r="S60" s="4">
        <f t="shared" ref="S60:S70" si="32">SQRT((1/($B$54*$N$45)*0.1)^2+(-1/($B$54*$N$45)*$M$47)^2+(-P60/($B$54^2*$N$45)+$K$47/($B$54^2*$N$45)*0.001)^2+(-P60/($B$54*($N$45)^2)+$K$47/($B$54*($N$45)^2)*$O$45)^2)*0.001</f>
        <v>0.55467158817322737</v>
      </c>
      <c r="T60" s="4"/>
      <c r="U60" s="4">
        <v>0.5</v>
      </c>
      <c r="V60" s="4">
        <v>-4</v>
      </c>
      <c r="W60" s="4">
        <f t="shared" ref="W60:W82" si="33">(V60-$K$47)/($B$54*$N$47)</f>
        <v>-4.3536709719712015</v>
      </c>
      <c r="X60">
        <f t="shared" ref="X60:X82" si="34">-1*W60</f>
        <v>4.3536709719712015</v>
      </c>
      <c r="Y60">
        <f t="shared" ref="Y60:Y82" si="35">SQRT((1/($B$54*$N$45)*0.1)^2+(-1/($B$54*$N$45)*$M$47)^2+(-V60/($B$54^2*$N$45)+$K$47/($B$54^2*$N$45)*0.001)^2+(-V60/($B$54*($N$45)^2)+$K$47/($B$54*($N$45)^2)*$O$45)^2)*0.001</f>
        <v>0.67234869185505863</v>
      </c>
      <c r="AA60" s="4">
        <v>4.5</v>
      </c>
      <c r="AB60" s="4">
        <v>-0.4</v>
      </c>
      <c r="AC60" s="4">
        <f t="shared" si="26"/>
        <v>0.18530324014094177</v>
      </c>
      <c r="AD60">
        <f t="shared" si="27"/>
        <v>6.7152375822649574E-2</v>
      </c>
      <c r="AF60" s="4"/>
      <c r="AG60" s="4">
        <v>1</v>
      </c>
      <c r="AH60" s="4">
        <v>-0.4</v>
      </c>
      <c r="AI60" s="4">
        <f t="shared" si="28"/>
        <v>0.18530324014094177</v>
      </c>
      <c r="AJ60" s="4">
        <f t="shared" si="29"/>
        <v>6.7152375822649574E-2</v>
      </c>
    </row>
    <row r="61" spans="1:36" x14ac:dyDescent="0.3">
      <c r="A61" s="4">
        <v>2</v>
      </c>
      <c r="B61" s="4">
        <f t="shared" si="19"/>
        <v>0.02</v>
      </c>
      <c r="C61">
        <f t="shared" si="20"/>
        <v>1</v>
      </c>
      <c r="D61" s="4">
        <v>3.2</v>
      </c>
      <c r="E61" s="4">
        <f t="shared" si="21"/>
        <v>4.7242774522530855</v>
      </c>
      <c r="F61" s="8">
        <f t="shared" si="18"/>
        <v>4.1421293592562571E-6</v>
      </c>
      <c r="G61" s="4">
        <f t="shared" si="22"/>
        <v>4.1421293592562574</v>
      </c>
      <c r="H61">
        <f t="shared" si="23"/>
        <v>0.53804449610015026</v>
      </c>
      <c r="J61" s="4"/>
      <c r="K61" s="4">
        <v>2</v>
      </c>
      <c r="L61" s="4">
        <v>2.2999999999999998</v>
      </c>
      <c r="M61" s="4">
        <f t="shared" si="24"/>
        <v>3.5895338992250494</v>
      </c>
      <c r="N61" s="4">
        <f t="shared" si="25"/>
        <v>0.38674536871985049</v>
      </c>
      <c r="O61" s="18">
        <v>4.5</v>
      </c>
      <c r="P61" s="4">
        <v>-2.6</v>
      </c>
      <c r="Q61" s="4">
        <f t="shared" si="30"/>
        <v>-2.5885143339275904</v>
      </c>
      <c r="R61">
        <f t="shared" si="31"/>
        <v>2.5885143339275904</v>
      </c>
      <c r="S61" s="4">
        <f t="shared" si="32"/>
        <v>0.4369944876242996</v>
      </c>
      <c r="T61" s="4"/>
      <c r="U61" s="4">
        <v>1</v>
      </c>
      <c r="V61" s="4">
        <v>-3.6</v>
      </c>
      <c r="W61" s="4">
        <f t="shared" si="33"/>
        <v>-3.8493405039587416</v>
      </c>
      <c r="X61">
        <f t="shared" si="34"/>
        <v>3.8493405039587416</v>
      </c>
      <c r="Y61">
        <f t="shared" si="35"/>
        <v>0.60510463233125467</v>
      </c>
      <c r="AA61" s="4">
        <v>5</v>
      </c>
      <c r="AB61" s="4">
        <v>-0.5</v>
      </c>
      <c r="AC61" s="4">
        <f>(AB61-$K$47)/($B$54*$N$47)</f>
        <v>5.9220623137826681E-2</v>
      </c>
      <c r="AD61">
        <f t="shared" si="27"/>
        <v>8.3963336500741267E-2</v>
      </c>
      <c r="AF61" s="4"/>
      <c r="AG61" s="4">
        <v>1.5</v>
      </c>
      <c r="AH61" s="4">
        <v>-0.5</v>
      </c>
      <c r="AI61" s="4">
        <f t="shared" si="28"/>
        <v>5.9220623137826681E-2</v>
      </c>
      <c r="AJ61" s="4">
        <f t="shared" si="29"/>
        <v>8.3963336500741267E-2</v>
      </c>
    </row>
    <row r="62" spans="1:36" x14ac:dyDescent="0.3">
      <c r="A62" s="4">
        <v>2.5</v>
      </c>
      <c r="B62" s="4">
        <f t="shared" si="19"/>
        <v>2.5000000000000001E-2</v>
      </c>
      <c r="C62">
        <f t="shared" si="20"/>
        <v>1.5</v>
      </c>
      <c r="D62" s="4">
        <v>2.9</v>
      </c>
      <c r="E62" s="4">
        <f t="shared" si="21"/>
        <v>4.3460296012437398</v>
      </c>
      <c r="F62" s="8">
        <f t="shared" si="18"/>
        <v>3.6665335630574587E-6</v>
      </c>
      <c r="G62" s="4">
        <f t="shared" si="22"/>
        <v>3.6665335630574587</v>
      </c>
      <c r="H62">
        <f t="shared" si="23"/>
        <v>0.4876114527158148</v>
      </c>
      <c r="J62" s="4"/>
      <c r="K62" s="4">
        <v>2.5</v>
      </c>
      <c r="L62" s="4">
        <v>2.2000000000000002</v>
      </c>
      <c r="M62" s="4">
        <f t="shared" si="24"/>
        <v>3.4634512822219348</v>
      </c>
      <c r="N62" s="4">
        <f t="shared" si="25"/>
        <v>0.36993435524328244</v>
      </c>
      <c r="O62" s="18">
        <v>5</v>
      </c>
      <c r="P62" s="4">
        <v>-2.1</v>
      </c>
      <c r="Q62" s="4">
        <f t="shared" si="30"/>
        <v>-1.9581012489120151</v>
      </c>
      <c r="R62">
        <f t="shared" si="31"/>
        <v>1.9581012489120151</v>
      </c>
      <c r="S62" s="4">
        <f t="shared" si="32"/>
        <v>0.35293941945762031</v>
      </c>
      <c r="T62" s="4"/>
      <c r="U62" s="4">
        <v>1.5</v>
      </c>
      <c r="V62" s="4">
        <v>-2.9</v>
      </c>
      <c r="W62" s="4">
        <f t="shared" si="33"/>
        <v>-2.9667621849369357</v>
      </c>
      <c r="X62">
        <f t="shared" si="34"/>
        <v>2.9667621849369357</v>
      </c>
      <c r="Y62">
        <f t="shared" si="35"/>
        <v>0.48742753018753759</v>
      </c>
      <c r="AA62" s="4">
        <v>5.5</v>
      </c>
      <c r="AB62" s="4">
        <v>-0.6</v>
      </c>
      <c r="AC62" s="4">
        <f>(AB62-$K$47)/($B$54*$N$47)</f>
        <v>-6.6861993865288391E-2</v>
      </c>
      <c r="AD62">
        <f t="shared" si="27"/>
        <v>0.10077431551702469</v>
      </c>
      <c r="AF62" s="4"/>
      <c r="AG62" s="4">
        <v>2</v>
      </c>
      <c r="AH62" s="4">
        <v>-0.6</v>
      </c>
      <c r="AI62" s="4">
        <f t="shared" si="28"/>
        <v>-6.6861993865288391E-2</v>
      </c>
      <c r="AJ62" s="4">
        <f t="shared" si="29"/>
        <v>0.10077431551702469</v>
      </c>
    </row>
    <row r="63" spans="1:36" x14ac:dyDescent="0.3">
      <c r="A63" s="4">
        <v>3</v>
      </c>
      <c r="B63" s="4">
        <f t="shared" si="19"/>
        <v>0.03</v>
      </c>
      <c r="C63">
        <f t="shared" si="20"/>
        <v>2</v>
      </c>
      <c r="D63" s="4">
        <v>2.6</v>
      </c>
      <c r="E63" s="4">
        <f t="shared" si="21"/>
        <v>3.9677817502343951</v>
      </c>
      <c r="F63" s="8">
        <f t="shared" si="18"/>
        <v>3.1979376033344663E-6</v>
      </c>
      <c r="G63" s="4">
        <f t="shared" si="22"/>
        <v>3.1979376033344664</v>
      </c>
      <c r="H63">
        <f t="shared" si="23"/>
        <v>0.43717841014909475</v>
      </c>
      <c r="J63" s="4"/>
      <c r="K63" s="4">
        <v>3</v>
      </c>
      <c r="L63" s="4">
        <v>2.2000000000000002</v>
      </c>
      <c r="M63" s="4">
        <f t="shared" si="24"/>
        <v>3.4634512822219348</v>
      </c>
      <c r="N63" s="4">
        <f t="shared" si="25"/>
        <v>0.36993435524328244</v>
      </c>
      <c r="O63" s="18">
        <v>5.5</v>
      </c>
      <c r="P63" s="4">
        <v>-1.8</v>
      </c>
      <c r="Q63" s="4">
        <f t="shared" si="30"/>
        <v>-1.5798533979026697</v>
      </c>
      <c r="R63">
        <f t="shared" si="31"/>
        <v>1.5798533979026697</v>
      </c>
      <c r="S63" s="4">
        <f t="shared" si="32"/>
        <v>0.30250638123757045</v>
      </c>
      <c r="T63" s="4"/>
      <c r="U63" s="4">
        <v>2</v>
      </c>
      <c r="V63" s="4">
        <v>-2.4</v>
      </c>
      <c r="W63" s="4">
        <f t="shared" si="33"/>
        <v>-2.3363490999213603</v>
      </c>
      <c r="X63">
        <f t="shared" si="34"/>
        <v>2.3363490999213603</v>
      </c>
      <c r="Y63">
        <f t="shared" si="35"/>
        <v>0.40337245985517395</v>
      </c>
      <c r="AA63" s="4">
        <v>6</v>
      </c>
      <c r="AB63" s="4">
        <v>-0.6</v>
      </c>
      <c r="AC63" s="4">
        <f t="shared" si="26"/>
        <v>-6.6861993865288391E-2</v>
      </c>
      <c r="AD63">
        <f t="shared" si="27"/>
        <v>0.10077431551702469</v>
      </c>
      <c r="AF63" s="4"/>
      <c r="AG63" s="4">
        <v>2.5</v>
      </c>
      <c r="AH63" s="4">
        <v>-0.7</v>
      </c>
      <c r="AI63" s="4">
        <f t="shared" si="28"/>
        <v>-0.19294461086840348</v>
      </c>
      <c r="AJ63" s="4">
        <f t="shared" si="29"/>
        <v>0.11758530500615615</v>
      </c>
    </row>
    <row r="64" spans="1:36" x14ac:dyDescent="0.3">
      <c r="A64" s="4">
        <v>3.5</v>
      </c>
      <c r="B64" s="4">
        <f t="shared" si="19"/>
        <v>3.5000000000000003E-2</v>
      </c>
      <c r="C64">
        <f t="shared" si="20"/>
        <v>2.5</v>
      </c>
      <c r="D64" s="4">
        <v>2.2999999999999998</v>
      </c>
      <c r="E64" s="4">
        <f t="shared" si="21"/>
        <v>3.5895338992250494</v>
      </c>
      <c r="F64" s="8">
        <f t="shared" si="18"/>
        <v>2.7607320693899882E-6</v>
      </c>
      <c r="G64" s="4">
        <f t="shared" si="22"/>
        <v>2.7607320693899884</v>
      </c>
      <c r="H64">
        <f t="shared" si="23"/>
        <v>0.38674536871985049</v>
      </c>
      <c r="J64" s="4"/>
      <c r="K64" s="4">
        <v>3.5</v>
      </c>
      <c r="L64" s="4">
        <v>2.1</v>
      </c>
      <c r="M64" s="4">
        <f t="shared" si="24"/>
        <v>3.3373686652188193</v>
      </c>
      <c r="N64" s="4">
        <f t="shared" si="25"/>
        <v>0.35312334197295819</v>
      </c>
      <c r="O64" s="18">
        <v>6</v>
      </c>
      <c r="P64" s="4">
        <v>-1.6</v>
      </c>
      <c r="Q64" s="4">
        <f t="shared" si="30"/>
        <v>-1.3276881638964395</v>
      </c>
      <c r="R64">
        <f t="shared" si="31"/>
        <v>1.3276881638964395</v>
      </c>
      <c r="S64" s="4">
        <f t="shared" si="32"/>
        <v>0.26888435757233037</v>
      </c>
      <c r="T64" s="4"/>
      <c r="U64" s="4">
        <v>2.5</v>
      </c>
      <c r="V64" s="4">
        <v>-1.9</v>
      </c>
      <c r="W64" s="4">
        <f t="shared" si="33"/>
        <v>-1.7059360149057847</v>
      </c>
      <c r="X64">
        <f t="shared" si="34"/>
        <v>1.7059360149057847</v>
      </c>
      <c r="Y64">
        <f t="shared" si="35"/>
        <v>0.31931739367195422</v>
      </c>
      <c r="AA64" s="4">
        <v>6.5</v>
      </c>
      <c r="AB64" s="4">
        <v>-0.6</v>
      </c>
      <c r="AC64" s="4">
        <f t="shared" si="26"/>
        <v>-6.6861993865288391E-2</v>
      </c>
      <c r="AD64">
        <f t="shared" si="27"/>
        <v>0.10077431551702469</v>
      </c>
      <c r="AF64" s="4"/>
      <c r="AG64" s="4">
        <v>3</v>
      </c>
      <c r="AH64" s="4">
        <v>-0.7</v>
      </c>
      <c r="AI64" s="4">
        <f t="shared" si="28"/>
        <v>-0.19294461086840348</v>
      </c>
      <c r="AJ64" s="4">
        <f t="shared" si="29"/>
        <v>0.11758530500615615</v>
      </c>
    </row>
    <row r="65" spans="1:36" x14ac:dyDescent="0.3">
      <c r="A65" s="4">
        <v>4</v>
      </c>
      <c r="B65" s="4">
        <f t="shared" si="19"/>
        <v>0.04</v>
      </c>
      <c r="C65">
        <f t="shared" si="20"/>
        <v>3</v>
      </c>
      <c r="D65" s="4">
        <v>2</v>
      </c>
      <c r="E65" s="4">
        <f t="shared" si="21"/>
        <v>3.2112860482157042</v>
      </c>
      <c r="F65" s="8">
        <f t="shared" si="18"/>
        <v>2.3679869620698238E-6</v>
      </c>
      <c r="G65" s="4">
        <f t="shared" si="22"/>
        <v>2.367986962069824</v>
      </c>
      <c r="H65">
        <f t="shared" si="23"/>
        <v>0.336312328939806</v>
      </c>
      <c r="J65" s="4">
        <v>4.5</v>
      </c>
      <c r="K65" s="4">
        <v>0</v>
      </c>
      <c r="L65" s="4">
        <v>1.6</v>
      </c>
      <c r="M65" s="4">
        <f t="shared" si="24"/>
        <v>2.7069555802032439</v>
      </c>
      <c r="N65" s="4">
        <f t="shared" si="25"/>
        <v>0.26906828006800837</v>
      </c>
      <c r="O65" s="18">
        <v>6.5</v>
      </c>
      <c r="P65" s="4">
        <v>-1.4</v>
      </c>
      <c r="Q65" s="4">
        <f t="shared" si="30"/>
        <v>-1.0755229298902091</v>
      </c>
      <c r="R65">
        <f t="shared" si="31"/>
        <v>1.0755229298902091</v>
      </c>
      <c r="S65" s="4">
        <f t="shared" si="32"/>
        <v>0.2352623360851254</v>
      </c>
      <c r="T65" s="4"/>
      <c r="U65" s="4">
        <v>3</v>
      </c>
      <c r="V65" s="4">
        <v>-1.5</v>
      </c>
      <c r="W65" s="4">
        <f t="shared" si="33"/>
        <v>-1.2016055468933244</v>
      </c>
      <c r="X65">
        <f t="shared" si="34"/>
        <v>1.2016055468933244</v>
      </c>
      <c r="Y65">
        <f t="shared" si="35"/>
        <v>0.2520733465020028</v>
      </c>
      <c r="AA65" s="4">
        <v>7</v>
      </c>
      <c r="AB65" s="4">
        <v>-0.6</v>
      </c>
      <c r="AC65" s="4">
        <f t="shared" si="26"/>
        <v>-6.6861993865288391E-2</v>
      </c>
      <c r="AD65">
        <f t="shared" si="27"/>
        <v>0.10077431551702469</v>
      </c>
      <c r="AF65" s="4"/>
      <c r="AG65" s="4">
        <v>3.5</v>
      </c>
      <c r="AH65" s="4">
        <v>-0.7</v>
      </c>
      <c r="AI65" s="4">
        <f t="shared" si="28"/>
        <v>-0.19294461086840348</v>
      </c>
      <c r="AJ65" s="4">
        <f t="shared" si="29"/>
        <v>0.11758530500615615</v>
      </c>
    </row>
    <row r="66" spans="1:36" x14ac:dyDescent="0.3">
      <c r="A66" s="4">
        <v>4.5</v>
      </c>
      <c r="B66" s="4">
        <f t="shared" si="19"/>
        <v>4.4999999999999998E-2</v>
      </c>
      <c r="C66">
        <f t="shared" si="20"/>
        <v>3.5</v>
      </c>
      <c r="D66" s="4">
        <v>1.6</v>
      </c>
      <c r="E66" s="4">
        <f t="shared" si="21"/>
        <v>2.7069555802032439</v>
      </c>
      <c r="F66" s="8">
        <f t="shared" si="18"/>
        <v>2.02428284980482E-6</v>
      </c>
      <c r="G66" s="4">
        <f t="shared" si="22"/>
        <v>2.0242828498048198</v>
      </c>
      <c r="H66">
        <f t="shared" si="23"/>
        <v>0.26906828006800837</v>
      </c>
      <c r="J66" s="4"/>
      <c r="K66" s="4">
        <v>0.5</v>
      </c>
      <c r="L66" s="4">
        <v>1.6</v>
      </c>
      <c r="M66" s="4">
        <f t="shared" si="24"/>
        <v>2.7069555802032439</v>
      </c>
      <c r="N66" s="4">
        <f t="shared" si="25"/>
        <v>0.26906828006800837</v>
      </c>
      <c r="O66" s="18">
        <v>7</v>
      </c>
      <c r="P66" s="4">
        <v>-1.3</v>
      </c>
      <c r="Q66" s="4">
        <f t="shared" si="30"/>
        <v>-0.94944031288709418</v>
      </c>
      <c r="R66">
        <f t="shared" si="31"/>
        <v>0.94944031288709418</v>
      </c>
      <c r="S66" s="4">
        <f t="shared" si="32"/>
        <v>0.21845132647255772</v>
      </c>
      <c r="T66" s="4"/>
      <c r="U66" s="4">
        <v>3.5</v>
      </c>
      <c r="V66" s="4">
        <v>-1.2</v>
      </c>
      <c r="W66" s="4">
        <f t="shared" si="33"/>
        <v>-0.823357695883979</v>
      </c>
      <c r="X66">
        <f t="shared" si="34"/>
        <v>0.823357695883979</v>
      </c>
      <c r="Y66">
        <f t="shared" si="35"/>
        <v>0.20164031786546888</v>
      </c>
      <c r="AA66" s="4">
        <v>7.5</v>
      </c>
      <c r="AB66" s="4">
        <v>-0.7</v>
      </c>
      <c r="AC66" s="4">
        <f t="shared" si="26"/>
        <v>-0.19294461086840348</v>
      </c>
      <c r="AD66">
        <f t="shared" si="27"/>
        <v>0.11758530500615615</v>
      </c>
      <c r="AF66" s="4">
        <v>4.5</v>
      </c>
      <c r="AG66" s="4">
        <v>0</v>
      </c>
      <c r="AH66" s="4">
        <v>-0.4</v>
      </c>
      <c r="AI66" s="4">
        <f t="shared" si="28"/>
        <v>0.18530324014094177</v>
      </c>
      <c r="AJ66" s="4">
        <f t="shared" si="29"/>
        <v>6.7152375822649574E-2</v>
      </c>
    </row>
    <row r="67" spans="1:36" x14ac:dyDescent="0.3">
      <c r="A67" s="4">
        <v>5</v>
      </c>
      <c r="B67" s="4">
        <f t="shared" si="19"/>
        <v>0.05</v>
      </c>
      <c r="C67">
        <f t="shared" si="20"/>
        <v>4</v>
      </c>
      <c r="D67" s="4">
        <v>1.3</v>
      </c>
      <c r="E67" s="4">
        <f t="shared" si="21"/>
        <v>2.3287077291938987</v>
      </c>
      <c r="F67" s="8">
        <f t="shared" si="18"/>
        <v>1.7287415398512411E-6</v>
      </c>
      <c r="G67" s="4">
        <f t="shared" si="22"/>
        <v>1.7287415398512411</v>
      </c>
      <c r="H67">
        <f t="shared" si="23"/>
        <v>0.21863524894411007</v>
      </c>
      <c r="J67" s="4"/>
      <c r="K67" s="4">
        <v>1</v>
      </c>
      <c r="L67" s="4">
        <v>1.6</v>
      </c>
      <c r="M67" s="4">
        <f t="shared" si="24"/>
        <v>2.7069555802032439</v>
      </c>
      <c r="N67" s="4">
        <f t="shared" si="25"/>
        <v>0.26906828006800837</v>
      </c>
      <c r="O67" s="18">
        <v>7.5</v>
      </c>
      <c r="P67" s="4">
        <v>-1.2</v>
      </c>
      <c r="Q67" s="4">
        <f t="shared" si="30"/>
        <v>-0.823357695883979</v>
      </c>
      <c r="R67">
        <f t="shared" si="31"/>
        <v>0.823357695883979</v>
      </c>
      <c r="S67" s="4">
        <f t="shared" si="32"/>
        <v>0.20164031786546888</v>
      </c>
      <c r="T67" s="4">
        <v>4.5</v>
      </c>
      <c r="U67" s="4">
        <v>0</v>
      </c>
      <c r="V67" s="4">
        <v>-2.6</v>
      </c>
      <c r="W67" s="4">
        <f t="shared" si="33"/>
        <v>-2.5885143339275904</v>
      </c>
      <c r="X67">
        <f t="shared" si="34"/>
        <v>2.5885143339275904</v>
      </c>
      <c r="Y67">
        <f t="shared" si="35"/>
        <v>0.4369944876242996</v>
      </c>
      <c r="AA67" s="4">
        <v>8</v>
      </c>
      <c r="AB67" s="4">
        <v>-0.7</v>
      </c>
      <c r="AC67" s="4">
        <f t="shared" si="26"/>
        <v>-0.19294461086840348</v>
      </c>
      <c r="AD67">
        <f t="shared" si="27"/>
        <v>0.11758530500615615</v>
      </c>
      <c r="AF67" s="4"/>
      <c r="AG67" s="4">
        <v>0.5</v>
      </c>
      <c r="AH67" s="4">
        <v>-0.5</v>
      </c>
      <c r="AI67" s="4">
        <f t="shared" si="28"/>
        <v>5.9220623137826681E-2</v>
      </c>
      <c r="AJ67" s="4">
        <f t="shared" si="29"/>
        <v>8.3963336500741267E-2</v>
      </c>
    </row>
    <row r="68" spans="1:36" x14ac:dyDescent="0.3">
      <c r="A68" s="4">
        <v>5.5</v>
      </c>
      <c r="B68" s="4">
        <f t="shared" si="19"/>
        <v>5.5E-2</v>
      </c>
      <c r="C68">
        <f t="shared" si="20"/>
        <v>4.5</v>
      </c>
      <c r="D68" s="4">
        <v>1.1000000000000001</v>
      </c>
      <c r="E68" s="4">
        <f t="shared" si="21"/>
        <v>2.0765424951876685</v>
      </c>
      <c r="F68" s="8">
        <f t="shared" si="18"/>
        <v>1.4774812885385977E-6</v>
      </c>
      <c r="G68" s="4">
        <f t="shared" si="22"/>
        <v>1.4774812885385977</v>
      </c>
      <c r="H68">
        <f t="shared" si="23"/>
        <v>0.18501323298160727</v>
      </c>
      <c r="J68" s="4"/>
      <c r="K68" s="4">
        <v>1.5</v>
      </c>
      <c r="L68" s="4">
        <v>1.6</v>
      </c>
      <c r="M68" s="4">
        <f t="shared" si="24"/>
        <v>2.7069555802032439</v>
      </c>
      <c r="N68" s="4">
        <f t="shared" si="25"/>
        <v>0.26906828006800837</v>
      </c>
      <c r="O68" s="18">
        <v>8</v>
      </c>
      <c r="P68" s="4">
        <v>-1.1000000000000001</v>
      </c>
      <c r="Q68" s="4">
        <f t="shared" si="30"/>
        <v>-0.69727507888086404</v>
      </c>
      <c r="R68">
        <f t="shared" si="31"/>
        <v>0.69727507888086404</v>
      </c>
      <c r="S68" s="4">
        <f t="shared" si="32"/>
        <v>0.18482931053821638</v>
      </c>
      <c r="T68" s="4"/>
      <c r="U68" s="4">
        <v>0.5</v>
      </c>
      <c r="V68" s="4">
        <v>-2.5</v>
      </c>
      <c r="W68" s="4">
        <f t="shared" si="33"/>
        <v>-2.4624317169244754</v>
      </c>
      <c r="X68">
        <f t="shared" si="34"/>
        <v>2.4624317169244754</v>
      </c>
      <c r="Y68">
        <f t="shared" si="35"/>
        <v>0.42018347366939618</v>
      </c>
      <c r="AA68" s="4">
        <v>8.5</v>
      </c>
      <c r="AB68" s="4">
        <v>-0.7</v>
      </c>
      <c r="AC68" s="4">
        <f t="shared" si="26"/>
        <v>-0.19294461086840348</v>
      </c>
      <c r="AD68">
        <f t="shared" si="27"/>
        <v>0.11758530500615615</v>
      </c>
      <c r="AF68" s="4"/>
      <c r="AG68" s="4">
        <v>1</v>
      </c>
      <c r="AH68" s="4">
        <v>-0.5</v>
      </c>
      <c r="AI68" s="4">
        <f t="shared" si="28"/>
        <v>5.9220623137826681E-2</v>
      </c>
      <c r="AJ68" s="4">
        <f t="shared" si="29"/>
        <v>8.3963336500741267E-2</v>
      </c>
    </row>
    <row r="69" spans="1:36" x14ac:dyDescent="0.3">
      <c r="A69" s="4">
        <v>6</v>
      </c>
      <c r="B69" s="4">
        <f t="shared" si="19"/>
        <v>0.06</v>
      </c>
      <c r="C69">
        <f t="shared" si="20"/>
        <v>5</v>
      </c>
      <c r="D69" s="4">
        <v>0.8</v>
      </c>
      <c r="E69" s="4">
        <f t="shared" si="21"/>
        <v>1.6982946441783231</v>
      </c>
      <c r="F69" s="8">
        <f t="shared" si="18"/>
        <v>1.2653121158259166E-6</v>
      </c>
      <c r="G69" s="4">
        <f t="shared" si="22"/>
        <v>1.2653121158259166</v>
      </c>
      <c r="H69">
        <f t="shared" si="23"/>
        <v>0.13458022339322437</v>
      </c>
      <c r="J69" s="4"/>
      <c r="K69" s="4">
        <v>2</v>
      </c>
      <c r="L69" s="4">
        <v>1.6</v>
      </c>
      <c r="M69" s="4">
        <f t="shared" si="24"/>
        <v>2.7069555802032439</v>
      </c>
      <c r="N69" s="4">
        <f t="shared" si="25"/>
        <v>0.26906828006800837</v>
      </c>
      <c r="O69" s="18">
        <v>8.5</v>
      </c>
      <c r="P69" s="4">
        <v>-1</v>
      </c>
      <c r="Q69" s="4">
        <f t="shared" si="30"/>
        <v>-0.57119246187774886</v>
      </c>
      <c r="R69">
        <f t="shared" si="31"/>
        <v>0.57119246187774886</v>
      </c>
      <c r="S69" s="4">
        <f t="shared" si="32"/>
        <v>0.16801830487496094</v>
      </c>
      <c r="T69" s="4"/>
      <c r="U69" s="4">
        <v>1</v>
      </c>
      <c r="V69" s="4">
        <v>-2.2999999999999998</v>
      </c>
      <c r="W69" s="4">
        <f t="shared" si="33"/>
        <v>-2.2102664829182448</v>
      </c>
      <c r="X69">
        <f t="shared" si="34"/>
        <v>2.2102664829182448</v>
      </c>
      <c r="Y69">
        <f t="shared" si="35"/>
        <v>0.386561446199987</v>
      </c>
      <c r="AA69" s="4">
        <v>9</v>
      </c>
      <c r="AB69" s="4">
        <v>-0.7</v>
      </c>
      <c r="AC69" s="4">
        <f t="shared" si="26"/>
        <v>-0.19294461086840348</v>
      </c>
      <c r="AD69">
        <f t="shared" si="27"/>
        <v>0.11758530500615615</v>
      </c>
      <c r="AF69" s="4"/>
      <c r="AG69" s="4">
        <v>1.5</v>
      </c>
      <c r="AH69" s="4">
        <v>-0.5</v>
      </c>
      <c r="AI69" s="4">
        <f t="shared" si="28"/>
        <v>5.9220623137826681E-2</v>
      </c>
      <c r="AJ69" s="4">
        <f t="shared" si="29"/>
        <v>8.3963336500741267E-2</v>
      </c>
    </row>
    <row r="70" spans="1:36" x14ac:dyDescent="0.3">
      <c r="A70" s="4">
        <v>6.5</v>
      </c>
      <c r="B70" s="4">
        <f t="shared" si="19"/>
        <v>6.5000000000000002E-2</v>
      </c>
      <c r="C70">
        <f t="shared" si="20"/>
        <v>5.5</v>
      </c>
      <c r="D70" s="4">
        <v>0.6</v>
      </c>
      <c r="E70" s="4">
        <f t="shared" si="21"/>
        <v>1.446129410172093</v>
      </c>
      <c r="F70" s="8">
        <f t="shared" si="18"/>
        <v>1.0867731955688866E-6</v>
      </c>
      <c r="G70" s="4">
        <f t="shared" si="22"/>
        <v>1.0867731955688866</v>
      </c>
      <c r="H70">
        <f t="shared" si="23"/>
        <v>0.10095823772630746</v>
      </c>
      <c r="J70" s="4"/>
      <c r="K70" s="4">
        <v>2.5</v>
      </c>
      <c r="L70" s="4">
        <v>1.5</v>
      </c>
      <c r="M70" s="4">
        <f t="shared" si="24"/>
        <v>2.5808729632001288</v>
      </c>
      <c r="N70" s="4">
        <f t="shared" si="25"/>
        <v>0.25225726899122386</v>
      </c>
      <c r="O70" s="18">
        <v>9</v>
      </c>
      <c r="P70" s="4">
        <v>-1</v>
      </c>
      <c r="Q70" s="4">
        <f t="shared" si="30"/>
        <v>-0.57119246187774886</v>
      </c>
      <c r="R70">
        <f t="shared" si="31"/>
        <v>0.57119246187774886</v>
      </c>
      <c r="S70" s="4">
        <f t="shared" si="32"/>
        <v>0.16801830487496094</v>
      </c>
      <c r="T70" s="4"/>
      <c r="U70" s="4">
        <v>1.5</v>
      </c>
      <c r="V70" s="4">
        <v>-2.1</v>
      </c>
      <c r="W70" s="4">
        <f t="shared" si="33"/>
        <v>-1.9581012489120151</v>
      </c>
      <c r="X70">
        <f t="shared" si="34"/>
        <v>1.9581012489120151</v>
      </c>
      <c r="Y70">
        <f t="shared" si="35"/>
        <v>0.35293941945762031</v>
      </c>
      <c r="AA70" s="4">
        <v>9.5</v>
      </c>
      <c r="AB70" s="4">
        <v>-0.7</v>
      </c>
      <c r="AC70" s="4">
        <f t="shared" si="26"/>
        <v>-0.19294461086840348</v>
      </c>
      <c r="AD70">
        <f t="shared" si="27"/>
        <v>0.11758530500615615</v>
      </c>
      <c r="AF70" s="4"/>
      <c r="AG70" s="4">
        <v>2</v>
      </c>
      <c r="AH70" s="4">
        <v>-0.6</v>
      </c>
      <c r="AI70" s="4">
        <f t="shared" si="28"/>
        <v>-6.6861993865288391E-2</v>
      </c>
      <c r="AJ70" s="4">
        <f t="shared" si="29"/>
        <v>0.10077431551702469</v>
      </c>
    </row>
    <row r="71" spans="1:36" x14ac:dyDescent="0.3">
      <c r="A71" s="4">
        <v>7</v>
      </c>
      <c r="B71" s="4">
        <f t="shared" si="19"/>
        <v>7.0000000000000007E-2</v>
      </c>
      <c r="C71">
        <f t="shared" si="20"/>
        <v>6</v>
      </c>
      <c r="D71" s="4">
        <v>0.5</v>
      </c>
      <c r="E71" s="4">
        <f t="shared" si="21"/>
        <v>1.3200467931689777</v>
      </c>
      <c r="F71" s="8">
        <f t="shared" si="18"/>
        <v>9.3669633916488092E-7</v>
      </c>
      <c r="G71" s="4">
        <f t="shared" si="22"/>
        <v>0.93669633916488093</v>
      </c>
      <c r="H71">
        <f t="shared" si="23"/>
        <v>8.4147258563390032E-2</v>
      </c>
      <c r="J71" s="4"/>
      <c r="K71" s="4">
        <v>3</v>
      </c>
      <c r="L71" s="4">
        <v>1.4</v>
      </c>
      <c r="M71" s="4">
        <f t="shared" si="24"/>
        <v>2.4547903461970133</v>
      </c>
      <c r="N71" s="4">
        <f t="shared" si="25"/>
        <v>0.23544625856645701</v>
      </c>
      <c r="O71" s="18"/>
      <c r="P71" s="4"/>
      <c r="Q71" s="4"/>
      <c r="S71" s="4"/>
      <c r="T71" s="4"/>
      <c r="U71" s="4">
        <v>2</v>
      </c>
      <c r="V71" s="4">
        <v>-1.9</v>
      </c>
      <c r="W71" s="4">
        <f t="shared" si="33"/>
        <v>-1.7059360149057847</v>
      </c>
      <c r="X71">
        <f t="shared" si="34"/>
        <v>1.7059360149057847</v>
      </c>
      <c r="Y71">
        <f t="shared" si="35"/>
        <v>0.31931739367195422</v>
      </c>
      <c r="AA71" s="4"/>
      <c r="AB71" s="4"/>
      <c r="AC71" s="4"/>
      <c r="AF71" s="4"/>
      <c r="AG71" s="4">
        <v>2.5</v>
      </c>
      <c r="AH71" s="4">
        <v>-0.6</v>
      </c>
      <c r="AI71" s="4">
        <f t="shared" si="28"/>
        <v>-6.6861993865288391E-2</v>
      </c>
      <c r="AJ71" s="4">
        <f t="shared" si="29"/>
        <v>0.10077431551702469</v>
      </c>
    </row>
    <row r="72" spans="1:36" x14ac:dyDescent="0.3">
      <c r="A72" s="4">
        <v>7.5</v>
      </c>
      <c r="B72" s="4">
        <f t="shared" si="19"/>
        <v>7.4999999999999997E-2</v>
      </c>
      <c r="C72">
        <f t="shared" si="20"/>
        <v>6.5</v>
      </c>
      <c r="D72" s="4">
        <v>0.3</v>
      </c>
      <c r="E72" s="4">
        <f t="shared" si="21"/>
        <v>1.0678815591627475</v>
      </c>
      <c r="F72" s="8">
        <f t="shared" si="18"/>
        <v>8.1046529581466592E-7</v>
      </c>
      <c r="G72" s="4">
        <f t="shared" si="22"/>
        <v>0.81046529581466598</v>
      </c>
      <c r="H72">
        <f t="shared" si="23"/>
        <v>5.0525373063760821E-2</v>
      </c>
      <c r="J72" s="4"/>
      <c r="K72" s="4">
        <v>3.5</v>
      </c>
      <c r="L72" s="4">
        <v>1.3</v>
      </c>
      <c r="M72" s="4">
        <f t="shared" si="24"/>
        <v>2.3287077291938987</v>
      </c>
      <c r="N72" s="4">
        <f t="shared" si="25"/>
        <v>0.21863524894411007</v>
      </c>
      <c r="O72" s="18"/>
      <c r="P72" s="4"/>
      <c r="Q72" s="4"/>
      <c r="S72" s="4"/>
      <c r="T72" s="4"/>
      <c r="U72" s="4">
        <v>2.5</v>
      </c>
      <c r="V72" s="4">
        <v>-1.6</v>
      </c>
      <c r="W72" s="4">
        <f t="shared" si="33"/>
        <v>-1.3276881638964395</v>
      </c>
      <c r="X72">
        <f t="shared" si="34"/>
        <v>1.3276881638964395</v>
      </c>
      <c r="Y72">
        <f t="shared" si="35"/>
        <v>0.26888435757233037</v>
      </c>
      <c r="AF72" s="4"/>
      <c r="AG72" s="4">
        <v>3</v>
      </c>
      <c r="AH72" s="4">
        <v>-0.7</v>
      </c>
      <c r="AI72" s="4">
        <f t="shared" si="28"/>
        <v>-0.19294461086840348</v>
      </c>
      <c r="AJ72" s="4">
        <f t="shared" si="29"/>
        <v>0.11758530500615615</v>
      </c>
    </row>
    <row r="73" spans="1:36" x14ac:dyDescent="0.3">
      <c r="A73" s="4">
        <v>8</v>
      </c>
      <c r="B73" s="4">
        <f t="shared" si="19"/>
        <v>0.08</v>
      </c>
      <c r="C73">
        <f t="shared" si="20"/>
        <v>7</v>
      </c>
      <c r="D73" s="4">
        <v>0.2</v>
      </c>
      <c r="E73" s="4">
        <f t="shared" si="21"/>
        <v>0.94179894215963234</v>
      </c>
      <c r="F73" s="8">
        <f t="shared" si="18"/>
        <v>7.0409683613861591E-7</v>
      </c>
      <c r="G73" s="4">
        <f t="shared" si="22"/>
        <v>0.70409683613861596</v>
      </c>
      <c r="H73">
        <f t="shared" si="23"/>
        <v>3.3714539353192914E-2</v>
      </c>
      <c r="J73" s="4">
        <v>7.5</v>
      </c>
      <c r="K73" s="4">
        <v>0</v>
      </c>
      <c r="L73" s="4">
        <v>0.3</v>
      </c>
      <c r="M73" s="4">
        <f t="shared" si="24"/>
        <v>1.0678815591627475</v>
      </c>
      <c r="N73" s="4">
        <f t="shared" si="25"/>
        <v>5.0525373063760821E-2</v>
      </c>
      <c r="O73" s="18"/>
      <c r="P73" s="20"/>
      <c r="Q73" s="4"/>
      <c r="S73" s="4"/>
      <c r="T73" s="4"/>
      <c r="U73" s="4">
        <v>3</v>
      </c>
      <c r="V73" s="4">
        <v>-1.4</v>
      </c>
      <c r="W73" s="4">
        <f t="shared" si="33"/>
        <v>-1.0755229298902091</v>
      </c>
      <c r="X73">
        <f t="shared" si="34"/>
        <v>1.0755229298902091</v>
      </c>
      <c r="Y73">
        <f t="shared" si="35"/>
        <v>0.2352623360851254</v>
      </c>
      <c r="AF73" s="4"/>
      <c r="AG73" s="4">
        <v>3.5</v>
      </c>
      <c r="AH73" s="4">
        <v>-0.7</v>
      </c>
      <c r="AI73" s="4">
        <f t="shared" si="28"/>
        <v>-0.19294461086840348</v>
      </c>
      <c r="AJ73" s="4">
        <f t="shared" si="29"/>
        <v>0.11758530500615615</v>
      </c>
    </row>
    <row r="74" spans="1:36" x14ac:dyDescent="0.3">
      <c r="A74" s="4">
        <v>8.5</v>
      </c>
      <c r="B74" s="4">
        <f t="shared" si="19"/>
        <v>8.5000000000000006E-2</v>
      </c>
      <c r="C74">
        <f t="shared" si="20"/>
        <v>7.5</v>
      </c>
      <c r="D74" s="4">
        <v>0.1</v>
      </c>
      <c r="E74" s="4">
        <f t="shared" si="21"/>
        <v>0.81571632515651726</v>
      </c>
      <c r="F74" s="8">
        <f t="shared" si="18"/>
        <v>6.142266869154008E-7</v>
      </c>
      <c r="G74" s="4">
        <f t="shared" si="22"/>
        <v>0.61422668691540083</v>
      </c>
      <c r="H74">
        <f t="shared" si="23"/>
        <v>1.6904067505827493E-2</v>
      </c>
      <c r="J74" s="4"/>
      <c r="K74" s="4">
        <v>0.5</v>
      </c>
      <c r="L74" s="4">
        <v>0.3</v>
      </c>
      <c r="M74" s="4">
        <f t="shared" si="24"/>
        <v>1.0678815591627475</v>
      </c>
      <c r="N74" s="4">
        <f t="shared" si="25"/>
        <v>5.0525373063760821E-2</v>
      </c>
      <c r="O74" s="18"/>
      <c r="P74" s="20"/>
      <c r="Q74" s="4"/>
      <c r="S74" s="4"/>
      <c r="T74" s="4"/>
      <c r="U74" s="4">
        <v>3.5</v>
      </c>
      <c r="V74" s="4">
        <v>-1.2</v>
      </c>
      <c r="W74" s="4">
        <f t="shared" si="33"/>
        <v>-0.823357695883979</v>
      </c>
      <c r="X74">
        <f t="shared" si="34"/>
        <v>0.823357695883979</v>
      </c>
      <c r="Y74">
        <f t="shared" si="35"/>
        <v>0.20164031786546888</v>
      </c>
      <c r="AF74" s="4">
        <v>7.5</v>
      </c>
      <c r="AG74" s="4">
        <v>0</v>
      </c>
      <c r="AH74" s="4">
        <v>-0.7</v>
      </c>
      <c r="AI74" s="4">
        <f t="shared" si="28"/>
        <v>-0.19294461086840348</v>
      </c>
      <c r="AJ74" s="4">
        <f t="shared" si="29"/>
        <v>0.11758530500615615</v>
      </c>
    </row>
    <row r="75" spans="1:36" x14ac:dyDescent="0.3">
      <c r="J75" s="4"/>
      <c r="K75" s="4">
        <v>1</v>
      </c>
      <c r="L75" s="4">
        <v>0.3</v>
      </c>
      <c r="M75" s="4">
        <f t="shared" si="24"/>
        <v>1.0678815591627475</v>
      </c>
      <c r="N75" s="4">
        <f t="shared" si="25"/>
        <v>5.0525373063760821E-2</v>
      </c>
      <c r="O75" s="18"/>
      <c r="P75" s="20"/>
      <c r="Q75" s="4"/>
      <c r="S75" s="4"/>
      <c r="T75" s="4">
        <v>7.5</v>
      </c>
      <c r="U75" s="4">
        <v>0</v>
      </c>
      <c r="V75" s="4">
        <v>-1.2</v>
      </c>
      <c r="W75" s="4">
        <f t="shared" si="33"/>
        <v>-0.823357695883979</v>
      </c>
      <c r="X75">
        <f t="shared" si="34"/>
        <v>0.823357695883979</v>
      </c>
      <c r="Y75">
        <f t="shared" si="35"/>
        <v>0.20164031786546888</v>
      </c>
      <c r="AF75" s="4"/>
      <c r="AG75" s="4">
        <v>0.5</v>
      </c>
      <c r="AH75" s="4">
        <v>-0.7</v>
      </c>
      <c r="AI75" s="4">
        <f t="shared" si="28"/>
        <v>-0.19294461086840348</v>
      </c>
      <c r="AJ75" s="4">
        <f t="shared" si="29"/>
        <v>0.11758530500615615</v>
      </c>
    </row>
    <row r="76" spans="1:36" x14ac:dyDescent="0.3">
      <c r="I76" s="4"/>
      <c r="J76" s="4"/>
      <c r="K76" s="4">
        <v>1.5</v>
      </c>
      <c r="L76" s="4">
        <v>0.3</v>
      </c>
      <c r="M76" s="4">
        <f t="shared" si="24"/>
        <v>1.0678815591627475</v>
      </c>
      <c r="N76" s="4">
        <f t="shared" si="25"/>
        <v>5.0525373063760821E-2</v>
      </c>
      <c r="O76" s="18"/>
      <c r="P76" s="20"/>
      <c r="Q76" s="4"/>
      <c r="S76" s="4"/>
      <c r="T76" s="4"/>
      <c r="U76" s="4">
        <v>0.5</v>
      </c>
      <c r="V76" s="4">
        <v>-1.2</v>
      </c>
      <c r="W76" s="4">
        <f t="shared" si="33"/>
        <v>-0.823357695883979</v>
      </c>
      <c r="X76">
        <f t="shared" si="34"/>
        <v>0.823357695883979</v>
      </c>
      <c r="Y76">
        <f t="shared" si="35"/>
        <v>0.20164031786546888</v>
      </c>
      <c r="AF76" s="4"/>
      <c r="AG76" s="4">
        <v>1</v>
      </c>
      <c r="AH76" s="4">
        <v>-0.7</v>
      </c>
      <c r="AI76" s="4">
        <f t="shared" si="28"/>
        <v>-0.19294461086840348</v>
      </c>
      <c r="AJ76" s="4">
        <f t="shared" si="29"/>
        <v>0.11758530500615615</v>
      </c>
    </row>
    <row r="77" spans="1:36" x14ac:dyDescent="0.3">
      <c r="I77" s="4"/>
      <c r="J77" s="4"/>
      <c r="K77" s="4">
        <v>2</v>
      </c>
      <c r="L77" s="4">
        <v>0.2</v>
      </c>
      <c r="M77" s="4">
        <f t="shared" si="24"/>
        <v>0.94179894215963234</v>
      </c>
      <c r="N77" s="4">
        <f t="shared" si="25"/>
        <v>3.3714539353192914E-2</v>
      </c>
      <c r="O77" s="18"/>
      <c r="P77" s="20"/>
      <c r="Q77" s="4"/>
      <c r="S77" s="4"/>
      <c r="T77" s="4"/>
      <c r="U77" s="4">
        <v>1</v>
      </c>
      <c r="V77" s="4">
        <v>-1.2</v>
      </c>
      <c r="W77" s="4">
        <f t="shared" si="33"/>
        <v>-0.823357695883979</v>
      </c>
      <c r="X77">
        <f t="shared" si="34"/>
        <v>0.823357695883979</v>
      </c>
      <c r="Y77">
        <f t="shared" si="35"/>
        <v>0.20164031786546888</v>
      </c>
      <c r="AF77" s="4"/>
      <c r="AG77" s="4">
        <v>1.5</v>
      </c>
      <c r="AH77" s="4">
        <v>-0.7</v>
      </c>
      <c r="AI77" s="4">
        <f t="shared" si="28"/>
        <v>-0.19294461086840348</v>
      </c>
      <c r="AJ77" s="4">
        <f t="shared" si="29"/>
        <v>0.11758530500615615</v>
      </c>
    </row>
    <row r="78" spans="1:36" x14ac:dyDescent="0.3">
      <c r="I78" s="4"/>
      <c r="J78" s="4"/>
      <c r="K78" s="4">
        <v>2.5</v>
      </c>
      <c r="L78" s="4">
        <v>0.2</v>
      </c>
      <c r="M78" s="4">
        <f t="shared" si="24"/>
        <v>0.94179894215963234</v>
      </c>
      <c r="N78" s="4">
        <f t="shared" si="25"/>
        <v>3.3714539353192914E-2</v>
      </c>
      <c r="O78" s="18"/>
      <c r="P78" s="20"/>
      <c r="Q78" s="4"/>
      <c r="S78" s="4"/>
      <c r="T78" s="4"/>
      <c r="U78" s="4">
        <v>1.5</v>
      </c>
      <c r="V78" s="4">
        <v>-1.1000000000000001</v>
      </c>
      <c r="W78" s="4">
        <f t="shared" si="33"/>
        <v>-0.69727507888086404</v>
      </c>
      <c r="X78">
        <f t="shared" si="34"/>
        <v>0.69727507888086404</v>
      </c>
      <c r="Y78">
        <f t="shared" si="35"/>
        <v>0.18482931053821638</v>
      </c>
      <c r="AF78" s="4"/>
      <c r="AG78" s="4">
        <v>2</v>
      </c>
      <c r="AH78" s="4">
        <v>-0.7</v>
      </c>
      <c r="AI78" s="4">
        <f t="shared" si="28"/>
        <v>-0.19294461086840348</v>
      </c>
      <c r="AJ78" s="4">
        <f t="shared" si="29"/>
        <v>0.11758530500615615</v>
      </c>
    </row>
    <row r="79" spans="1:36" x14ac:dyDescent="0.3">
      <c r="I79" s="4"/>
      <c r="J79" s="4"/>
      <c r="K79" s="4">
        <v>3</v>
      </c>
      <c r="L79" s="4">
        <v>0.1</v>
      </c>
      <c r="M79" s="4">
        <f t="shared" si="24"/>
        <v>0.81571632515651726</v>
      </c>
      <c r="N79" s="4">
        <f t="shared" si="25"/>
        <v>1.6904067505827493E-2</v>
      </c>
      <c r="O79" s="18"/>
      <c r="P79" s="20"/>
      <c r="Q79" s="4"/>
      <c r="S79" s="4"/>
      <c r="T79" s="4"/>
      <c r="U79" s="4">
        <v>2</v>
      </c>
      <c r="V79" s="4">
        <v>-1.1000000000000001</v>
      </c>
      <c r="W79" s="4">
        <f t="shared" si="33"/>
        <v>-0.69727507888086404</v>
      </c>
      <c r="X79">
        <f t="shared" si="34"/>
        <v>0.69727507888086404</v>
      </c>
      <c r="Y79">
        <f t="shared" si="35"/>
        <v>0.18482931053821638</v>
      </c>
      <c r="AF79" s="4"/>
      <c r="AG79" s="4">
        <v>2.5</v>
      </c>
      <c r="AH79" s="4">
        <v>-0.7</v>
      </c>
      <c r="AI79" s="4">
        <f t="shared" si="28"/>
        <v>-0.19294461086840348</v>
      </c>
      <c r="AJ79" s="4">
        <f t="shared" si="29"/>
        <v>0.11758530500615615</v>
      </c>
    </row>
    <row r="80" spans="1:36" x14ac:dyDescent="0.3">
      <c r="A80" s="22" t="s">
        <v>10</v>
      </c>
      <c r="B80" s="22" t="s">
        <v>5</v>
      </c>
      <c r="C80" s="22" t="s">
        <v>54</v>
      </c>
      <c r="D80" s="23" t="s">
        <v>53</v>
      </c>
      <c r="I80" s="4"/>
      <c r="J80" s="4"/>
      <c r="K80" s="4">
        <v>3.5</v>
      </c>
      <c r="L80" s="4">
        <v>0.1</v>
      </c>
      <c r="M80" s="4">
        <f t="shared" si="24"/>
        <v>0.81571632515651726</v>
      </c>
      <c r="N80" s="4">
        <f t="shared" si="25"/>
        <v>1.6904067505827493E-2</v>
      </c>
      <c r="O80" s="18"/>
      <c r="P80" s="20"/>
      <c r="Q80" s="4"/>
      <c r="S80" s="4"/>
      <c r="T80" s="4"/>
      <c r="U80" s="4">
        <v>2.5</v>
      </c>
      <c r="V80" s="4">
        <v>-1.1000000000000001</v>
      </c>
      <c r="W80" s="4">
        <f t="shared" si="33"/>
        <v>-0.69727507888086404</v>
      </c>
      <c r="X80">
        <f t="shared" si="34"/>
        <v>0.69727507888086404</v>
      </c>
      <c r="Y80">
        <f t="shared" si="35"/>
        <v>0.18482931053821638</v>
      </c>
      <c r="AF80" s="4"/>
      <c r="AG80" s="4">
        <v>3</v>
      </c>
      <c r="AH80" s="4">
        <v>-0.7</v>
      </c>
      <c r="AI80" s="4">
        <f t="shared" si="28"/>
        <v>-0.19294461086840348</v>
      </c>
      <c r="AJ80" s="4">
        <f t="shared" si="29"/>
        <v>0.11758530500615615</v>
      </c>
    </row>
    <row r="81" spans="1:36" x14ac:dyDescent="0.3">
      <c r="A81" s="9">
        <v>0</v>
      </c>
      <c r="B81" s="9">
        <v>3.5</v>
      </c>
      <c r="C81" s="10">
        <f>(B81-$K$47)/($B$54*$N$47)</f>
        <v>5.1025253032624311</v>
      </c>
      <c r="D81" s="10">
        <f>SQRT((1/($B$54*$N$45)*0.1)^2+(-1/($B$54*$N$45)*$M$47)^2+(-D57/($B$54^2*$N$45)+$K$47/($B$54^2*$N$45)*0.001)^2+(-D57/($B$54*($N$45)^2)+$K$47/($B$54*($N$45)^2)*$O$45)^2)*0.001</f>
        <v>0.58847754009189002</v>
      </c>
      <c r="I81" s="4"/>
      <c r="N81" s="4"/>
      <c r="O81" s="18"/>
      <c r="P81" s="20"/>
      <c r="Q81" s="4"/>
      <c r="S81" s="4"/>
      <c r="T81" s="4"/>
      <c r="U81" s="4">
        <v>3</v>
      </c>
      <c r="V81" s="4">
        <v>-1</v>
      </c>
      <c r="W81" s="4">
        <f t="shared" si="33"/>
        <v>-0.57119246187774886</v>
      </c>
      <c r="X81">
        <f t="shared" si="34"/>
        <v>0.57119246187774886</v>
      </c>
      <c r="Y81">
        <f t="shared" si="35"/>
        <v>0.16801830487496094</v>
      </c>
      <c r="AF81" s="4"/>
      <c r="AG81" s="4">
        <v>3.5</v>
      </c>
      <c r="AH81" s="4">
        <v>-0.7</v>
      </c>
      <c r="AI81" s="4">
        <f t="shared" si="28"/>
        <v>-0.19294461086840348</v>
      </c>
      <c r="AJ81" s="4">
        <f t="shared" si="29"/>
        <v>0.11758530500615615</v>
      </c>
    </row>
    <row r="82" spans="1:36" x14ac:dyDescent="0.3">
      <c r="A82" s="9">
        <v>0.5</v>
      </c>
      <c r="B82" s="9">
        <v>3.6</v>
      </c>
      <c r="C82" s="10">
        <f t="shared" ref="C82:C98" si="36">(B82-$K$47)/($B$54*$N$47)</f>
        <v>5.2286079202655458</v>
      </c>
      <c r="D82" s="10">
        <f t="shared" ref="D82:D98" si="37">SQRT((1/($B$54*$N$45)*0.1)^2+(-1/($B$54*$N$45)*$M$47)^2+(-D58/($B$54^2*$N$45)+$K$47/($B$54^2*$N$45)*0.001)^2+(-D58/($B$54*($N$45)^2)+$K$47/($B$54*($N$45)^2)*$O$45)^2)*0.001</f>
        <v>0.60528855486454003</v>
      </c>
      <c r="N82" s="4"/>
      <c r="O82" s="18"/>
      <c r="P82" s="20"/>
      <c r="Q82" s="4"/>
      <c r="S82" s="4"/>
      <c r="T82" s="4"/>
      <c r="U82" s="4">
        <v>3.5</v>
      </c>
      <c r="V82" s="4">
        <v>-1</v>
      </c>
      <c r="W82" s="4">
        <f t="shared" si="33"/>
        <v>-0.57119246187774886</v>
      </c>
      <c r="X82">
        <f t="shared" si="34"/>
        <v>0.57119246187774886</v>
      </c>
      <c r="Y82">
        <f t="shared" si="35"/>
        <v>0.16801830487496094</v>
      </c>
      <c r="AF82" s="4"/>
      <c r="AG82" s="4"/>
      <c r="AH82" s="4"/>
      <c r="AI82" s="4"/>
      <c r="AJ82" s="4"/>
    </row>
    <row r="83" spans="1:36" x14ac:dyDescent="0.3">
      <c r="A83" s="9">
        <v>1</v>
      </c>
      <c r="B83" s="9">
        <v>3.5</v>
      </c>
      <c r="C83" s="10">
        <f t="shared" si="36"/>
        <v>5.1025253032624311</v>
      </c>
      <c r="D83" s="10">
        <f t="shared" si="37"/>
        <v>0.58847754009189002</v>
      </c>
      <c r="N83" s="4"/>
      <c r="O83" s="18"/>
      <c r="P83" s="20"/>
      <c r="Q83" s="4"/>
      <c r="S83" s="4"/>
      <c r="T83" s="4"/>
      <c r="U83" s="4"/>
      <c r="V83" s="4"/>
      <c r="W83" s="4"/>
      <c r="Y83" s="3"/>
    </row>
    <row r="84" spans="1:36" x14ac:dyDescent="0.3">
      <c r="A84" s="9">
        <v>1.5</v>
      </c>
      <c r="B84" s="9">
        <v>3.4</v>
      </c>
      <c r="C84" s="10">
        <f t="shared" si="36"/>
        <v>4.9764426862593156</v>
      </c>
      <c r="D84" s="10">
        <f t="shared" si="37"/>
        <v>0.57166652537041074</v>
      </c>
      <c r="O84" s="18"/>
      <c r="P84" s="20"/>
      <c r="Q84" s="4"/>
      <c r="R84" s="4"/>
      <c r="S84" s="4"/>
      <c r="T84" s="4"/>
      <c r="U84" s="4"/>
      <c r="V84" s="4"/>
      <c r="Y84" s="3"/>
    </row>
    <row r="85" spans="1:36" x14ac:dyDescent="0.3">
      <c r="A85" s="9">
        <v>2</v>
      </c>
      <c r="B85" s="9">
        <v>3.2</v>
      </c>
      <c r="C85" s="10">
        <f t="shared" si="36"/>
        <v>4.7242774522530855</v>
      </c>
      <c r="D85" s="10">
        <f t="shared" si="37"/>
        <v>0.53804449610015026</v>
      </c>
      <c r="Y85" s="3"/>
    </row>
    <row r="86" spans="1:36" x14ac:dyDescent="0.3">
      <c r="A86" s="9">
        <v>2.5</v>
      </c>
      <c r="B86" s="9">
        <v>2.9</v>
      </c>
      <c r="C86" s="10">
        <f t="shared" si="36"/>
        <v>4.3460296012437398</v>
      </c>
      <c r="D86" s="10">
        <f t="shared" si="37"/>
        <v>0.4876114527158148</v>
      </c>
      <c r="AA86" s="22" t="s">
        <v>10</v>
      </c>
      <c r="AB86" s="22" t="s">
        <v>5</v>
      </c>
      <c r="AC86" s="22" t="s">
        <v>54</v>
      </c>
      <c r="AD86" s="23" t="s">
        <v>53</v>
      </c>
    </row>
    <row r="87" spans="1:36" x14ac:dyDescent="0.3">
      <c r="A87" s="9">
        <v>3</v>
      </c>
      <c r="B87" s="9">
        <v>2.6</v>
      </c>
      <c r="C87" s="10">
        <f t="shared" si="36"/>
        <v>3.9677817502343951</v>
      </c>
      <c r="D87" s="10">
        <f t="shared" si="37"/>
        <v>0.43717841014909475</v>
      </c>
      <c r="P87" s="22" t="s">
        <v>10</v>
      </c>
      <c r="Q87" s="22" t="s">
        <v>5</v>
      </c>
      <c r="R87" s="22" t="s">
        <v>54</v>
      </c>
      <c r="S87" s="23" t="s">
        <v>53</v>
      </c>
      <c r="AA87" s="9">
        <v>3.5</v>
      </c>
      <c r="AB87" s="9">
        <v>-0.2</v>
      </c>
      <c r="AC87" s="15">
        <f>(AB87-$K$47)/($B$54*$N$47)</f>
        <v>0.43746847414717199</v>
      </c>
      <c r="AD87" s="15">
        <f>SQRT((1/($B$54*$N$45)*0.1)^2+(-1/($B$54*$N$45)*$M$47)^2+(-AB87/($B$54^2*$N$45)+$K$47/($B$54^2*$N$45)*0.001)^2+(-AB87/($B$54*($N$45)^2)+$K$47/($B$54*($N$45)^2)*$O$45)^2)*0.001</f>
        <v>3.3530619809944935E-2</v>
      </c>
    </row>
    <row r="88" spans="1:36" x14ac:dyDescent="0.3">
      <c r="A88" s="9">
        <v>3.5</v>
      </c>
      <c r="B88" s="9">
        <v>2.2999999999999998</v>
      </c>
      <c r="C88" s="10">
        <f t="shared" si="36"/>
        <v>3.5895338992250494</v>
      </c>
      <c r="D88" s="10">
        <f t="shared" si="37"/>
        <v>0.38674536871985049</v>
      </c>
      <c r="P88" s="9">
        <v>3.5</v>
      </c>
      <c r="Q88" s="9">
        <v>-4.3</v>
      </c>
      <c r="R88" s="10">
        <f>(Q88-$K$47)/($B$54*$N$47)</f>
        <v>-4.7319188229805471</v>
      </c>
      <c r="S88" s="10">
        <f>SQRT((1/($B$54*$N$45)*0.1)^2+(-1/($B$54*$N$45)*$M$47)^2+(-Q88/($B$54^2*$N$45)+$K$47/($B$54^2*$N$45)*0.001)^2+(-Q88/($B$54*($N$45)^2)+$K$47/($B$54*($N$45)^2)*$O$45)^2)*0.001</f>
        <v>0.72278173686997282</v>
      </c>
      <c r="AA88" s="9">
        <v>4</v>
      </c>
      <c r="AB88" s="9">
        <v>-0.3</v>
      </c>
      <c r="AC88" s="15">
        <f t="shared" ref="AC88:AC99" si="38">(AB88-$K$47)/($B$54*$N$47)</f>
        <v>0.31138585714405692</v>
      </c>
      <c r="AD88" s="15">
        <f t="shared" ref="AD88:AD99" si="39">SQRT((1/($B$54*$N$45)*0.1)^2+(-1/($B$54*$N$45)*$M$47)^2+(-AB88/($B$54^2*$N$45)+$K$47/($B$54^2*$N$45)*0.001)^2+(-AB88/($B$54*($N$45)^2)+$K$47/($B$54*($N$45)^2)*$O$45)^2)*0.001</f>
        <v>5.0341451854250548E-2</v>
      </c>
    </row>
    <row r="89" spans="1:36" x14ac:dyDescent="0.3">
      <c r="A89" s="9">
        <v>4</v>
      </c>
      <c r="B89" s="9">
        <v>2</v>
      </c>
      <c r="C89" s="10">
        <f t="shared" si="36"/>
        <v>3.2112860482157042</v>
      </c>
      <c r="D89" s="10">
        <f t="shared" si="37"/>
        <v>0.336312328939806</v>
      </c>
      <c r="P89" s="9">
        <v>4</v>
      </c>
      <c r="Q89" s="9">
        <v>-3.3</v>
      </c>
      <c r="R89" s="10">
        <f t="shared" ref="R89:R99" si="40">(Q89-$K$47)/($B$54*$N$47)</f>
        <v>-3.471092652949396</v>
      </c>
      <c r="S89" s="10">
        <f t="shared" ref="S89:S99" si="41">SQRT((1/($B$54*$N$45)*0.1)^2+(-1/($B$54*$N$45)*$M$47)^2+(-Q89/($B$54^2*$N$45)+$K$47/($B$54^2*$N$45)*0.001)^2+(-Q89/($B$54*($N$45)^2)+$K$47/($B$54*($N$45)^2)*$O$45)^2)*0.001</f>
        <v>0.55467158817322737</v>
      </c>
      <c r="AA89" s="9">
        <v>4.5</v>
      </c>
      <c r="AB89" s="9">
        <v>-0.4</v>
      </c>
      <c r="AC89" s="15">
        <f t="shared" si="38"/>
        <v>0.18530324014094177</v>
      </c>
      <c r="AD89" s="15">
        <f t="shared" si="39"/>
        <v>6.7152375822649574E-2</v>
      </c>
    </row>
    <row r="90" spans="1:36" x14ac:dyDescent="0.3">
      <c r="A90" s="9">
        <v>4.5</v>
      </c>
      <c r="B90" s="9">
        <v>1.6</v>
      </c>
      <c r="C90" s="10">
        <f t="shared" si="36"/>
        <v>2.7069555802032439</v>
      </c>
      <c r="D90" s="10">
        <f t="shared" si="37"/>
        <v>0.26906828006800837</v>
      </c>
      <c r="P90" s="9">
        <v>4.5</v>
      </c>
      <c r="Q90" s="9">
        <v>-2.6</v>
      </c>
      <c r="R90" s="10">
        <f t="shared" si="40"/>
        <v>-2.5885143339275904</v>
      </c>
      <c r="S90" s="10">
        <f t="shared" si="41"/>
        <v>0.4369944876242996</v>
      </c>
      <c r="AA90" s="9">
        <v>5</v>
      </c>
      <c r="AB90" s="9">
        <v>-0.5</v>
      </c>
      <c r="AC90" s="15">
        <f t="shared" si="38"/>
        <v>5.9220623137826681E-2</v>
      </c>
      <c r="AD90" s="15">
        <f t="shared" si="39"/>
        <v>8.3963336500741267E-2</v>
      </c>
    </row>
    <row r="91" spans="1:36" x14ac:dyDescent="0.3">
      <c r="A91" s="9">
        <v>5</v>
      </c>
      <c r="B91" s="9">
        <v>1.3</v>
      </c>
      <c r="C91" s="10">
        <f t="shared" si="36"/>
        <v>2.3287077291938987</v>
      </c>
      <c r="D91" s="10">
        <f t="shared" si="37"/>
        <v>0.21863524894411007</v>
      </c>
      <c r="P91" s="9">
        <v>5</v>
      </c>
      <c r="Q91" s="9">
        <v>-2.1</v>
      </c>
      <c r="R91" s="10">
        <f t="shared" si="40"/>
        <v>-1.9581012489120151</v>
      </c>
      <c r="S91" s="10">
        <f t="shared" si="41"/>
        <v>0.35293941945762031</v>
      </c>
      <c r="AA91" s="9">
        <v>5.5</v>
      </c>
      <c r="AB91" s="9">
        <v>-0.6</v>
      </c>
      <c r="AC91" s="10">
        <f t="shared" si="38"/>
        <v>-6.6861993865288391E-2</v>
      </c>
      <c r="AD91" s="10">
        <f t="shared" si="39"/>
        <v>0.10077431551702469</v>
      </c>
    </row>
    <row r="92" spans="1:36" x14ac:dyDescent="0.3">
      <c r="A92" s="9">
        <v>5.5</v>
      </c>
      <c r="B92" s="9">
        <v>1.1000000000000001</v>
      </c>
      <c r="C92" s="10">
        <f t="shared" si="36"/>
        <v>2.0765424951876685</v>
      </c>
      <c r="D92" s="10">
        <f t="shared" si="37"/>
        <v>0.18501323298160727</v>
      </c>
      <c r="P92" s="9">
        <v>5.5</v>
      </c>
      <c r="Q92" s="9">
        <v>-1.8</v>
      </c>
      <c r="R92" s="10">
        <f t="shared" si="40"/>
        <v>-1.5798533979026697</v>
      </c>
      <c r="S92" s="10">
        <f t="shared" si="41"/>
        <v>0.30250638123757045</v>
      </c>
      <c r="AA92" s="9">
        <v>6</v>
      </c>
      <c r="AB92" s="9">
        <v>-0.6</v>
      </c>
      <c r="AC92" s="10">
        <f t="shared" si="38"/>
        <v>-6.6861993865288391E-2</v>
      </c>
      <c r="AD92" s="10">
        <f t="shared" si="39"/>
        <v>0.10077431551702469</v>
      </c>
    </row>
    <row r="93" spans="1:36" x14ac:dyDescent="0.3">
      <c r="A93" s="9">
        <v>6</v>
      </c>
      <c r="B93" s="9">
        <v>0.8</v>
      </c>
      <c r="C93" s="10">
        <f t="shared" si="36"/>
        <v>1.6982946441783231</v>
      </c>
      <c r="D93" s="10">
        <f t="shared" si="37"/>
        <v>0.13458022339322437</v>
      </c>
      <c r="P93" s="9">
        <v>6</v>
      </c>
      <c r="Q93" s="9">
        <v>-1.6</v>
      </c>
      <c r="R93" s="10">
        <f t="shared" si="40"/>
        <v>-1.3276881638964395</v>
      </c>
      <c r="S93" s="10">
        <f t="shared" si="41"/>
        <v>0.26888435757233037</v>
      </c>
      <c r="AA93" s="9">
        <v>6.5</v>
      </c>
      <c r="AB93" s="9">
        <v>-0.6</v>
      </c>
      <c r="AC93" s="10">
        <f t="shared" si="38"/>
        <v>-6.6861993865288391E-2</v>
      </c>
      <c r="AD93" s="10">
        <f t="shared" si="39"/>
        <v>0.10077431551702469</v>
      </c>
    </row>
    <row r="94" spans="1:36" x14ac:dyDescent="0.3">
      <c r="A94" s="9">
        <v>6.5</v>
      </c>
      <c r="B94" s="9">
        <v>0.6</v>
      </c>
      <c r="C94" s="10">
        <f t="shared" si="36"/>
        <v>1.446129410172093</v>
      </c>
      <c r="D94" s="10">
        <f t="shared" si="37"/>
        <v>0.10095823772630746</v>
      </c>
      <c r="P94" s="9">
        <v>6.5</v>
      </c>
      <c r="Q94" s="9">
        <v>-1.4</v>
      </c>
      <c r="R94" s="10">
        <f t="shared" si="40"/>
        <v>-1.0755229298902091</v>
      </c>
      <c r="S94" s="10">
        <f t="shared" si="41"/>
        <v>0.2352623360851254</v>
      </c>
      <c r="AA94" s="9">
        <v>7</v>
      </c>
      <c r="AB94" s="9">
        <v>-0.6</v>
      </c>
      <c r="AC94" s="10">
        <f t="shared" si="38"/>
        <v>-6.6861993865288391E-2</v>
      </c>
      <c r="AD94" s="10">
        <f t="shared" si="39"/>
        <v>0.10077431551702469</v>
      </c>
    </row>
    <row r="95" spans="1:36" x14ac:dyDescent="0.3">
      <c r="A95" s="9">
        <v>7</v>
      </c>
      <c r="B95" s="9">
        <v>0.5</v>
      </c>
      <c r="C95" s="15">
        <f t="shared" si="36"/>
        <v>1.3200467931689777</v>
      </c>
      <c r="D95" s="15">
        <f t="shared" si="37"/>
        <v>8.4147258563390032E-2</v>
      </c>
      <c r="P95" s="9">
        <v>7</v>
      </c>
      <c r="Q95" s="9">
        <v>-1.3</v>
      </c>
      <c r="R95" s="10">
        <f t="shared" si="40"/>
        <v>-0.94944031288709418</v>
      </c>
      <c r="S95" s="10">
        <f t="shared" si="41"/>
        <v>0.21845132647255772</v>
      </c>
      <c r="AA95" s="9">
        <v>7.5</v>
      </c>
      <c r="AB95" s="9">
        <v>-0.7</v>
      </c>
      <c r="AC95" s="10">
        <f t="shared" si="38"/>
        <v>-0.19294461086840348</v>
      </c>
      <c r="AD95" s="10">
        <f t="shared" si="39"/>
        <v>0.11758530500615615</v>
      </c>
    </row>
    <row r="96" spans="1:36" x14ac:dyDescent="0.3">
      <c r="A96" s="9">
        <v>7.5</v>
      </c>
      <c r="B96" s="9">
        <v>0.3</v>
      </c>
      <c r="C96" s="15">
        <f t="shared" si="36"/>
        <v>1.0678815591627475</v>
      </c>
      <c r="D96" s="15">
        <f t="shared" si="37"/>
        <v>5.0525373063760821E-2</v>
      </c>
      <c r="P96" s="9">
        <v>7.5</v>
      </c>
      <c r="Q96" s="9">
        <v>-1.2</v>
      </c>
      <c r="R96" s="10">
        <f t="shared" si="40"/>
        <v>-0.823357695883979</v>
      </c>
      <c r="S96" s="10">
        <f t="shared" si="41"/>
        <v>0.20164031786546888</v>
      </c>
      <c r="AA96" s="9">
        <v>8</v>
      </c>
      <c r="AB96" s="9">
        <v>-0.7</v>
      </c>
      <c r="AC96" s="10">
        <f t="shared" si="38"/>
        <v>-0.19294461086840348</v>
      </c>
      <c r="AD96" s="10">
        <f t="shared" si="39"/>
        <v>0.11758530500615615</v>
      </c>
    </row>
    <row r="97" spans="1:31" x14ac:dyDescent="0.3">
      <c r="A97" s="9">
        <v>8</v>
      </c>
      <c r="B97" s="9">
        <v>0.2</v>
      </c>
      <c r="C97" s="15">
        <f t="shared" si="36"/>
        <v>0.94179894215963234</v>
      </c>
      <c r="D97" s="15">
        <f t="shared" si="37"/>
        <v>3.3714539353192914E-2</v>
      </c>
      <c r="P97" s="9">
        <v>8</v>
      </c>
      <c r="Q97" s="9">
        <v>-1.1000000000000001</v>
      </c>
      <c r="R97" s="10">
        <f t="shared" si="40"/>
        <v>-0.69727507888086404</v>
      </c>
      <c r="S97" s="10">
        <f t="shared" si="41"/>
        <v>0.18482931053821638</v>
      </c>
      <c r="AA97" s="9">
        <v>8.5</v>
      </c>
      <c r="AB97" s="9">
        <v>-0.7</v>
      </c>
      <c r="AC97" s="10">
        <f t="shared" si="38"/>
        <v>-0.19294461086840348</v>
      </c>
      <c r="AD97" s="10">
        <f t="shared" si="39"/>
        <v>0.11758530500615615</v>
      </c>
    </row>
    <row r="98" spans="1:31" x14ac:dyDescent="0.3">
      <c r="A98" s="9">
        <v>8.5</v>
      </c>
      <c r="B98" s="9">
        <v>0.1</v>
      </c>
      <c r="C98" s="15">
        <f t="shared" si="36"/>
        <v>0.81571632515651726</v>
      </c>
      <c r="D98" s="15">
        <f t="shared" si="37"/>
        <v>1.6904067505827493E-2</v>
      </c>
      <c r="P98" s="9">
        <v>8.5</v>
      </c>
      <c r="Q98" s="9">
        <v>-1</v>
      </c>
      <c r="R98" s="10">
        <f t="shared" si="40"/>
        <v>-0.57119246187774886</v>
      </c>
      <c r="S98" s="10">
        <f t="shared" si="41"/>
        <v>0.16801830487496094</v>
      </c>
      <c r="AA98" s="9">
        <v>9</v>
      </c>
      <c r="AB98" s="9">
        <v>-0.7</v>
      </c>
      <c r="AC98" s="10">
        <f t="shared" si="38"/>
        <v>-0.19294461086840348</v>
      </c>
      <c r="AD98" s="10">
        <f t="shared" si="39"/>
        <v>0.11758530500615615</v>
      </c>
    </row>
    <row r="99" spans="1:31" x14ac:dyDescent="0.3">
      <c r="P99" s="9">
        <v>9</v>
      </c>
      <c r="Q99" s="9">
        <v>-1</v>
      </c>
      <c r="R99" s="10">
        <f t="shared" si="40"/>
        <v>-0.57119246187774886</v>
      </c>
      <c r="S99" s="10">
        <f t="shared" si="41"/>
        <v>0.16801830487496094</v>
      </c>
      <c r="AA99" s="9">
        <v>9.5</v>
      </c>
      <c r="AB99" s="9">
        <v>-0.7</v>
      </c>
      <c r="AC99" s="10">
        <f t="shared" si="38"/>
        <v>-0.19294461086840348</v>
      </c>
      <c r="AD99" s="10">
        <f t="shared" si="39"/>
        <v>0.11758530500615615</v>
      </c>
    </row>
    <row r="101" spans="1:31" x14ac:dyDescent="0.3">
      <c r="A101" s="22" t="s">
        <v>11</v>
      </c>
      <c r="B101" s="22" t="s">
        <v>47</v>
      </c>
      <c r="C101" s="22" t="s">
        <v>5</v>
      </c>
      <c r="D101" s="22" t="s">
        <v>54</v>
      </c>
      <c r="E101" s="29" t="s">
        <v>53</v>
      </c>
      <c r="F101" s="31" t="s">
        <v>60</v>
      </c>
      <c r="G101" s="31" t="s">
        <v>62</v>
      </c>
      <c r="H101" s="30"/>
    </row>
    <row r="102" spans="1:31" x14ac:dyDescent="0.3">
      <c r="A102" s="22">
        <v>3.5</v>
      </c>
      <c r="B102" s="22">
        <v>0</v>
      </c>
      <c r="C102" s="22">
        <v>2.2999999999999998</v>
      </c>
      <c r="D102" s="24">
        <f>(C102-$K$47)/($B$54*$N$47)</f>
        <v>3.5895338992250494</v>
      </c>
      <c r="E102" s="24">
        <f>SQRT((1/($B$54*$N$45)*0.1)^2+(-1/($B$54*$N$45)*$M$47)^2+(-C102/($B$54^2*$N$45)+$K$47/($B$54^2*$N$45)*0.001)^2+(-C102/($B$54*($N$45)^2)+$K$47/($B$54*($N$45)^2)*$O$45)^2)*0.001</f>
        <v>0.38674536871985049</v>
      </c>
      <c r="F102" s="28">
        <f>$C$1*$I$1*$B$53/(2*$A$11)*1/6*C139*10^6</f>
        <v>5.291103416572283</v>
      </c>
      <c r="G102" s="26">
        <f>D102+1.75</f>
        <v>5.3395338992250494</v>
      </c>
      <c r="H102" s="26"/>
      <c r="P102" s="22" t="s">
        <v>11</v>
      </c>
      <c r="Q102" s="22" t="s">
        <v>47</v>
      </c>
      <c r="R102" s="22" t="s">
        <v>5</v>
      </c>
      <c r="S102" s="22" t="s">
        <v>54</v>
      </c>
      <c r="T102" s="23" t="s">
        <v>53</v>
      </c>
      <c r="AA102" s="22" t="s">
        <v>11</v>
      </c>
      <c r="AB102" s="22" t="s">
        <v>47</v>
      </c>
      <c r="AC102" s="22" t="s">
        <v>5</v>
      </c>
      <c r="AD102" s="22" t="s">
        <v>54</v>
      </c>
      <c r="AE102" s="23" t="s">
        <v>53</v>
      </c>
    </row>
    <row r="103" spans="1:31" x14ac:dyDescent="0.3">
      <c r="A103" s="32"/>
      <c r="B103" s="9">
        <v>0.5</v>
      </c>
      <c r="C103" s="9">
        <v>2.2999999999999998</v>
      </c>
      <c r="D103" s="10">
        <f t="shared" ref="D103:D125" si="42">(C103-$K$47)/($B$54*$N$47)</f>
        <v>3.5895338992250494</v>
      </c>
      <c r="E103" s="10">
        <f t="shared" ref="E103:E125" si="43">SQRT((1/($B$54*$N$45)*0.1)^2+(-1/($B$54*$N$45)*$M$47)^2+(-C103/($B$54^2*$N$45)+$K$47/($B$54^2*$N$45)*0.001)^2+(-C103/($B$54*($N$45)^2)+$K$47/($B$54*($N$45)^2)*$O$45)^2)*0.001</f>
        <v>0.38674536871985049</v>
      </c>
      <c r="F103" s="28">
        <f>$C$1*$I$1*$B$53/(2*$A$11)*1/6*D139*10^6</f>
        <v>5.2911034165624917</v>
      </c>
      <c r="G103" s="26">
        <f t="shared" ref="G103:G109" si="44">D103+1.75</f>
        <v>5.3395338992250494</v>
      </c>
      <c r="H103" s="26"/>
      <c r="P103" s="9">
        <v>3.5</v>
      </c>
      <c r="Q103" s="9">
        <v>0</v>
      </c>
      <c r="R103" s="9">
        <v>-4.3</v>
      </c>
      <c r="S103" s="10">
        <f>(R103-$K$47)/($B$54*$N$47)</f>
        <v>-4.7319188229805471</v>
      </c>
      <c r="T103" s="10">
        <f>SQRT((1/($B$54*$N$45)*0.1)^2+(-1/($B$54*$N$45)*$M$47)^2+(-Q103/($B$54^2*$N$45)+$K$47/($B$54^2*$N$45)*0.001)^2+(-Q103/($B$54*($N$45)^2)+$K$47/($B$54*($N$45)^2)*$O$45)^2)*0.001</f>
        <v>2.1290035919548718E-4</v>
      </c>
      <c r="AA103" s="9">
        <v>3.5</v>
      </c>
      <c r="AB103" s="9">
        <v>0</v>
      </c>
      <c r="AC103" s="9">
        <v>-0.2</v>
      </c>
      <c r="AD103" s="15">
        <f>(AC103-$K$47)/($B$54*$N$47)</f>
        <v>0.43746847414717199</v>
      </c>
      <c r="AE103" s="15">
        <f>SQRT((1/($B$54*$N$45)*0.1)^2+(-1/($B$54*$N$45)*$M$47)^2+(-AC103/($B$54^2*$N$45)+$K$47/($B$54^2*$N$45)*0.001)^2+(-AC103/($B$54*($N$45)^2)+$K$47/($B$54*($N$45)^2)*$O$45)^2)*0.001</f>
        <v>3.3530619809944935E-2</v>
      </c>
    </row>
    <row r="104" spans="1:31" x14ac:dyDescent="0.3">
      <c r="A104" s="33"/>
      <c r="B104" s="9">
        <v>1</v>
      </c>
      <c r="C104" s="9">
        <v>2.2999999999999998</v>
      </c>
      <c r="D104" s="10">
        <f t="shared" si="42"/>
        <v>3.5895338992250494</v>
      </c>
      <c r="E104" s="10">
        <f t="shared" si="43"/>
        <v>0.38674536871985049</v>
      </c>
      <c r="F104" s="28">
        <f>$C$1*$I$1*$B$53/(2*$A$11)*1/6*E139*10^6</f>
        <v>5.2911033764650286</v>
      </c>
      <c r="G104" s="26">
        <f t="shared" si="44"/>
        <v>5.3395338992250494</v>
      </c>
      <c r="H104" s="26"/>
      <c r="P104" s="32"/>
      <c r="Q104" s="9">
        <v>0.5</v>
      </c>
      <c r="R104" s="9">
        <v>-4</v>
      </c>
      <c r="S104" s="10">
        <f t="shared" ref="S104:S126" si="45">(R104-$K$47)/($B$54*$N$47)</f>
        <v>-4.3536709719712015</v>
      </c>
      <c r="T104" s="10">
        <f t="shared" ref="T104:T126" si="46">SQRT((1/($B$54*$N$45)*0.1)^2+(-1/($B$54*$N$45)*$M$47)^2+(-Q104/($B$54^2*$N$45)+$K$47/($B$54^2*$N$45)*0.001)^2+(-Q104/($B$54*($N$45)^2)+$K$47/($B$54*($N$45)^2)*$O$45)^2)*0.001</f>
        <v>8.4147258563390032E-2</v>
      </c>
      <c r="AA104" s="32"/>
      <c r="AB104" s="9">
        <v>0.5</v>
      </c>
      <c r="AC104" s="9">
        <v>-0.3</v>
      </c>
      <c r="AD104" s="15">
        <f t="shared" ref="AD104:AD126" si="47">(AC104-$K$47)/($B$54*$N$47)</f>
        <v>0.31138585714405692</v>
      </c>
      <c r="AE104" s="15">
        <f t="shared" ref="AE104:AE126" si="48">SQRT((1/($B$54*$N$45)*0.1)^2+(-1/($B$54*$N$45)*$M$47)^2+(-AC104/($B$54^2*$N$45)+$K$47/($B$54^2*$N$45)*0.001)^2+(-AC104/($B$54*($N$45)^2)+$K$47/($B$54*($N$45)^2)*$O$45)^2)*0.001</f>
        <v>5.0341451854250548E-2</v>
      </c>
    </row>
    <row r="105" spans="1:31" x14ac:dyDescent="0.3">
      <c r="A105" s="33"/>
      <c r="B105" s="9">
        <v>1.5</v>
      </c>
      <c r="C105" s="9">
        <v>2.2999999999999998</v>
      </c>
      <c r="D105" s="10">
        <f t="shared" si="42"/>
        <v>3.5895338992250494</v>
      </c>
      <c r="E105" s="10">
        <f t="shared" si="43"/>
        <v>0.38674536871985049</v>
      </c>
      <c r="F105" s="28">
        <f>$C$1*$I$1*$B$53/(2*$A$11)*1/6*F139*10^6</f>
        <v>5.2910982128079986</v>
      </c>
      <c r="G105" s="26">
        <f t="shared" si="44"/>
        <v>5.3395338992250494</v>
      </c>
      <c r="H105" s="26"/>
      <c r="P105" s="33"/>
      <c r="Q105" s="9">
        <v>1</v>
      </c>
      <c r="R105" s="9">
        <v>-3.6</v>
      </c>
      <c r="S105" s="10">
        <f t="shared" si="45"/>
        <v>-3.8493405039587416</v>
      </c>
      <c r="T105" s="10">
        <f t="shared" si="46"/>
        <v>0.16820222729752993</v>
      </c>
      <c r="AA105" s="33"/>
      <c r="AB105" s="9">
        <v>1</v>
      </c>
      <c r="AC105" s="9">
        <v>-0.4</v>
      </c>
      <c r="AD105" s="15">
        <f t="shared" si="47"/>
        <v>0.18530324014094177</v>
      </c>
      <c r="AE105" s="15">
        <f t="shared" si="48"/>
        <v>6.7152375822649574E-2</v>
      </c>
    </row>
    <row r="106" spans="1:31" x14ac:dyDescent="0.3">
      <c r="A106" s="33"/>
      <c r="B106" s="9">
        <v>2</v>
      </c>
      <c r="C106" s="9">
        <v>2.2999999999999998</v>
      </c>
      <c r="D106" s="10">
        <f t="shared" si="42"/>
        <v>3.5895338992250494</v>
      </c>
      <c r="E106" s="10">
        <f t="shared" si="43"/>
        <v>0.38674536871985049</v>
      </c>
      <c r="F106" s="28">
        <f>$C$1*$I$1*$B$53/(2*$A$11)*1/6*G139*10^6</f>
        <v>5.2909391423579946</v>
      </c>
      <c r="G106" s="26">
        <f t="shared" si="44"/>
        <v>5.3395338992250494</v>
      </c>
      <c r="H106" s="26"/>
      <c r="P106" s="33"/>
      <c r="Q106" s="9">
        <v>1.5</v>
      </c>
      <c r="R106" s="9">
        <v>-2.9</v>
      </c>
      <c r="S106" s="10">
        <f t="shared" si="45"/>
        <v>-2.9667621849369357</v>
      </c>
      <c r="T106" s="10">
        <f t="shared" si="46"/>
        <v>0.25225726899122386</v>
      </c>
      <c r="AA106" s="33"/>
      <c r="AB106" s="9">
        <v>1.5</v>
      </c>
      <c r="AC106" s="9">
        <v>-0.5</v>
      </c>
      <c r="AD106" s="15">
        <f t="shared" si="47"/>
        <v>5.9220623137826681E-2</v>
      </c>
      <c r="AE106" s="15">
        <f t="shared" si="48"/>
        <v>8.3963336500741267E-2</v>
      </c>
    </row>
    <row r="107" spans="1:31" x14ac:dyDescent="0.3">
      <c r="A107" s="33"/>
      <c r="B107" s="9">
        <v>2.5</v>
      </c>
      <c r="C107" s="9">
        <v>2.2000000000000002</v>
      </c>
      <c r="D107" s="10">
        <f t="shared" si="42"/>
        <v>3.4634512822219348</v>
      </c>
      <c r="E107" s="10">
        <f t="shared" si="43"/>
        <v>0.36993435524328244</v>
      </c>
      <c r="F107" s="28">
        <f>$C$1*$I$1*$B$53/(2*$A$11)*1/6*H139*10^6</f>
        <v>5.288713917512772</v>
      </c>
      <c r="G107" s="26">
        <f t="shared" si="44"/>
        <v>5.2134512822219348</v>
      </c>
      <c r="H107" s="26"/>
      <c r="P107" s="33"/>
      <c r="Q107" s="9">
        <v>2</v>
      </c>
      <c r="R107" s="9">
        <v>-2.4</v>
      </c>
      <c r="S107" s="10">
        <f t="shared" si="45"/>
        <v>-2.3363490999213603</v>
      </c>
      <c r="T107" s="10">
        <f t="shared" si="46"/>
        <v>0.336312328939806</v>
      </c>
      <c r="AA107" s="33"/>
      <c r="AB107" s="9">
        <v>2</v>
      </c>
      <c r="AC107" s="9">
        <v>-0.6</v>
      </c>
      <c r="AD107" s="10">
        <f t="shared" si="47"/>
        <v>-6.6861993865288391E-2</v>
      </c>
      <c r="AE107" s="10">
        <f>SQRT((1/($B$54*$N$45)*0.1)^2+(-1/($B$54*$N$45)*$M$47)^2+(-AC107/($B$54^2*$N$45)+$K$47/($B$54^2*$N$45)*0.001)^2+(-AC107/($B$54*($N$45)^2)+$K$47/($B$54*($N$45)^2)*$O$45)^2)*0.001</f>
        <v>0.10077431551702469</v>
      </c>
    </row>
    <row r="108" spans="1:31" x14ac:dyDescent="0.3">
      <c r="A108" s="33"/>
      <c r="B108" s="9">
        <v>3</v>
      </c>
      <c r="C108" s="9">
        <v>2.2000000000000002</v>
      </c>
      <c r="D108" s="10">
        <f t="shared" si="42"/>
        <v>3.4634512822219348</v>
      </c>
      <c r="E108" s="10">
        <f t="shared" si="43"/>
        <v>0.36993435524328244</v>
      </c>
      <c r="F108" s="28">
        <f>$C$1*$I$1*$B$53/(2*$A$11)*1/6*I139*10^6</f>
        <v>5.269874296318811</v>
      </c>
      <c r="G108" s="26">
        <f t="shared" si="44"/>
        <v>5.2134512822219348</v>
      </c>
      <c r="H108" s="26"/>
      <c r="P108" s="33"/>
      <c r="Q108" s="9">
        <v>2.5</v>
      </c>
      <c r="R108" s="9">
        <v>-1.9</v>
      </c>
      <c r="S108" s="10">
        <f t="shared" si="45"/>
        <v>-1.7059360149057847</v>
      </c>
      <c r="T108" s="10">
        <f t="shared" si="46"/>
        <v>0.42036739619274316</v>
      </c>
      <c r="AA108" s="33"/>
      <c r="AB108" s="9">
        <v>2.5</v>
      </c>
      <c r="AC108" s="9">
        <v>-0.7</v>
      </c>
      <c r="AD108" s="10">
        <f t="shared" si="47"/>
        <v>-0.19294461086840348</v>
      </c>
      <c r="AE108" s="10">
        <f t="shared" si="48"/>
        <v>0.11758530500615615</v>
      </c>
    </row>
    <row r="109" spans="1:31" x14ac:dyDescent="0.3">
      <c r="A109" s="34"/>
      <c r="B109" s="9">
        <v>3.5</v>
      </c>
      <c r="C109" s="9">
        <v>2.1</v>
      </c>
      <c r="D109" s="10">
        <f t="shared" si="42"/>
        <v>3.3373686652188193</v>
      </c>
      <c r="E109" s="10">
        <f t="shared" si="43"/>
        <v>0.35312334197295819</v>
      </c>
      <c r="F109" s="28">
        <f>$C$1*$I$1*$B$53/(2*$A$11)*1/6*J139*10^6</f>
        <v>5.1589570789400669</v>
      </c>
      <c r="G109" s="26">
        <f t="shared" si="44"/>
        <v>5.0873686652188193</v>
      </c>
      <c r="H109" s="26"/>
      <c r="P109" s="33"/>
      <c r="Q109" s="9">
        <v>3</v>
      </c>
      <c r="R109" s="9">
        <v>-1.5</v>
      </c>
      <c r="S109" s="10">
        <f t="shared" si="45"/>
        <v>-1.2016055468933244</v>
      </c>
      <c r="T109" s="10">
        <f t="shared" si="46"/>
        <v>0.50442246709852445</v>
      </c>
      <c r="AA109" s="33"/>
      <c r="AB109" s="9">
        <v>3</v>
      </c>
      <c r="AC109" s="9">
        <v>-0.7</v>
      </c>
      <c r="AD109" s="10">
        <f t="shared" si="47"/>
        <v>-0.19294461086840348</v>
      </c>
      <c r="AE109" s="10">
        <f t="shared" si="48"/>
        <v>0.11758530500615615</v>
      </c>
    </row>
    <row r="110" spans="1:31" x14ac:dyDescent="0.3">
      <c r="A110" s="9">
        <v>4.5</v>
      </c>
      <c r="B110" s="9">
        <v>0</v>
      </c>
      <c r="C110" s="9">
        <v>1.6</v>
      </c>
      <c r="D110" s="10">
        <f t="shared" si="42"/>
        <v>2.7069555802032439</v>
      </c>
      <c r="E110" s="10">
        <f t="shared" si="43"/>
        <v>0.26906828006800837</v>
      </c>
      <c r="F110" s="26"/>
      <c r="G110" s="26"/>
      <c r="H110" s="26"/>
      <c r="P110" s="34"/>
      <c r="Q110" s="9">
        <v>3.5</v>
      </c>
      <c r="R110" s="9">
        <v>-1.2</v>
      </c>
      <c r="S110" s="10">
        <f t="shared" si="45"/>
        <v>-0.823357695883979</v>
      </c>
      <c r="T110" s="10">
        <f t="shared" si="46"/>
        <v>0.58847754009189002</v>
      </c>
      <c r="AA110" s="34"/>
      <c r="AB110" s="9">
        <v>3.5</v>
      </c>
      <c r="AC110" s="9">
        <v>-0.7</v>
      </c>
      <c r="AD110" s="10">
        <f t="shared" si="47"/>
        <v>-0.19294461086840348</v>
      </c>
      <c r="AE110" s="10">
        <f t="shared" si="48"/>
        <v>0.11758530500615615</v>
      </c>
    </row>
    <row r="111" spans="1:31" x14ac:dyDescent="0.3">
      <c r="A111" s="32"/>
      <c r="B111" s="9">
        <v>0.5</v>
      </c>
      <c r="C111" s="9">
        <v>1.6</v>
      </c>
      <c r="D111" s="10">
        <f t="shared" si="42"/>
        <v>2.7069555802032439</v>
      </c>
      <c r="E111" s="10">
        <f t="shared" si="43"/>
        <v>0.26906828006800837</v>
      </c>
      <c r="F111" s="26"/>
      <c r="G111" s="26"/>
      <c r="H111" s="26"/>
      <c r="P111" s="9">
        <v>4.5</v>
      </c>
      <c r="Q111" s="9">
        <v>0</v>
      </c>
      <c r="R111" s="9">
        <v>-2.6</v>
      </c>
      <c r="S111" s="10">
        <f t="shared" si="45"/>
        <v>-2.5885143339275904</v>
      </c>
      <c r="T111" s="10">
        <f t="shared" si="46"/>
        <v>2.1290035919548718E-4</v>
      </c>
      <c r="AA111" s="9">
        <v>4.5</v>
      </c>
      <c r="AB111" s="9">
        <v>0</v>
      </c>
      <c r="AC111" s="9">
        <v>-0.4</v>
      </c>
      <c r="AD111" s="10">
        <f t="shared" si="47"/>
        <v>0.18530324014094177</v>
      </c>
      <c r="AE111" s="10">
        <f t="shared" si="48"/>
        <v>6.7152375822649574E-2</v>
      </c>
    </row>
    <row r="112" spans="1:31" x14ac:dyDescent="0.3">
      <c r="A112" s="33"/>
      <c r="B112" s="9">
        <v>1</v>
      </c>
      <c r="C112" s="9">
        <v>1.6</v>
      </c>
      <c r="D112" s="10">
        <f t="shared" si="42"/>
        <v>2.7069555802032439</v>
      </c>
      <c r="E112" s="10">
        <f t="shared" si="43"/>
        <v>0.26906828006800837</v>
      </c>
      <c r="F112" s="26"/>
      <c r="G112" s="26"/>
      <c r="H112" s="26"/>
      <c r="P112" s="32"/>
      <c r="Q112" s="9">
        <v>0.5</v>
      </c>
      <c r="R112" s="9">
        <v>-2.5</v>
      </c>
      <c r="S112" s="10">
        <f t="shared" si="45"/>
        <v>-2.4624317169244754</v>
      </c>
      <c r="T112" s="10">
        <f t="shared" si="46"/>
        <v>8.4147258563390032E-2</v>
      </c>
      <c r="AA112" s="32"/>
      <c r="AB112" s="9">
        <v>0.5</v>
      </c>
      <c r="AC112" s="9">
        <v>-0.5</v>
      </c>
      <c r="AD112" s="10">
        <f t="shared" si="47"/>
        <v>5.9220623137826681E-2</v>
      </c>
      <c r="AE112" s="10">
        <f t="shared" si="48"/>
        <v>8.3963336500741267E-2</v>
      </c>
    </row>
    <row r="113" spans="1:31" x14ac:dyDescent="0.3">
      <c r="A113" s="33"/>
      <c r="B113" s="9">
        <v>1.5</v>
      </c>
      <c r="C113" s="9">
        <v>1.6</v>
      </c>
      <c r="D113" s="10">
        <f t="shared" si="42"/>
        <v>2.7069555802032439</v>
      </c>
      <c r="E113" s="10">
        <f t="shared" si="43"/>
        <v>0.26906828006800837</v>
      </c>
      <c r="F113" s="26"/>
      <c r="G113" s="26"/>
      <c r="H113" s="26"/>
      <c r="P113" s="33"/>
      <c r="Q113" s="9">
        <v>1</v>
      </c>
      <c r="R113" s="9">
        <v>-2.2999999999999998</v>
      </c>
      <c r="S113" s="10">
        <f t="shared" si="45"/>
        <v>-2.2102664829182448</v>
      </c>
      <c r="T113" s="10">
        <f t="shared" si="46"/>
        <v>0.16820222729752993</v>
      </c>
      <c r="AA113" s="33"/>
      <c r="AB113" s="9">
        <v>1</v>
      </c>
      <c r="AC113" s="9">
        <v>-0.5</v>
      </c>
      <c r="AD113" s="10">
        <f t="shared" si="47"/>
        <v>5.9220623137826681E-2</v>
      </c>
      <c r="AE113" s="10">
        <f t="shared" si="48"/>
        <v>8.3963336500741267E-2</v>
      </c>
    </row>
    <row r="114" spans="1:31" x14ac:dyDescent="0.3">
      <c r="A114" s="33"/>
      <c r="B114" s="9">
        <v>2</v>
      </c>
      <c r="C114" s="9">
        <v>1.6</v>
      </c>
      <c r="D114" s="10">
        <f t="shared" si="42"/>
        <v>2.7069555802032439</v>
      </c>
      <c r="E114" s="10">
        <f t="shared" si="43"/>
        <v>0.26906828006800837</v>
      </c>
      <c r="F114" s="26"/>
      <c r="G114" s="26"/>
      <c r="H114" s="26"/>
      <c r="P114" s="33"/>
      <c r="Q114" s="9">
        <v>1.5</v>
      </c>
      <c r="R114" s="9">
        <v>-2.1</v>
      </c>
      <c r="S114" s="10">
        <f t="shared" si="45"/>
        <v>-1.9581012489120151</v>
      </c>
      <c r="T114" s="10">
        <f t="shared" si="46"/>
        <v>0.25225726899122386</v>
      </c>
      <c r="AA114" s="33"/>
      <c r="AB114" s="9">
        <v>1.5</v>
      </c>
      <c r="AC114" s="9">
        <v>-0.5</v>
      </c>
      <c r="AD114" s="10">
        <f t="shared" si="47"/>
        <v>5.9220623137826681E-2</v>
      </c>
      <c r="AE114" s="10">
        <f t="shared" si="48"/>
        <v>8.3963336500741267E-2</v>
      </c>
    </row>
    <row r="115" spans="1:31" x14ac:dyDescent="0.3">
      <c r="A115" s="33"/>
      <c r="B115" s="9">
        <v>2.5</v>
      </c>
      <c r="C115" s="9">
        <v>1.5</v>
      </c>
      <c r="D115" s="10">
        <f t="shared" si="42"/>
        <v>2.5808729632001288</v>
      </c>
      <c r="E115" s="10">
        <f t="shared" si="43"/>
        <v>0.25225726899122386</v>
      </c>
      <c r="F115" s="26"/>
      <c r="G115" s="26"/>
      <c r="H115" s="26"/>
      <c r="P115" s="33"/>
      <c r="Q115" s="9">
        <v>2</v>
      </c>
      <c r="R115" s="9">
        <v>-1.9</v>
      </c>
      <c r="S115" s="10">
        <f t="shared" si="45"/>
        <v>-1.7059360149057847</v>
      </c>
      <c r="T115" s="10">
        <f t="shared" si="46"/>
        <v>0.336312328939806</v>
      </c>
      <c r="AA115" s="33"/>
      <c r="AB115" s="9">
        <v>2</v>
      </c>
      <c r="AC115" s="9">
        <v>-0.6</v>
      </c>
      <c r="AD115" s="10">
        <f t="shared" si="47"/>
        <v>-6.6861993865288391E-2</v>
      </c>
      <c r="AE115" s="10">
        <f t="shared" si="48"/>
        <v>0.10077431551702469</v>
      </c>
    </row>
    <row r="116" spans="1:31" x14ac:dyDescent="0.3">
      <c r="A116" s="33"/>
      <c r="B116" s="9">
        <v>3</v>
      </c>
      <c r="C116" s="9">
        <v>1.4</v>
      </c>
      <c r="D116" s="10">
        <f t="shared" si="42"/>
        <v>2.4547903461970133</v>
      </c>
      <c r="E116" s="10">
        <f t="shared" si="43"/>
        <v>0.23544625856645701</v>
      </c>
      <c r="F116" s="26"/>
      <c r="G116" s="26"/>
      <c r="H116" s="26"/>
      <c r="P116" s="33"/>
      <c r="Q116" s="9">
        <v>2.5</v>
      </c>
      <c r="R116" s="9">
        <v>-1.6</v>
      </c>
      <c r="S116" s="10">
        <f t="shared" si="45"/>
        <v>-1.3276881638964395</v>
      </c>
      <c r="T116" s="10">
        <f t="shared" si="46"/>
        <v>0.42036739619274316</v>
      </c>
      <c r="AA116" s="33"/>
      <c r="AB116" s="9">
        <v>2.5</v>
      </c>
      <c r="AC116" s="9">
        <v>-0.6</v>
      </c>
      <c r="AD116" s="10">
        <f t="shared" si="47"/>
        <v>-6.6861993865288391E-2</v>
      </c>
      <c r="AE116" s="10">
        <f t="shared" si="48"/>
        <v>0.10077431551702469</v>
      </c>
    </row>
    <row r="117" spans="1:31" x14ac:dyDescent="0.3">
      <c r="A117" s="34"/>
      <c r="B117" s="9">
        <v>3.5</v>
      </c>
      <c r="C117" s="9">
        <v>1.3</v>
      </c>
      <c r="D117" s="10">
        <f t="shared" si="42"/>
        <v>2.3287077291938987</v>
      </c>
      <c r="E117" s="10">
        <f t="shared" si="43"/>
        <v>0.21863524894411007</v>
      </c>
      <c r="F117" s="26"/>
      <c r="G117" s="26"/>
      <c r="H117" s="26"/>
      <c r="P117" s="33"/>
      <c r="Q117" s="9">
        <v>3</v>
      </c>
      <c r="R117" s="9">
        <v>-1.4</v>
      </c>
      <c r="S117" s="10">
        <f t="shared" si="45"/>
        <v>-1.0755229298902091</v>
      </c>
      <c r="T117" s="10">
        <f t="shared" si="46"/>
        <v>0.50442246709852445</v>
      </c>
      <c r="AA117" s="33"/>
      <c r="AB117" s="9">
        <v>3</v>
      </c>
      <c r="AC117" s="9">
        <v>-0.7</v>
      </c>
      <c r="AD117" s="10">
        <f t="shared" si="47"/>
        <v>-0.19294461086840348</v>
      </c>
      <c r="AE117" s="10">
        <f t="shared" si="48"/>
        <v>0.11758530500615615</v>
      </c>
    </row>
    <row r="118" spans="1:31" x14ac:dyDescent="0.3">
      <c r="A118" s="9">
        <v>7.5</v>
      </c>
      <c r="B118" s="9">
        <v>0</v>
      </c>
      <c r="C118" s="9">
        <v>0.3</v>
      </c>
      <c r="D118" s="15">
        <f t="shared" si="42"/>
        <v>1.0678815591627475</v>
      </c>
      <c r="E118" s="15">
        <f t="shared" si="43"/>
        <v>5.0525373063760821E-2</v>
      </c>
      <c r="F118" s="26"/>
      <c r="G118" s="26"/>
      <c r="H118" s="26"/>
      <c r="P118" s="34"/>
      <c r="Q118" s="9">
        <v>3.5</v>
      </c>
      <c r="R118" s="9">
        <v>-1.2</v>
      </c>
      <c r="S118" s="10">
        <f t="shared" si="45"/>
        <v>-0.823357695883979</v>
      </c>
      <c r="T118" s="10">
        <f t="shared" si="46"/>
        <v>0.58847754009189002</v>
      </c>
      <c r="AA118" s="34"/>
      <c r="AB118" s="9">
        <v>3.5</v>
      </c>
      <c r="AC118" s="9">
        <v>-0.7</v>
      </c>
      <c r="AD118" s="10">
        <f t="shared" si="47"/>
        <v>-0.19294461086840348</v>
      </c>
      <c r="AE118" s="10">
        <f t="shared" si="48"/>
        <v>0.11758530500615615</v>
      </c>
    </row>
    <row r="119" spans="1:31" x14ac:dyDescent="0.3">
      <c r="A119" s="32"/>
      <c r="B119" s="9">
        <v>0.5</v>
      </c>
      <c r="C119" s="9">
        <v>0.3</v>
      </c>
      <c r="D119" s="15">
        <f t="shared" si="42"/>
        <v>1.0678815591627475</v>
      </c>
      <c r="E119" s="15">
        <f t="shared" si="43"/>
        <v>5.0525373063760821E-2</v>
      </c>
      <c r="F119" s="26"/>
      <c r="G119" s="26"/>
      <c r="H119" s="26"/>
      <c r="P119" s="9">
        <v>7.5</v>
      </c>
      <c r="Q119" s="9">
        <v>0</v>
      </c>
      <c r="R119" s="9">
        <v>-1.2</v>
      </c>
      <c r="S119" s="10">
        <f t="shared" si="45"/>
        <v>-0.823357695883979</v>
      </c>
      <c r="T119" s="10">
        <f t="shared" si="46"/>
        <v>2.1290035919548718E-4</v>
      </c>
      <c r="AA119" s="9">
        <v>7.5</v>
      </c>
      <c r="AB119" s="9">
        <v>0</v>
      </c>
      <c r="AC119" s="9">
        <v>-0.7</v>
      </c>
      <c r="AD119" s="10">
        <f t="shared" si="47"/>
        <v>-0.19294461086840348</v>
      </c>
      <c r="AE119" s="10">
        <f t="shared" si="48"/>
        <v>0.11758530500615615</v>
      </c>
    </row>
    <row r="120" spans="1:31" x14ac:dyDescent="0.3">
      <c r="A120" s="33"/>
      <c r="B120" s="9">
        <v>1</v>
      </c>
      <c r="C120" s="9">
        <v>0.3</v>
      </c>
      <c r="D120" s="15">
        <f t="shared" si="42"/>
        <v>1.0678815591627475</v>
      </c>
      <c r="E120" s="15">
        <f t="shared" si="43"/>
        <v>5.0525373063760821E-2</v>
      </c>
      <c r="F120" s="26"/>
      <c r="G120" s="26"/>
      <c r="H120" s="26"/>
      <c r="P120" s="32"/>
      <c r="Q120" s="9">
        <v>0.5</v>
      </c>
      <c r="R120" s="9">
        <v>-1.2</v>
      </c>
      <c r="S120" s="10">
        <f t="shared" si="45"/>
        <v>-0.823357695883979</v>
      </c>
      <c r="T120" s="10">
        <f t="shared" si="46"/>
        <v>8.4147258563390032E-2</v>
      </c>
      <c r="AA120" s="32"/>
      <c r="AB120" s="9">
        <v>0.5</v>
      </c>
      <c r="AC120" s="9">
        <v>-0.7</v>
      </c>
      <c r="AD120" s="10">
        <f t="shared" si="47"/>
        <v>-0.19294461086840348</v>
      </c>
      <c r="AE120" s="10">
        <f t="shared" si="48"/>
        <v>0.11758530500615615</v>
      </c>
    </row>
    <row r="121" spans="1:31" x14ac:dyDescent="0.3">
      <c r="A121" s="33"/>
      <c r="B121" s="9">
        <v>1.5</v>
      </c>
      <c r="C121" s="9">
        <v>0.3</v>
      </c>
      <c r="D121" s="15">
        <f t="shared" si="42"/>
        <v>1.0678815591627475</v>
      </c>
      <c r="E121" s="15">
        <f t="shared" si="43"/>
        <v>5.0525373063760821E-2</v>
      </c>
      <c r="F121" s="26"/>
      <c r="G121" s="26"/>
      <c r="H121" s="26"/>
      <c r="P121" s="33"/>
      <c r="Q121" s="9">
        <v>1</v>
      </c>
      <c r="R121" s="9">
        <v>-1.2</v>
      </c>
      <c r="S121" s="10">
        <f t="shared" si="45"/>
        <v>-0.823357695883979</v>
      </c>
      <c r="T121" s="10">
        <f t="shared" si="46"/>
        <v>0.16820222729752993</v>
      </c>
      <c r="AA121" s="33"/>
      <c r="AB121" s="9">
        <v>1</v>
      </c>
      <c r="AC121" s="9">
        <v>-0.7</v>
      </c>
      <c r="AD121" s="10">
        <f t="shared" si="47"/>
        <v>-0.19294461086840348</v>
      </c>
      <c r="AE121" s="10">
        <f t="shared" si="48"/>
        <v>0.11758530500615615</v>
      </c>
    </row>
    <row r="122" spans="1:31" x14ac:dyDescent="0.3">
      <c r="A122" s="33"/>
      <c r="B122" s="9">
        <v>2</v>
      </c>
      <c r="C122" s="9">
        <v>0.2</v>
      </c>
      <c r="D122" s="15">
        <f t="shared" si="42"/>
        <v>0.94179894215963234</v>
      </c>
      <c r="E122" s="15">
        <f t="shared" si="43"/>
        <v>3.3714539353192914E-2</v>
      </c>
      <c r="F122" s="26"/>
      <c r="G122" s="26"/>
      <c r="H122" s="26"/>
      <c r="P122" s="33"/>
      <c r="Q122" s="9">
        <v>1.5</v>
      </c>
      <c r="R122" s="9">
        <v>-1.1000000000000001</v>
      </c>
      <c r="S122" s="10">
        <f t="shared" si="45"/>
        <v>-0.69727507888086404</v>
      </c>
      <c r="T122" s="10">
        <f t="shared" si="46"/>
        <v>0.25225726899122386</v>
      </c>
      <c r="AA122" s="33"/>
      <c r="AB122" s="9">
        <v>1.5</v>
      </c>
      <c r="AC122" s="9">
        <v>-0.7</v>
      </c>
      <c r="AD122" s="10">
        <f t="shared" si="47"/>
        <v>-0.19294461086840348</v>
      </c>
      <c r="AE122" s="10">
        <f t="shared" si="48"/>
        <v>0.11758530500615615</v>
      </c>
    </row>
    <row r="123" spans="1:31" x14ac:dyDescent="0.3">
      <c r="A123" s="33"/>
      <c r="B123" s="9">
        <v>2.5</v>
      </c>
      <c r="C123" s="9">
        <v>0.2</v>
      </c>
      <c r="D123" s="15">
        <f t="shared" si="42"/>
        <v>0.94179894215963234</v>
      </c>
      <c r="E123" s="15">
        <f t="shared" si="43"/>
        <v>3.3714539353192914E-2</v>
      </c>
      <c r="F123" s="26"/>
      <c r="G123" s="26"/>
      <c r="H123" s="26"/>
      <c r="P123" s="33"/>
      <c r="Q123" s="9">
        <v>2</v>
      </c>
      <c r="R123" s="9">
        <v>-1.1000000000000001</v>
      </c>
      <c r="S123" s="10">
        <f t="shared" si="45"/>
        <v>-0.69727507888086404</v>
      </c>
      <c r="T123" s="10">
        <f t="shared" si="46"/>
        <v>0.336312328939806</v>
      </c>
      <c r="AA123" s="33"/>
      <c r="AB123" s="9">
        <v>2</v>
      </c>
      <c r="AC123" s="9">
        <v>-0.7</v>
      </c>
      <c r="AD123" s="10">
        <f t="shared" si="47"/>
        <v>-0.19294461086840348</v>
      </c>
      <c r="AE123" s="10">
        <f t="shared" si="48"/>
        <v>0.11758530500615615</v>
      </c>
    </row>
    <row r="124" spans="1:31" x14ac:dyDescent="0.3">
      <c r="A124" s="33"/>
      <c r="B124" s="9">
        <v>3</v>
      </c>
      <c r="C124" s="9">
        <v>0.1</v>
      </c>
      <c r="D124" s="15">
        <f t="shared" si="42"/>
        <v>0.81571632515651726</v>
      </c>
      <c r="E124" s="15">
        <f t="shared" si="43"/>
        <v>1.6904067505827493E-2</v>
      </c>
      <c r="F124" s="26"/>
      <c r="G124" s="26"/>
      <c r="H124" s="26"/>
      <c r="P124" s="33"/>
      <c r="Q124" s="9">
        <v>2.5</v>
      </c>
      <c r="R124" s="9">
        <v>-1.1000000000000001</v>
      </c>
      <c r="S124" s="10">
        <f t="shared" si="45"/>
        <v>-0.69727507888086404</v>
      </c>
      <c r="T124" s="10">
        <f t="shared" si="46"/>
        <v>0.42036739619274316</v>
      </c>
      <c r="AA124" s="33"/>
      <c r="AB124" s="9">
        <v>2.5</v>
      </c>
      <c r="AC124" s="9">
        <v>-0.7</v>
      </c>
      <c r="AD124" s="10">
        <f t="shared" si="47"/>
        <v>-0.19294461086840348</v>
      </c>
      <c r="AE124" s="10">
        <f t="shared" si="48"/>
        <v>0.11758530500615615</v>
      </c>
    </row>
    <row r="125" spans="1:31" x14ac:dyDescent="0.3">
      <c r="A125" s="34"/>
      <c r="B125" s="9">
        <v>3.5</v>
      </c>
      <c r="C125" s="9">
        <v>0.1</v>
      </c>
      <c r="D125" s="15">
        <f t="shared" si="42"/>
        <v>0.81571632515651726</v>
      </c>
      <c r="E125" s="15">
        <f t="shared" si="43"/>
        <v>1.6904067505827493E-2</v>
      </c>
      <c r="F125" s="26"/>
      <c r="G125" s="26"/>
      <c r="H125" s="26"/>
      <c r="P125" s="33"/>
      <c r="Q125" s="9">
        <v>3</v>
      </c>
      <c r="R125" s="9">
        <v>-1</v>
      </c>
      <c r="S125" s="10">
        <f t="shared" si="45"/>
        <v>-0.57119246187774886</v>
      </c>
      <c r="T125" s="10">
        <f t="shared" si="46"/>
        <v>0.50442246709852445</v>
      </c>
      <c r="AA125" s="33"/>
      <c r="AB125" s="9">
        <v>3</v>
      </c>
      <c r="AC125" s="9">
        <v>-0.7</v>
      </c>
      <c r="AD125" s="10">
        <f t="shared" si="47"/>
        <v>-0.19294461086840348</v>
      </c>
      <c r="AE125" s="10">
        <f t="shared" si="48"/>
        <v>0.11758530500615615</v>
      </c>
    </row>
    <row r="126" spans="1:31" x14ac:dyDescent="0.3">
      <c r="P126" s="34"/>
      <c r="Q126" s="9">
        <v>3.5</v>
      </c>
      <c r="R126" s="9">
        <v>-1</v>
      </c>
      <c r="S126" s="10">
        <f t="shared" si="45"/>
        <v>-0.57119246187774886</v>
      </c>
      <c r="T126" s="10">
        <f t="shared" si="46"/>
        <v>0.58847754009189002</v>
      </c>
      <c r="AA126" s="34"/>
      <c r="AB126" s="9">
        <v>3.5</v>
      </c>
      <c r="AC126" s="9">
        <v>-0.7</v>
      </c>
      <c r="AD126" s="10">
        <f t="shared" si="47"/>
        <v>-0.19294461086840348</v>
      </c>
      <c r="AE126" s="10">
        <f t="shared" si="48"/>
        <v>0.11758530500615615</v>
      </c>
    </row>
    <row r="129" spans="1:10" x14ac:dyDescent="0.3">
      <c r="A129" t="s">
        <v>55</v>
      </c>
      <c r="B129">
        <v>6</v>
      </c>
    </row>
    <row r="130" spans="1:10" x14ac:dyDescent="0.3">
      <c r="B130" t="s">
        <v>61</v>
      </c>
      <c r="C130">
        <f>B102</f>
        <v>0</v>
      </c>
      <c r="D130">
        <f>B103</f>
        <v>0.5</v>
      </c>
      <c r="E130">
        <f>B104</f>
        <v>1</v>
      </c>
      <c r="F130">
        <f>B105</f>
        <v>1.5</v>
      </c>
      <c r="G130">
        <f>B106</f>
        <v>2</v>
      </c>
      <c r="H130">
        <f>B107</f>
        <v>2.5</v>
      </c>
      <c r="I130">
        <f>B108</f>
        <v>3</v>
      </c>
      <c r="J130">
        <f>B109</f>
        <v>3.5</v>
      </c>
    </row>
    <row r="131" spans="1:10" x14ac:dyDescent="0.3">
      <c r="B131" t="s">
        <v>59</v>
      </c>
      <c r="C131" s="28">
        <f>C130*0.01/$A$11</f>
        <v>0</v>
      </c>
      <c r="D131" s="28">
        <f t="shared" ref="D131:J131" si="49">D130*0.01/$A$11</f>
        <v>0.10526315789473684</v>
      </c>
      <c r="E131" s="28">
        <f t="shared" si="49"/>
        <v>0.21052631578947367</v>
      </c>
      <c r="F131" s="28">
        <f t="shared" si="49"/>
        <v>0.31578947368421051</v>
      </c>
      <c r="G131" s="28">
        <f t="shared" si="49"/>
        <v>0.42105263157894735</v>
      </c>
      <c r="H131" s="28">
        <f t="shared" si="49"/>
        <v>0.52631578947368418</v>
      </c>
      <c r="I131" s="28">
        <f t="shared" si="49"/>
        <v>0.63157894736842102</v>
      </c>
      <c r="J131" s="28">
        <f t="shared" si="49"/>
        <v>0.73684210526315796</v>
      </c>
    </row>
    <row r="132" spans="1:10" x14ac:dyDescent="0.3">
      <c r="A132" t="s">
        <v>56</v>
      </c>
      <c r="B132" t="s">
        <v>57</v>
      </c>
      <c r="C132" s="27"/>
    </row>
    <row r="133" spans="1:10" x14ac:dyDescent="0.3">
      <c r="A133">
        <v>15</v>
      </c>
      <c r="B133">
        <f>COS(PI()/180*A133)</f>
        <v>0.96592582628906831</v>
      </c>
      <c r="C133" s="27">
        <f>(1-$C$131*B133)/(1-2*$C$131*B133+$C$131^2)</f>
        <v>1</v>
      </c>
      <c r="D133" s="26">
        <f>(1-$D$131*B133)/(1-2*$D$131*B133+$D$131^2)</f>
        <v>1.1121616725231032</v>
      </c>
      <c r="E133" s="28">
        <f>(1-$E$131*B133)/(1-2*$E$131*B133+$E$131^2)</f>
        <v>1.2494158648584053</v>
      </c>
      <c r="F133" s="28">
        <f>(1-$F$131*B133)/(1-2*$F$131*B133+$F$131^2)</f>
        <v>1.4192792925155926</v>
      </c>
      <c r="G133" s="28">
        <f>(1-$G$131*B133)/(1-2*$G$131*B133+$G$131^2)</f>
        <v>1.6304936096463385</v>
      </c>
      <c r="H133" s="28">
        <f>(1-$H$131*B133)/(1-2*$H$131*B133+$H$131^2)</f>
        <v>1.8890635417473138</v>
      </c>
      <c r="I133" s="28">
        <f>(1-$I$131*B133)/(1-2*$I$131*B133+$I$131^2)</f>
        <v>2.1811846851927132</v>
      </c>
      <c r="J133" s="28">
        <f>(1-$J$131*B133)/(1-2*$J$131*B133+$J$131^2)</f>
        <v>2.4129343394587273</v>
      </c>
    </row>
    <row r="134" spans="1:10" x14ac:dyDescent="0.3">
      <c r="A134">
        <v>45</v>
      </c>
      <c r="B134">
        <f t="shared" ref="B134:B138" si="50">COS(PI()/180*A134)</f>
        <v>0.70710678118654757</v>
      </c>
      <c r="C134" s="27">
        <f>(1-$C$131*B134)/(1-2*$C$131*B134+$C$131^2)</f>
        <v>1</v>
      </c>
      <c r="D134" s="26">
        <f t="shared" ref="D134:D138" si="51">(1-$D$131*B134)/(1-2*$D$131*B134+$D$131^2)</f>
        <v>1.0734757635481613</v>
      </c>
      <c r="E134" s="28">
        <f t="shared" ref="E134:E138" si="52">(1-$E$131*B134)/(1-2*$E$131*B134+$E$131^2)</f>
        <v>1.1400272620960143</v>
      </c>
      <c r="F134" s="28">
        <f t="shared" ref="F134:F138" si="53">(1-$F$131*B134)/(1-2*$F$131*B134+$F$131^2)</f>
        <v>1.1892028099938579</v>
      </c>
      <c r="G134" s="28">
        <f t="shared" ref="G134:G138" si="54">(1-$G$131*B134)/(1-2*$G$131*B134+$G$131^2)</f>
        <v>1.2070097422936497</v>
      </c>
      <c r="H134" s="28">
        <f t="shared" ref="H134:H138" si="55">(1-$H$131*B134)/(1-2*$H$131*B134+$H$131^2)</f>
        <v>1.1786291808000291</v>
      </c>
      <c r="I134" s="28">
        <f t="shared" ref="I134:I138" si="56">(1-$I$131*B134)/(1-2*$I$131*B134+$I$131^2)</f>
        <v>1.0943274069125273</v>
      </c>
      <c r="J134" s="28">
        <f t="shared" ref="J134:J138" si="57">(1-$J$131*B134)/(1-2*$J$131*B134+$J$131^2)</f>
        <v>0.95625687683363791</v>
      </c>
    </row>
    <row r="135" spans="1:10" x14ac:dyDescent="0.3">
      <c r="A135">
        <v>75</v>
      </c>
      <c r="B135">
        <f t="shared" si="50"/>
        <v>0.25881904510252074</v>
      </c>
      <c r="C135" s="27">
        <f t="shared" ref="C135:C138" si="58">(1-$C$131*B135)/(1-2*$C$131*B135+$C$131^2)</f>
        <v>1</v>
      </c>
      <c r="D135" s="26">
        <f t="shared" si="51"/>
        <v>1.0168972515991817</v>
      </c>
      <c r="E135" s="28">
        <f t="shared" si="52"/>
        <v>1.0108696701021991</v>
      </c>
      <c r="F135" s="28">
        <f t="shared" si="53"/>
        <v>0.98078451101615227</v>
      </c>
      <c r="G135" s="28">
        <f t="shared" si="54"/>
        <v>0.92879540420304807</v>
      </c>
      <c r="H135" s="28">
        <f t="shared" si="55"/>
        <v>0.85985232369317166</v>
      </c>
      <c r="I135" s="28">
        <f t="shared" si="56"/>
        <v>0.78037732244263325</v>
      </c>
      <c r="J135" s="28">
        <f t="shared" si="57"/>
        <v>0.69675261924223708</v>
      </c>
    </row>
    <row r="136" spans="1:10" x14ac:dyDescent="0.3">
      <c r="A136">
        <v>105</v>
      </c>
      <c r="B136">
        <f t="shared" si="50"/>
        <v>-0.25881904510252085</v>
      </c>
      <c r="C136" s="27">
        <f t="shared" si="58"/>
        <v>1</v>
      </c>
      <c r="D136" s="26">
        <f t="shared" si="51"/>
        <v>0.96403380868053024</v>
      </c>
      <c r="E136" s="28">
        <f t="shared" si="52"/>
        <v>0.91432433820744563</v>
      </c>
      <c r="F136" s="28">
        <f t="shared" si="53"/>
        <v>0.85635125432860748</v>
      </c>
      <c r="G136" s="28">
        <f t="shared" si="54"/>
        <v>0.79482947149773664</v>
      </c>
      <c r="H136" s="28">
        <f t="shared" si="55"/>
        <v>0.73330600047923067</v>
      </c>
      <c r="I136" s="28">
        <f t="shared" si="56"/>
        <v>0.67415129764818804</v>
      </c>
      <c r="J136" s="28">
        <f t="shared" si="57"/>
        <v>0.61875771108306243</v>
      </c>
    </row>
    <row r="137" spans="1:10" x14ac:dyDescent="0.3">
      <c r="A137">
        <v>135</v>
      </c>
      <c r="B137">
        <f t="shared" si="50"/>
        <v>-0.70710678118654746</v>
      </c>
      <c r="C137" s="27">
        <f t="shared" si="58"/>
        <v>1</v>
      </c>
      <c r="D137" s="26">
        <f t="shared" si="51"/>
        <v>0.92627871906230241</v>
      </c>
      <c r="E137" s="28">
        <f t="shared" si="52"/>
        <v>0.85605167983097119</v>
      </c>
      <c r="F137" s="28">
        <f t="shared" si="53"/>
        <v>0.79110368536768372</v>
      </c>
      <c r="G137" s="28">
        <f t="shared" si="54"/>
        <v>0.73204558552946797</v>
      </c>
      <c r="H137" s="28">
        <f t="shared" si="55"/>
        <v>0.67884047805359926</v>
      </c>
      <c r="I137" s="28">
        <f t="shared" si="56"/>
        <v>0.6311272227967879</v>
      </c>
      <c r="J137" s="28">
        <f t="shared" si="57"/>
        <v>0.58840730470331004</v>
      </c>
    </row>
    <row r="138" spans="1:10" x14ac:dyDescent="0.3">
      <c r="A138">
        <v>165</v>
      </c>
      <c r="B138">
        <f t="shared" si="50"/>
        <v>-0.9659258262890682</v>
      </c>
      <c r="C138" s="27">
        <f t="shared" si="58"/>
        <v>1</v>
      </c>
      <c r="D138" s="26">
        <f t="shared" si="51"/>
        <v>0.90715278457561788</v>
      </c>
      <c r="E138" s="28">
        <f t="shared" si="52"/>
        <v>0.82931113942418155</v>
      </c>
      <c r="F138" s="28">
        <f t="shared" si="53"/>
        <v>0.76327254581884418</v>
      </c>
      <c r="G138" s="28">
        <f t="shared" si="54"/>
        <v>0.70663990332551885</v>
      </c>
      <c r="H138" s="28">
        <f t="shared" si="55"/>
        <v>0.65759883354545767</v>
      </c>
      <c r="I138" s="28">
        <f t="shared" si="56"/>
        <v>0.61475868909809395</v>
      </c>
      <c r="J138" s="28">
        <f t="shared" si="57"/>
        <v>0.57703998090371345</v>
      </c>
    </row>
    <row r="139" spans="1:10" x14ac:dyDescent="0.3">
      <c r="B139" t="s">
        <v>58</v>
      </c>
      <c r="C139" s="13">
        <f>SUM(C133:C138)</f>
        <v>6</v>
      </c>
      <c r="D139" s="13">
        <f t="shared" ref="D139:J139" si="59">SUM(D133:D138)</f>
        <v>5.999999999988896</v>
      </c>
      <c r="E139" s="13">
        <f t="shared" si="59"/>
        <v>5.9999999545192164</v>
      </c>
      <c r="F139" s="13">
        <f t="shared" si="59"/>
        <v>5.9999940990407383</v>
      </c>
      <c r="G139" s="13">
        <f t="shared" si="59"/>
        <v>5.9998137164957601</v>
      </c>
      <c r="H139" s="13">
        <f t="shared" si="59"/>
        <v>5.9972903583188026</v>
      </c>
      <c r="I139" s="13">
        <f t="shared" si="59"/>
        <v>5.9759266240909437</v>
      </c>
      <c r="J139" s="13">
        <f t="shared" si="59"/>
        <v>5.8501488322246882</v>
      </c>
    </row>
  </sheetData>
  <mergeCells count="11">
    <mergeCell ref="E54:J54"/>
    <mergeCell ref="I45:M45"/>
    <mergeCell ref="A103:A109"/>
    <mergeCell ref="A111:A117"/>
    <mergeCell ref="A119:A125"/>
    <mergeCell ref="P104:P110"/>
    <mergeCell ref="P112:P118"/>
    <mergeCell ref="P120:P126"/>
    <mergeCell ref="AA104:AA110"/>
    <mergeCell ref="AA112:AA118"/>
    <mergeCell ref="AA120:AA12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jkowa</dc:creator>
  <cp:lastModifiedBy>Paulina m</cp:lastModifiedBy>
  <dcterms:created xsi:type="dcterms:W3CDTF">2022-03-09T09:28:47Z</dcterms:created>
  <dcterms:modified xsi:type="dcterms:W3CDTF">2022-05-10T20:52:46Z</dcterms:modified>
</cp:coreProperties>
</file>