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rzem\Desktop\Semestr 4\Laboratorium Fizyczne 2\cw 96\"/>
    </mc:Choice>
  </mc:AlternateContent>
  <xr:revisionPtr revIDLastSave="0" documentId="13_ncr:1_{B0F4CDD9-828C-46A7-92BF-3E98C2E420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2" i="1" l="1"/>
  <c r="AQ7" i="1" a="1"/>
  <c r="AQ7" i="1" s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22" i="1"/>
  <c r="AQ27" i="1"/>
  <c r="AQ23" i="1"/>
  <c r="AQ24" i="1"/>
  <c r="AQ25" i="1"/>
  <c r="AQ26" i="1"/>
  <c r="AQ28" i="1"/>
  <c r="AQ29" i="1"/>
  <c r="AQ30" i="1"/>
  <c r="AQ31" i="1"/>
  <c r="AQ32" i="1"/>
  <c r="AQ33" i="1"/>
  <c r="AQ34" i="1"/>
  <c r="AQ35" i="1"/>
  <c r="AQ36" i="1"/>
  <c r="AQ37" i="1"/>
  <c r="AQ38" i="1"/>
  <c r="AQ22" i="1"/>
  <c r="Q31" i="1" a="1"/>
  <c r="Q31" i="1" s="1"/>
  <c r="S27" i="1" s="1"/>
  <c r="T27" i="1" l="1"/>
  <c r="O39" i="1"/>
  <c r="O38" i="1"/>
  <c r="O34" i="1"/>
  <c r="O35" i="1"/>
  <c r="O36" i="1"/>
  <c r="O37" i="1"/>
  <c r="O33" i="1"/>
  <c r="P24" i="1"/>
  <c r="P25" i="1"/>
  <c r="P26" i="1"/>
  <c r="P27" i="1"/>
  <c r="P28" i="1"/>
  <c r="P29" i="1"/>
  <c r="P23" i="1"/>
  <c r="Q24" i="1"/>
  <c r="O24" i="1"/>
  <c r="O25" i="1"/>
  <c r="O26" i="1"/>
  <c r="O27" i="1"/>
  <c r="O28" i="1"/>
  <c r="O29" i="1"/>
  <c r="O23" i="1"/>
  <c r="Q16" i="1"/>
  <c r="Q17" i="1"/>
  <c r="Q18" i="1"/>
  <c r="Q19" i="1"/>
  <c r="Q20" i="1"/>
  <c r="Q21" i="1"/>
  <c r="Q15" i="1"/>
  <c r="R13" i="1"/>
  <c r="B24" i="1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P1" i="1"/>
  <c r="T17" i="1" s="1"/>
  <c r="R21" i="1"/>
  <c r="R6" i="1"/>
  <c r="R7" i="1"/>
  <c r="R8" i="1"/>
  <c r="R9" i="1"/>
  <c r="R10" i="1"/>
  <c r="R11" i="1"/>
  <c r="T11" i="1" s="1"/>
  <c r="R12" i="1"/>
  <c r="T12" i="1" s="1"/>
  <c r="R14" i="1"/>
  <c r="R15" i="1"/>
  <c r="R16" i="1"/>
  <c r="R17" i="1"/>
  <c r="R18" i="1"/>
  <c r="R19" i="1"/>
  <c r="R20" i="1"/>
  <c r="T20" i="1" s="1"/>
  <c r="R5" i="1"/>
  <c r="T15" i="1"/>
  <c r="T16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5" i="1"/>
  <c r="E24" i="1" a="1"/>
  <c r="E24" i="1" s="1"/>
  <c r="E23" i="1" a="1"/>
  <c r="E23" i="1" s="1"/>
  <c r="P21" i="1"/>
  <c r="P20" i="1"/>
  <c r="P19" i="1"/>
  <c r="P18" i="1"/>
  <c r="P17" i="1"/>
  <c r="P16" i="1"/>
  <c r="P15" i="1"/>
  <c r="O16" i="1"/>
  <c r="O17" i="1"/>
  <c r="O18" i="1"/>
  <c r="O19" i="1"/>
  <c r="O20" i="1"/>
  <c r="O21" i="1"/>
  <c r="O15" i="1"/>
  <c r="N6" i="1"/>
  <c r="N7" i="1"/>
  <c r="N8" i="1"/>
  <c r="N9" i="1"/>
  <c r="N10" i="1"/>
  <c r="N11" i="1"/>
  <c r="N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5" i="1"/>
  <c r="M1" i="1"/>
  <c r="AD12" i="1" l="1"/>
  <c r="AN32" i="1"/>
  <c r="AM32" i="1"/>
  <c r="AL32" i="1"/>
  <c r="AK32" i="1"/>
  <c r="AJ32" i="1"/>
  <c r="AO32" i="1" s="1"/>
  <c r="AP32" i="1" s="1"/>
  <c r="AS32" i="1" s="1"/>
  <c r="AD3" i="1"/>
  <c r="AN23" i="1"/>
  <c r="AM23" i="1"/>
  <c r="AL23" i="1"/>
  <c r="AK23" i="1"/>
  <c r="AJ23" i="1"/>
  <c r="AD2" i="1"/>
  <c r="AN22" i="1"/>
  <c r="AJ22" i="1"/>
  <c r="AK22" i="1"/>
  <c r="AL22" i="1"/>
  <c r="AM22" i="1"/>
  <c r="AN29" i="1"/>
  <c r="AM29" i="1"/>
  <c r="AL29" i="1"/>
  <c r="AJ29" i="1"/>
  <c r="AK29" i="1"/>
  <c r="AD8" i="1"/>
  <c r="AJ28" i="1"/>
  <c r="AN28" i="1"/>
  <c r="AM28" i="1"/>
  <c r="AL28" i="1"/>
  <c r="AK28" i="1"/>
  <c r="AN24" i="1"/>
  <c r="AM24" i="1"/>
  <c r="AL24" i="1"/>
  <c r="AK24" i="1"/>
  <c r="AJ24" i="1"/>
  <c r="AD11" i="1"/>
  <c r="AL31" i="1"/>
  <c r="AJ31" i="1"/>
  <c r="AM31" i="1"/>
  <c r="AK31" i="1"/>
  <c r="AN31" i="1"/>
  <c r="AD10" i="1"/>
  <c r="AJ30" i="1"/>
  <c r="AL30" i="1"/>
  <c r="AN30" i="1"/>
  <c r="AM30" i="1"/>
  <c r="AK30" i="1"/>
  <c r="AL37" i="1"/>
  <c r="AK37" i="1"/>
  <c r="AN37" i="1"/>
  <c r="AM37" i="1"/>
  <c r="AJ37" i="1"/>
  <c r="AD15" i="1"/>
  <c r="AN35" i="1"/>
  <c r="AM35" i="1"/>
  <c r="AL35" i="1"/>
  <c r="AK35" i="1"/>
  <c r="AJ35" i="1"/>
  <c r="AD6" i="1"/>
  <c r="AN26" i="1"/>
  <c r="AM26" i="1"/>
  <c r="AL26" i="1"/>
  <c r="AK26" i="1"/>
  <c r="AJ26" i="1"/>
  <c r="AO26" i="1" s="1"/>
  <c r="AP26" i="1" s="1"/>
  <c r="AS26" i="1" s="1"/>
  <c r="AD18" i="1"/>
  <c r="AM38" i="1"/>
  <c r="AK38" i="1"/>
  <c r="AL38" i="1"/>
  <c r="AJ38" i="1"/>
  <c r="AN38" i="1"/>
  <c r="AD16" i="1"/>
  <c r="AK36" i="1"/>
  <c r="AJ36" i="1"/>
  <c r="AN36" i="1"/>
  <c r="AM36" i="1"/>
  <c r="AL36" i="1"/>
  <c r="AD7" i="1"/>
  <c r="AN27" i="1"/>
  <c r="AM27" i="1"/>
  <c r="AL27" i="1"/>
  <c r="AK27" i="1"/>
  <c r="AJ27" i="1"/>
  <c r="AD14" i="1"/>
  <c r="AN34" i="1"/>
  <c r="AM34" i="1"/>
  <c r="AL34" i="1"/>
  <c r="AK34" i="1"/>
  <c r="AJ34" i="1"/>
  <c r="AO34" i="1" s="1"/>
  <c r="AP34" i="1" s="1"/>
  <c r="AS34" i="1" s="1"/>
  <c r="AD13" i="1"/>
  <c r="AL33" i="1"/>
  <c r="AJ33" i="1"/>
  <c r="AN33" i="1"/>
  <c r="AK33" i="1"/>
  <c r="AM33" i="1"/>
  <c r="AD5" i="1"/>
  <c r="AM25" i="1"/>
  <c r="AK25" i="1"/>
  <c r="AN25" i="1"/>
  <c r="AJ25" i="1"/>
  <c r="AL25" i="1"/>
  <c r="AD4" i="1"/>
  <c r="AD17" i="1"/>
  <c r="AD9" i="1"/>
  <c r="T8" i="1"/>
  <c r="T7" i="1"/>
  <c r="T9" i="1"/>
  <c r="T6" i="1"/>
  <c r="T18" i="1"/>
  <c r="T14" i="1"/>
  <c r="T10" i="1"/>
  <c r="T19" i="1"/>
  <c r="T5" i="1"/>
  <c r="T13" i="1"/>
  <c r="T21" i="1"/>
  <c r="AO36" i="1" l="1"/>
  <c r="AP36" i="1" s="1"/>
  <c r="AS36" i="1" s="1"/>
  <c r="AD19" i="1"/>
  <c r="AO22" i="1"/>
  <c r="AP22" i="1" s="1"/>
  <c r="AS22" i="1" s="1"/>
  <c r="AO37" i="1"/>
  <c r="AP37" i="1" s="1"/>
  <c r="AS37" i="1" s="1"/>
  <c r="AO29" i="1"/>
  <c r="AP29" i="1" s="1"/>
  <c r="AS29" i="1" s="1"/>
  <c r="AO31" i="1"/>
  <c r="AP31" i="1" s="1"/>
  <c r="AS31" i="1" s="1"/>
  <c r="AO38" i="1"/>
  <c r="AP38" i="1" s="1"/>
  <c r="AS38" i="1" s="1"/>
  <c r="AO25" i="1"/>
  <c r="AP25" i="1" s="1"/>
  <c r="AS25" i="1" s="1"/>
  <c r="AO33" i="1"/>
  <c r="AP33" i="1" s="1"/>
  <c r="AS33" i="1" s="1"/>
  <c r="AO30" i="1"/>
  <c r="AP30" i="1" s="1"/>
  <c r="AS30" i="1" s="1"/>
  <c r="AO24" i="1"/>
  <c r="AP24" i="1" s="1"/>
  <c r="AS24" i="1" s="1"/>
  <c r="AO23" i="1"/>
  <c r="AP23" i="1" s="1"/>
  <c r="AS23" i="1" s="1"/>
  <c r="AO27" i="1"/>
  <c r="AP27" i="1" s="1"/>
  <c r="AS27" i="1" s="1"/>
  <c r="AO35" i="1"/>
  <c r="AP35" i="1" s="1"/>
  <c r="AS35" i="1" s="1"/>
  <c r="AO28" i="1"/>
  <c r="AP28" i="1" s="1"/>
  <c r="AS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<sst xmlns="http://schemas.openxmlformats.org/spreadsheetml/2006/main" count="59" uniqueCount="47">
  <si>
    <r>
      <t>tło [</t>
    </r>
    <r>
      <rPr>
        <sz val="11"/>
        <color theme="1"/>
        <rFont val="Calibri"/>
        <family val="2"/>
        <charset val="238"/>
      </rPr>
      <t>μ</t>
    </r>
    <r>
      <rPr>
        <sz val="11"/>
        <color theme="1"/>
        <rFont val="Calibri"/>
        <family val="2"/>
      </rPr>
      <t>Sv/h</t>
    </r>
    <r>
      <rPr>
        <sz val="11"/>
        <color theme="1"/>
        <rFont val="Calibri"/>
        <family val="2"/>
        <scheme val="minor"/>
      </rPr>
      <t>]</t>
    </r>
  </si>
  <si>
    <t>Średnia</t>
  </si>
  <si>
    <t>Odległość na linijce [cm]</t>
  </si>
  <si>
    <t>Odległość rzeczywista r [cm]</t>
  </si>
  <si>
    <t>tabela 4</t>
  </si>
  <si>
    <t>d1</t>
  </si>
  <si>
    <t>d2</t>
  </si>
  <si>
    <t>d3</t>
  </si>
  <si>
    <t>d4</t>
  </si>
  <si>
    <t>d5</t>
  </si>
  <si>
    <t>d6</t>
  </si>
  <si>
    <t>d7</t>
  </si>
  <si>
    <t>do poprawy</t>
  </si>
  <si>
    <t>(zero dla blaszek)5</t>
  </si>
  <si>
    <t>cobalt</t>
  </si>
  <si>
    <t>grubość płytki [mm]</t>
  </si>
  <si>
    <t>Srednia</t>
  </si>
  <si>
    <t>aluminium</t>
  </si>
  <si>
    <t>srednia</t>
  </si>
  <si>
    <t>grubosc</t>
  </si>
  <si>
    <t>NIEPEWNOŚCI</t>
  </si>
  <si>
    <t>odejmuje tło</t>
  </si>
  <si>
    <t>odchylenie</t>
  </si>
  <si>
    <t>niepewnosc + tło</t>
  </si>
  <si>
    <t>n</t>
  </si>
  <si>
    <t>od</t>
  </si>
  <si>
    <t>od2</t>
  </si>
  <si>
    <t>x</t>
  </si>
  <si>
    <t>ux</t>
  </si>
  <si>
    <t>x'</t>
  </si>
  <si>
    <t>ux'</t>
  </si>
  <si>
    <t>ur [cm]</t>
  </si>
  <si>
    <t>a</t>
  </si>
  <si>
    <t>?</t>
  </si>
  <si>
    <t>niepewnosc tego 5cm dla d=0</t>
  </si>
  <si>
    <t>niepewnosc</t>
  </si>
  <si>
    <t>srednia minus tło</t>
  </si>
  <si>
    <t>5 cm minus tło</t>
  </si>
  <si>
    <t>tu bez osłony</t>
  </si>
  <si>
    <t>LN(I)</t>
  </si>
  <si>
    <t>mi m</t>
  </si>
  <si>
    <t>u (mi m)</t>
  </si>
  <si>
    <t>E(x*y)</t>
  </si>
  <si>
    <t>cov(x,y)</t>
  </si>
  <si>
    <t>sigma(x)</t>
  </si>
  <si>
    <t>sigma(y)</t>
  </si>
  <si>
    <t>cor(x,y)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</si>
</sst>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theme="1"/>
      <name val="Calibri"/>
      <family val="2"/>
    </font>
    <font>
      <sz val="11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/>
    <xf numFmtId="0" fontId="0" fillId="0" borderId="17" xfId="0" applyBorder="1"/>
    <xf numFmtId="0" fontId="0" fillId="0" borderId="0" xfId="0" applyFill="1" applyBorder="1"/>
    <xf numFmtId="0" fontId="0" fillId="0" borderId="2" xfId="0" applyBorder="1"/>
    <xf numFmtId="0" fontId="0" fillId="0" borderId="18" xfId="0" applyBorder="1"/>
    <xf numFmtId="0" fontId="3" fillId="0" borderId="0" xfId="0" applyFont="1"/>
    <xf numFmtId="2" fontId="0" fillId="0" borderId="0" xfId="0" applyNumberFormat="1"/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2" borderId="0" xfId="0" applyFill="1"/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3" borderId="0" xfId="0" applyFill="1"/>
    <xf numFmtId="164" fontId="0" fillId="0" borderId="0" xfId="0" applyNumberFormat="1"/>
    <xf numFmtId="0" fontId="1" fillId="2" borderId="19" xfId="0" applyFont="1" applyFill="1" applyBorder="1" applyAlignment="1">
      <alignment horizontal="center" vertical="center" wrapText="1"/>
    </xf>
    <xf numFmtId="164" fontId="0" fillId="2" borderId="0" xfId="0" applyNumberFormat="1" applyFill="1"/>
    <xf numFmtId="0" fontId="1" fillId="2" borderId="21" xfId="0" applyFont="1" applyFill="1" applyBorder="1" applyAlignment="1">
      <alignment horizontal="center" vertical="center" wrapText="1"/>
    </xf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7171296296296298"/>
          <c:w val="0.88707874015748034"/>
          <c:h val="0.72088764946048411"/>
        </c:manualLayout>
      </c:layout>
      <c:scatterChart>
        <c:scatterStyle val="lineMarker"/>
        <c:varyColors val="0"/>
        <c:ser>
          <c:idx val="1"/>
          <c:order val="0"/>
          <c:tx>
            <c:v>frooo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Arkusz1!$P$15:$P$21</c:f>
              <c:numCache>
                <c:formatCode>General</c:formatCode>
                <c:ptCount val="7"/>
                <c:pt idx="0">
                  <c:v>4.125</c:v>
                </c:pt>
                <c:pt idx="1">
                  <c:v>8.1750000000000007</c:v>
                </c:pt>
                <c:pt idx="2">
                  <c:v>12.175000000000001</c:v>
                </c:pt>
                <c:pt idx="3">
                  <c:v>17.175000000000001</c:v>
                </c:pt>
                <c:pt idx="4">
                  <c:v>21.225000000000001</c:v>
                </c:pt>
                <c:pt idx="5">
                  <c:v>25.262500000000003</c:v>
                </c:pt>
                <c:pt idx="6">
                  <c:v>30.062500000000004</c:v>
                </c:pt>
              </c:numCache>
            </c:numRef>
          </c:xVal>
          <c:yVal>
            <c:numRef>
              <c:f>Arkusz1!$O$15:$O$21</c:f>
              <c:numCache>
                <c:formatCode>General</c:formatCode>
                <c:ptCount val="7"/>
                <c:pt idx="0">
                  <c:v>1.6079999999999999</c:v>
                </c:pt>
                <c:pt idx="1">
                  <c:v>1.512</c:v>
                </c:pt>
                <c:pt idx="2">
                  <c:v>1.4500000000000002</c:v>
                </c:pt>
                <c:pt idx="3">
                  <c:v>1.4019999999999999</c:v>
                </c:pt>
                <c:pt idx="4">
                  <c:v>1.3640000000000001</c:v>
                </c:pt>
                <c:pt idx="5">
                  <c:v>1.3340000000000001</c:v>
                </c:pt>
                <c:pt idx="6">
                  <c:v>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79B-44D6-B1CA-DD02ECD25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680111"/>
        <c:axId val="654674703"/>
      </c:scatterChart>
      <c:valAx>
        <c:axId val="65468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4674703"/>
        <c:crosses val="autoZero"/>
        <c:crossBetween val="midCat"/>
      </c:valAx>
      <c:valAx>
        <c:axId val="65467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4680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l-PL"/>
              <a:t>wykres zależności mocy dawki od odległości źródło - dozymetr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5511552915706881"/>
                  <c:y val="-0.4301048840852539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4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16,031x</a:t>
                    </a:r>
                    <a:r>
                      <a:rPr lang="en-US" sz="1400" baseline="30000"/>
                      <a:t>-1,35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0.2"/>
            <c:spPr>
              <a:noFill/>
              <a:ln w="9525" cap="flat" cmpd="sng" algn="ctr">
                <a:solidFill>
                  <a:schemeClr val="dk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Arkusz1!$AB$2:$AB$18</c:f>
                <c:numCache>
                  <c:formatCode>General</c:formatCode>
                  <c:ptCount val="17"/>
                  <c:pt idx="0">
                    <c:v>0.52</c:v>
                  </c:pt>
                  <c:pt idx="1">
                    <c:v>0.38</c:v>
                  </c:pt>
                  <c:pt idx="2">
                    <c:v>0.14000000000000001</c:v>
                  </c:pt>
                  <c:pt idx="3">
                    <c:v>0.21</c:v>
                  </c:pt>
                  <c:pt idx="4">
                    <c:v>0.16</c:v>
                  </c:pt>
                  <c:pt idx="5">
                    <c:v>0.27</c:v>
                  </c:pt>
                  <c:pt idx="6">
                    <c:v>0.05</c:v>
                  </c:pt>
                  <c:pt idx="7">
                    <c:v>0.24</c:v>
                  </c:pt>
                  <c:pt idx="8">
                    <c:v>0.08</c:v>
                  </c:pt>
                  <c:pt idx="9">
                    <c:v>7.0000000000000007E-2</c:v>
                  </c:pt>
                  <c:pt idx="10">
                    <c:v>0.06</c:v>
                  </c:pt>
                  <c:pt idx="11">
                    <c:v>0.08</c:v>
                  </c:pt>
                  <c:pt idx="12">
                    <c:v>0.08</c:v>
                  </c:pt>
                  <c:pt idx="13">
                    <c:v>0.04</c:v>
                  </c:pt>
                  <c:pt idx="14">
                    <c:v>0.04</c:v>
                  </c:pt>
                  <c:pt idx="15">
                    <c:v>7.0000000000000007E-2</c:v>
                  </c:pt>
                  <c:pt idx="16">
                    <c:v>0.04</c:v>
                  </c:pt>
                </c:numCache>
              </c:numRef>
            </c:plus>
            <c:minus>
              <c:numRef>
                <c:f>Arkusz1!$AB$2:$AB$18</c:f>
                <c:numCache>
                  <c:formatCode>General</c:formatCode>
                  <c:ptCount val="17"/>
                  <c:pt idx="0">
                    <c:v>0.52</c:v>
                  </c:pt>
                  <c:pt idx="1">
                    <c:v>0.38</c:v>
                  </c:pt>
                  <c:pt idx="2">
                    <c:v>0.14000000000000001</c:v>
                  </c:pt>
                  <c:pt idx="3">
                    <c:v>0.21</c:v>
                  </c:pt>
                  <c:pt idx="4">
                    <c:v>0.16</c:v>
                  </c:pt>
                  <c:pt idx="5">
                    <c:v>0.27</c:v>
                  </c:pt>
                  <c:pt idx="6">
                    <c:v>0.05</c:v>
                  </c:pt>
                  <c:pt idx="7">
                    <c:v>0.24</c:v>
                  </c:pt>
                  <c:pt idx="8">
                    <c:v>0.08</c:v>
                  </c:pt>
                  <c:pt idx="9">
                    <c:v>7.0000000000000007E-2</c:v>
                  </c:pt>
                  <c:pt idx="10">
                    <c:v>0.06</c:v>
                  </c:pt>
                  <c:pt idx="11">
                    <c:v>0.08</c:v>
                  </c:pt>
                  <c:pt idx="12">
                    <c:v>0.08</c:v>
                  </c:pt>
                  <c:pt idx="13">
                    <c:v>0.04</c:v>
                  </c:pt>
                  <c:pt idx="14">
                    <c:v>0.04</c:v>
                  </c:pt>
                  <c:pt idx="15">
                    <c:v>7.0000000000000007E-2</c:v>
                  </c:pt>
                  <c:pt idx="16">
                    <c:v>0.04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dk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xVal>
            <c:numRef>
              <c:f>Arkusz1!$X$2:$X$18</c:f>
              <c:numCache>
                <c:formatCode>General</c:formatCode>
                <c:ptCount val="17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15</c:v>
                </c:pt>
              </c:numCache>
            </c:numRef>
          </c:xVal>
          <c:yVal>
            <c:numRef>
              <c:f>Arkusz1!$AA$2:$AA$18</c:f>
              <c:numCache>
                <c:formatCode>General</c:formatCode>
                <c:ptCount val="17"/>
                <c:pt idx="0">
                  <c:v>11.71</c:v>
                </c:pt>
                <c:pt idx="1">
                  <c:v>8.11</c:v>
                </c:pt>
                <c:pt idx="2">
                  <c:v>6.71</c:v>
                </c:pt>
                <c:pt idx="3">
                  <c:v>5.04</c:v>
                </c:pt>
                <c:pt idx="4">
                  <c:v>3.99</c:v>
                </c:pt>
                <c:pt idx="5">
                  <c:v>3.65</c:v>
                </c:pt>
                <c:pt idx="6">
                  <c:v>2.76</c:v>
                </c:pt>
                <c:pt idx="7">
                  <c:v>2.06</c:v>
                </c:pt>
                <c:pt idx="8">
                  <c:v>1.44</c:v>
                </c:pt>
                <c:pt idx="9">
                  <c:v>1.33</c:v>
                </c:pt>
                <c:pt idx="10">
                  <c:v>1.1299999999999999</c:v>
                </c:pt>
                <c:pt idx="11">
                  <c:v>0.85</c:v>
                </c:pt>
                <c:pt idx="12">
                  <c:v>0.68</c:v>
                </c:pt>
                <c:pt idx="13">
                  <c:v>0.57999999999999996</c:v>
                </c:pt>
                <c:pt idx="14">
                  <c:v>0.49</c:v>
                </c:pt>
                <c:pt idx="15">
                  <c:v>0.52</c:v>
                </c:pt>
                <c:pt idx="16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8B-4A8B-9513-F23AE8B53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385551"/>
        <c:axId val="44438430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WYKRES</c:v>
                </c:tx>
                <c:spPr>
                  <a:ln w="9525" cap="rnd">
                    <a:solidFill>
                      <a:schemeClr val="accent2">
                        <a:alpha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Arkusz1!$X$2:$X$18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</c:v>
                      </c:pt>
                      <c:pt idx="1">
                        <c:v>1.5</c:v>
                      </c:pt>
                      <c:pt idx="2">
                        <c:v>2</c:v>
                      </c:pt>
                      <c:pt idx="3">
                        <c:v>2.5</c:v>
                      </c:pt>
                      <c:pt idx="4">
                        <c:v>3</c:v>
                      </c:pt>
                      <c:pt idx="5">
                        <c:v>3.5</c:v>
                      </c:pt>
                      <c:pt idx="6">
                        <c:v>4</c:v>
                      </c:pt>
                      <c:pt idx="7">
                        <c:v>5</c:v>
                      </c:pt>
                      <c:pt idx="8">
                        <c:v>6</c:v>
                      </c:pt>
                      <c:pt idx="9">
                        <c:v>7</c:v>
                      </c:pt>
                      <c:pt idx="10">
                        <c:v>8</c:v>
                      </c:pt>
                      <c:pt idx="11">
                        <c:v>9</c:v>
                      </c:pt>
                      <c:pt idx="12">
                        <c:v>10</c:v>
                      </c:pt>
                      <c:pt idx="13">
                        <c:v>11</c:v>
                      </c:pt>
                      <c:pt idx="14">
                        <c:v>12</c:v>
                      </c:pt>
                      <c:pt idx="15">
                        <c:v>13</c:v>
                      </c:pt>
                      <c:pt idx="16">
                        <c:v>15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Arkusz1!$AC$2:$AC$18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13</c:v>
                      </c:pt>
                      <c:pt idx="1">
                        <c:v>5.7777777777777777</c:v>
                      </c:pt>
                      <c:pt idx="2">
                        <c:v>3.25</c:v>
                      </c:pt>
                      <c:pt idx="3">
                        <c:v>2.08</c:v>
                      </c:pt>
                      <c:pt idx="4">
                        <c:v>1.4444444444444444</c:v>
                      </c:pt>
                      <c:pt idx="5">
                        <c:v>1.0612244897959184</c:v>
                      </c:pt>
                      <c:pt idx="6">
                        <c:v>0.8125</c:v>
                      </c:pt>
                      <c:pt idx="7">
                        <c:v>0.52</c:v>
                      </c:pt>
                      <c:pt idx="8">
                        <c:v>0.3611111111111111</c:v>
                      </c:pt>
                      <c:pt idx="9">
                        <c:v>0.26530612244897961</c:v>
                      </c:pt>
                      <c:pt idx="10">
                        <c:v>0.203125</c:v>
                      </c:pt>
                      <c:pt idx="11">
                        <c:v>0.16049382716049382</c:v>
                      </c:pt>
                      <c:pt idx="12">
                        <c:v>0.13</c:v>
                      </c:pt>
                      <c:pt idx="13">
                        <c:v>0.10743801652892562</c:v>
                      </c:pt>
                      <c:pt idx="14">
                        <c:v>9.0277777777777776E-2</c:v>
                      </c:pt>
                      <c:pt idx="15">
                        <c:v>7.6923076923076927E-2</c:v>
                      </c:pt>
                      <c:pt idx="16">
                        <c:v>5.7777777777777775E-2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288B-4A8B-9513-F23AE8B53E63}"/>
                  </c:ext>
                </c:extLst>
              </c15:ser>
            </c15:filteredScatterSeries>
          </c:ext>
        </c:extLst>
      </c:scatterChart>
      <c:valAx>
        <c:axId val="444385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Odległość</a:t>
                </a:r>
                <a:r>
                  <a:rPr lang="pl-PL" baseline="0"/>
                  <a:t> [cm]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4384303"/>
        <c:crosses val="autoZero"/>
        <c:crossBetween val="midCat"/>
      </c:valAx>
      <c:valAx>
        <c:axId val="44438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Moc</a:t>
                </a:r>
                <a:r>
                  <a:rPr lang="pl-PL" baseline="0"/>
                  <a:t> dawki [</a:t>
                </a:r>
                <a:r>
                  <a:rPr lang="el-GR" baseline="0"/>
                  <a:t>μ</a:t>
                </a:r>
                <a:r>
                  <a:rPr lang="pl-PL" baseline="0"/>
                  <a:t>Sv/h]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438555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200"/>
              <a:t>Osłabienie dawki skutecznej </a:t>
            </a:r>
            <a:r>
              <a:rPr lang="pl-PL" sz="1200" baseline="0"/>
              <a:t>źródła od grubości absorbenta  </a:t>
            </a:r>
            <a:endParaRPr lang="pl-PL" sz="1200"/>
          </a:p>
        </c:rich>
      </c:tx>
      <c:layout>
        <c:manualLayout>
          <c:xMode val="edge"/>
          <c:yMode val="edge"/>
          <c:x val="0.22657774539699141"/>
          <c:y val="3.20366132723112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+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Arkusz1!$N$32:$N$39</c:f>
              <c:numCache>
                <c:formatCode>General</c:formatCode>
                <c:ptCount val="8"/>
                <c:pt idx="0">
                  <c:v>0</c:v>
                </c:pt>
                <c:pt idx="1">
                  <c:v>4.13</c:v>
                </c:pt>
                <c:pt idx="2">
                  <c:v>8.18</c:v>
                </c:pt>
                <c:pt idx="3">
                  <c:v>12.18</c:v>
                </c:pt>
                <c:pt idx="4">
                  <c:v>17.18</c:v>
                </c:pt>
                <c:pt idx="5">
                  <c:v>21.23</c:v>
                </c:pt>
                <c:pt idx="6">
                  <c:v>25.27</c:v>
                </c:pt>
                <c:pt idx="7">
                  <c:v>30.7</c:v>
                </c:pt>
              </c:numCache>
            </c:numRef>
          </c:xVal>
          <c:yVal>
            <c:numRef>
              <c:f>Arkusz1!$O$32:$O$39</c:f>
              <c:numCache>
                <c:formatCode>0.000</c:formatCode>
                <c:ptCount val="8"/>
                <c:pt idx="0">
                  <c:v>0.36464311358790924</c:v>
                </c:pt>
                <c:pt idx="1">
                  <c:v>0.40078751855705325</c:v>
                </c:pt>
                <c:pt idx="2">
                  <c:v>0.33432708027482477</c:v>
                </c:pt>
                <c:pt idx="3">
                  <c:v>0.288931291852213</c:v>
                </c:pt>
                <c:pt idx="4">
                  <c:v>0.25231392861398955</c:v>
                </c:pt>
                <c:pt idx="5">
                  <c:v>0.22234323114344071</c:v>
                </c:pt>
                <c:pt idx="6">
                  <c:v>0.19803085049913455</c:v>
                </c:pt>
                <c:pt idx="7">
                  <c:v>0.16974277458709455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DB-4A73-B98C-43F8EE48F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9406176"/>
        <c:axId val="2010049344"/>
      </c:scatterChart>
      <c:valAx>
        <c:axId val="200940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Grubość absorbenta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10049344"/>
        <c:crosses val="autoZero"/>
        <c:crossBetween val="midCat"/>
      </c:valAx>
      <c:valAx>
        <c:axId val="201004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logarytm</a:t>
                </a:r>
                <a:r>
                  <a:rPr lang="pl-PL" baseline="0"/>
                  <a:t> naturalny z dawki skutecznej próbki zredukowanej o tł0 </a:t>
                </a:r>
                <a:r>
                  <a:rPr lang="pl-PL" sz="1000" b="0" i="0" u="none" strike="noStrike" baseline="0">
                    <a:effectLst/>
                  </a:rPr>
                  <a:t>[μSv/h]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1.6732024766031618E-2"/>
              <c:y val="0.106086956521739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09406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324757</xdr:colOff>
      <xdr:row>22</xdr:row>
      <xdr:rowOff>11791</xdr:rowOff>
    </xdr:from>
    <xdr:to>
      <xdr:col>7</xdr:col>
      <xdr:colOff>89807</xdr:colOff>
      <xdr:row>36</xdr:row>
      <xdr:rowOff>103866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4F89CF95-0430-4FAF-87BB-4BD2B4E940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46</xdr:col>
      <xdr:colOff>217714</xdr:colOff>
      <xdr:row>1</xdr:row>
      <xdr:rowOff>196621</xdr:rowOff>
    </xdr:from>
    <xdr:to>
      <xdr:col>56</xdr:col>
      <xdr:colOff>387804</xdr:colOff>
      <xdr:row>21</xdr:row>
      <xdr:rowOff>54427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34B67AF3-03FD-42F7-BE8C-CC6980F7CB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1047748</xdr:colOff>
      <xdr:row>5</xdr:row>
      <xdr:rowOff>80961</xdr:rowOff>
    </xdr:from>
    <xdr:to>
      <xdr:col>15</xdr:col>
      <xdr:colOff>214311</xdr:colOff>
      <xdr:row>19</xdr:row>
      <xdr:rowOff>22223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4C3D40A6-D90C-4576-ACA3-4A4762BEC4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9"/>
  <sheetViews>
    <sheetView tabSelected="1" topLeftCell="F1" zoomScale="160" zoomScaleNormal="160" workbookViewId="0">
      <selection activeCell="Q11" sqref="Q11"/>
    </sheetView>
  </sheetViews>
  <sheetFormatPr defaultRowHeight="15" x14ac:dyDescent="0.25"/>
  <cols>
    <col min="1" max="1" width="23" bestFit="1" customWidth="1"/>
    <col min="2" max="2" width="26.42578125" bestFit="1" customWidth="1"/>
    <col min="9" max="9" width="18.85546875" bestFit="1" customWidth="1"/>
    <col min="15" max="15" width="16.42578125" bestFit="1" customWidth="1"/>
    <col min="17" max="17" width="11.7109375" bestFit="1" customWidth="1"/>
    <col min="18" max="18" width="13.7109375" bestFit="1" customWidth="1"/>
    <col min="19" max="19" width="12.42578125" bestFit="1" customWidth="1"/>
    <col min="20" max="20" width="11.28515625" bestFit="1" customWidth="1"/>
    <col min="41" max="41" width="9.7109375" bestFit="1" customWidth="1"/>
  </cols>
  <sheetData>
    <row r="1" spans="1:43" ht="15.75" thickBot="1" x14ac:dyDescent="0.3">
      <c r="A1" t="s">
        <v>0</v>
      </c>
      <c r="B1">
        <v>0.11</v>
      </c>
      <c r="C1">
        <v>0.13</v>
      </c>
      <c r="D1">
        <v>0.13</v>
      </c>
      <c r="E1">
        <v>0.08</v>
      </c>
      <c r="F1">
        <v>0.1</v>
      </c>
      <c r="G1">
        <v>0.09</v>
      </c>
      <c r="H1">
        <v>0.1</v>
      </c>
      <c r="I1">
        <v>0.16</v>
      </c>
      <c r="J1">
        <v>0.1</v>
      </c>
      <c r="K1">
        <v>0.15</v>
      </c>
      <c r="L1" t="s">
        <v>1</v>
      </c>
      <c r="M1">
        <f>AVERAGE(B1:K1)</f>
        <v>0.11499999999999999</v>
      </c>
      <c r="O1" t="s">
        <v>22</v>
      </c>
      <c r="P1">
        <f>_xlfn.STDEV.S(B1:K1)/SQRT(10)</f>
        <v>8.3333333333333367E-3</v>
      </c>
      <c r="W1" t="s">
        <v>25</v>
      </c>
      <c r="X1" t="s">
        <v>26</v>
      </c>
      <c r="Y1" t="s">
        <v>27</v>
      </c>
      <c r="Z1" t="s">
        <v>28</v>
      </c>
      <c r="AA1" s="31" t="s">
        <v>29</v>
      </c>
      <c r="AB1" t="s">
        <v>30</v>
      </c>
      <c r="AC1" s="34" t="s">
        <v>33</v>
      </c>
      <c r="AG1" t="s">
        <v>31</v>
      </c>
      <c r="AH1" t="s">
        <v>32</v>
      </c>
    </row>
    <row r="2" spans="1:43" ht="15.75" thickBot="1" x14ac:dyDescent="0.3">
      <c r="H2">
        <v>0</v>
      </c>
      <c r="R2" t="s">
        <v>20</v>
      </c>
      <c r="S2" t="s">
        <v>21</v>
      </c>
      <c r="T2" t="s">
        <v>23</v>
      </c>
      <c r="W2" s="24">
        <v>0</v>
      </c>
      <c r="X2" s="25">
        <v>1</v>
      </c>
      <c r="Y2" s="26">
        <v>11.83</v>
      </c>
      <c r="Z2" s="26">
        <v>0.51</v>
      </c>
      <c r="AA2" s="32">
        <v>11.71</v>
      </c>
      <c r="AB2" s="26">
        <v>0.52</v>
      </c>
      <c r="AC2" s="34">
        <f t="shared" ref="AC2:AC18" si="0">$AH$2/(X2)^2</f>
        <v>13</v>
      </c>
      <c r="AD2">
        <f>(AA2-AC2)^2</f>
        <v>1.6640999999999977</v>
      </c>
      <c r="AG2" s="30">
        <v>0.2</v>
      </c>
      <c r="AH2">
        <v>13</v>
      </c>
    </row>
    <row r="3" spans="1:43" ht="15.75" thickBot="1" x14ac:dyDescent="0.3">
      <c r="A3" s="1" t="s">
        <v>14</v>
      </c>
      <c r="B3" s="1"/>
      <c r="I3" t="s">
        <v>4</v>
      </c>
      <c r="W3" s="27">
        <v>0.5</v>
      </c>
      <c r="X3" s="28">
        <v>1.5</v>
      </c>
      <c r="Y3" s="29">
        <v>8.2200000000000006</v>
      </c>
      <c r="Z3" s="29">
        <v>0.38</v>
      </c>
      <c r="AA3" s="33">
        <v>8.11</v>
      </c>
      <c r="AB3" s="29">
        <v>0.38</v>
      </c>
      <c r="AC3" s="34">
        <f t="shared" si="0"/>
        <v>5.7777777777777777</v>
      </c>
      <c r="AD3">
        <f t="shared" ref="AD3:AD18" si="1">(AA3-AC3)^2</f>
        <v>5.4392604938271587</v>
      </c>
      <c r="AJ3" s="12">
        <v>1</v>
      </c>
      <c r="AK3" s="12">
        <v>2</v>
      </c>
      <c r="AL3" s="12">
        <v>3</v>
      </c>
      <c r="AM3" s="12">
        <v>4</v>
      </c>
      <c r="AN3" s="13">
        <v>5</v>
      </c>
    </row>
    <row r="4" spans="1:43" ht="15.75" thickBot="1" x14ac:dyDescent="0.3">
      <c r="A4" s="11" t="s">
        <v>2</v>
      </c>
      <c r="B4" s="17" t="s">
        <v>3</v>
      </c>
      <c r="C4" s="12">
        <v>1</v>
      </c>
      <c r="D4" s="12">
        <v>2</v>
      </c>
      <c r="E4" s="12">
        <v>3</v>
      </c>
      <c r="F4" s="12">
        <v>4</v>
      </c>
      <c r="G4" s="13">
        <v>5</v>
      </c>
      <c r="H4" t="s">
        <v>1</v>
      </c>
      <c r="I4" s="20" t="s">
        <v>15</v>
      </c>
      <c r="J4" s="4">
        <v>1</v>
      </c>
      <c r="K4" s="4">
        <v>2</v>
      </c>
      <c r="L4" s="4">
        <v>3</v>
      </c>
      <c r="M4" s="4">
        <v>4</v>
      </c>
      <c r="N4" s="5" t="s">
        <v>16</v>
      </c>
      <c r="P4" t="s">
        <v>24</v>
      </c>
      <c r="W4" s="27">
        <v>1</v>
      </c>
      <c r="X4" s="28">
        <v>2</v>
      </c>
      <c r="Y4" s="29">
        <v>6.82</v>
      </c>
      <c r="Z4" s="29">
        <v>0.13</v>
      </c>
      <c r="AA4" s="33">
        <v>6.71</v>
      </c>
      <c r="AB4" s="29">
        <v>0.14000000000000001</v>
      </c>
      <c r="AC4" s="34">
        <f t="shared" si="0"/>
        <v>3.25</v>
      </c>
      <c r="AD4">
        <f t="shared" si="1"/>
        <v>11.9716</v>
      </c>
      <c r="AI4" s="32">
        <v>11.71</v>
      </c>
      <c r="AJ4" s="2">
        <v>11.73</v>
      </c>
      <c r="AK4" s="2">
        <v>11.38</v>
      </c>
      <c r="AL4" s="19">
        <v>13.65</v>
      </c>
      <c r="AM4" s="19">
        <v>11.81</v>
      </c>
      <c r="AN4" s="7">
        <v>10.56</v>
      </c>
    </row>
    <row r="5" spans="1:43" ht="15.75" thickBot="1" x14ac:dyDescent="0.3">
      <c r="A5" s="14">
        <v>0</v>
      </c>
      <c r="B5" s="3"/>
      <c r="C5" s="2">
        <v>11.73</v>
      </c>
      <c r="D5" s="2">
        <v>11.38</v>
      </c>
      <c r="E5" s="19">
        <v>13.65</v>
      </c>
      <c r="F5" s="19">
        <v>11.81</v>
      </c>
      <c r="G5" s="7">
        <v>10.56</v>
      </c>
      <c r="H5" s="23">
        <f>AVERAGE(C5:G5)</f>
        <v>11.826000000000001</v>
      </c>
      <c r="I5" s="6" t="s">
        <v>5</v>
      </c>
      <c r="J5" s="3">
        <v>4.4000000000000004</v>
      </c>
      <c r="K5" s="3">
        <v>4.05</v>
      </c>
      <c r="L5" s="3">
        <v>4</v>
      </c>
      <c r="M5" s="3">
        <v>4.05</v>
      </c>
      <c r="N5" s="21">
        <f>AVERAGE(J5:M5)</f>
        <v>4.125</v>
      </c>
      <c r="P5">
        <v>5</v>
      </c>
      <c r="R5" s="35">
        <f>_xlfn.STDEV.S(C5:G5)/SQRT($P$5)</f>
        <v>0.50685895473987619</v>
      </c>
      <c r="S5" s="23">
        <f>H5-$M$1</f>
        <v>11.711</v>
      </c>
      <c r="T5" s="35">
        <f>R5+$P$1</f>
        <v>0.51519228807320949</v>
      </c>
      <c r="W5" s="27">
        <v>1.5</v>
      </c>
      <c r="X5" s="28">
        <v>2.5</v>
      </c>
      <c r="Y5" s="29">
        <v>5.15</v>
      </c>
      <c r="Z5" s="29">
        <v>0.2</v>
      </c>
      <c r="AA5" s="33">
        <v>5.04</v>
      </c>
      <c r="AB5" s="29">
        <v>0.21</v>
      </c>
      <c r="AC5" s="34">
        <f t="shared" si="0"/>
        <v>2.08</v>
      </c>
      <c r="AD5">
        <f t="shared" si="1"/>
        <v>8.7615999999999996</v>
      </c>
      <c r="AI5" s="33">
        <v>8.11</v>
      </c>
      <c r="AJ5" s="19">
        <v>8.07</v>
      </c>
      <c r="AK5" s="19">
        <v>9.3000000000000007</v>
      </c>
      <c r="AL5" s="19">
        <v>8.4600000000000009</v>
      </c>
      <c r="AM5" s="19">
        <v>8.32</v>
      </c>
      <c r="AN5" s="7">
        <v>6.97</v>
      </c>
    </row>
    <row r="6" spans="1:43" ht="15.75" thickBot="1" x14ac:dyDescent="0.3">
      <c r="A6" s="15">
        <v>0.5</v>
      </c>
      <c r="B6" s="3"/>
      <c r="C6" s="19">
        <v>8.07</v>
      </c>
      <c r="D6" s="19">
        <v>9.3000000000000007</v>
      </c>
      <c r="E6" s="19">
        <v>8.4600000000000009</v>
      </c>
      <c r="F6" s="19">
        <v>8.32</v>
      </c>
      <c r="G6" s="7">
        <v>6.97</v>
      </c>
      <c r="H6" s="23">
        <f t="shared" ref="H6:H21" si="2">AVERAGE(C6:G6)</f>
        <v>8.2240000000000002</v>
      </c>
      <c r="I6" s="6" t="s">
        <v>6</v>
      </c>
      <c r="J6" s="3">
        <v>4.05</v>
      </c>
      <c r="K6" s="3">
        <v>4.05</v>
      </c>
      <c r="L6" s="3">
        <v>4.05</v>
      </c>
      <c r="M6" s="3">
        <v>4.05</v>
      </c>
      <c r="N6" s="21">
        <f t="shared" ref="N6:N11" si="3">AVERAGE(J6:M6)</f>
        <v>4.05</v>
      </c>
      <c r="R6" s="35">
        <f t="shared" ref="R6:R20" si="4">_xlfn.STDEV.S(C6:G6)/SQRT($P$5)</f>
        <v>0.37542775603303513</v>
      </c>
      <c r="S6" s="23">
        <f t="shared" ref="S6:S21" si="5">H6-$M$1</f>
        <v>8.109</v>
      </c>
      <c r="T6" s="35">
        <f t="shared" ref="T6:T21" si="6">R6+$P$1</f>
        <v>0.38376108936636849</v>
      </c>
      <c r="W6" s="27">
        <v>2</v>
      </c>
      <c r="X6" s="28">
        <v>3</v>
      </c>
      <c r="Y6" s="29">
        <v>4.0999999999999996</v>
      </c>
      <c r="Z6" s="29">
        <v>0.16</v>
      </c>
      <c r="AA6" s="33">
        <v>3.99</v>
      </c>
      <c r="AB6" s="29">
        <v>0.16</v>
      </c>
      <c r="AC6" s="34">
        <f t="shared" si="0"/>
        <v>1.4444444444444444</v>
      </c>
      <c r="AD6">
        <f t="shared" si="1"/>
        <v>6.4798530864197534</v>
      </c>
      <c r="AI6" s="33">
        <v>6.71</v>
      </c>
      <c r="AJ6" s="19">
        <v>6.62</v>
      </c>
      <c r="AK6" s="19">
        <v>6.86</v>
      </c>
      <c r="AL6" s="19">
        <v>6.68</v>
      </c>
      <c r="AM6" s="19">
        <v>6.62</v>
      </c>
      <c r="AN6" s="7">
        <v>7.33</v>
      </c>
    </row>
    <row r="7" spans="1:43" ht="15.75" thickBot="1" x14ac:dyDescent="0.3">
      <c r="A7" s="15">
        <v>1</v>
      </c>
      <c r="B7" s="3"/>
      <c r="C7" s="19">
        <v>6.62</v>
      </c>
      <c r="D7" s="19">
        <v>6.86</v>
      </c>
      <c r="E7" s="19">
        <v>6.68</v>
      </c>
      <c r="F7" s="19">
        <v>6.62</v>
      </c>
      <c r="G7" s="7">
        <v>7.33</v>
      </c>
      <c r="H7" s="23">
        <f t="shared" si="2"/>
        <v>6.8220000000000001</v>
      </c>
      <c r="I7" s="6" t="s">
        <v>7</v>
      </c>
      <c r="J7" s="3">
        <v>4</v>
      </c>
      <c r="K7" s="3">
        <v>4</v>
      </c>
      <c r="L7" s="3">
        <v>4</v>
      </c>
      <c r="M7" s="3">
        <v>4</v>
      </c>
      <c r="N7" s="21">
        <f t="shared" si="3"/>
        <v>4</v>
      </c>
      <c r="R7" s="35">
        <f t="shared" si="4"/>
        <v>0.13440238093129156</v>
      </c>
      <c r="S7" s="23">
        <f t="shared" si="5"/>
        <v>6.7069999999999999</v>
      </c>
      <c r="T7" s="35">
        <f t="shared" si="6"/>
        <v>0.14273571426462489</v>
      </c>
      <c r="W7" s="27">
        <v>2.5</v>
      </c>
      <c r="X7" s="28">
        <v>3.5</v>
      </c>
      <c r="Y7" s="29">
        <v>3.76</v>
      </c>
      <c r="Z7" s="29">
        <v>0.26</v>
      </c>
      <c r="AA7" s="33">
        <v>3.65</v>
      </c>
      <c r="AB7" s="29">
        <v>0.27</v>
      </c>
      <c r="AC7" s="34">
        <f t="shared" si="0"/>
        <v>1.0612244897959184</v>
      </c>
      <c r="AD7">
        <f t="shared" si="1"/>
        <v>6.7017586422324031</v>
      </c>
      <c r="AI7" s="33">
        <v>5.04</v>
      </c>
      <c r="AJ7" s="19">
        <v>4.91</v>
      </c>
      <c r="AK7" s="19">
        <v>5.82</v>
      </c>
      <c r="AL7" s="19">
        <v>5.33</v>
      </c>
      <c r="AM7" s="19">
        <v>4.67</v>
      </c>
      <c r="AN7" s="7">
        <v>5.0199999999999996</v>
      </c>
      <c r="AQ7" t="e" cm="1">
        <f t="array" ref="AQ7">Reg</f>
        <v>#NAME?</v>
      </c>
    </row>
    <row r="8" spans="1:43" ht="15.75" thickBot="1" x14ac:dyDescent="0.3">
      <c r="A8" s="15">
        <v>1.5</v>
      </c>
      <c r="B8" s="3"/>
      <c r="C8" s="19">
        <v>4.91</v>
      </c>
      <c r="D8" s="19">
        <v>5.82</v>
      </c>
      <c r="E8" s="19">
        <v>5.33</v>
      </c>
      <c r="F8" s="19">
        <v>4.67</v>
      </c>
      <c r="G8" s="7">
        <v>5.0199999999999996</v>
      </c>
      <c r="H8" s="23">
        <f t="shared" si="2"/>
        <v>5.15</v>
      </c>
      <c r="I8" s="6" t="s">
        <v>8</v>
      </c>
      <c r="J8" s="3">
        <v>5</v>
      </c>
      <c r="K8" s="3">
        <v>5</v>
      </c>
      <c r="L8" s="3">
        <v>5</v>
      </c>
      <c r="M8" s="3">
        <v>5</v>
      </c>
      <c r="N8" s="21">
        <f t="shared" si="3"/>
        <v>5</v>
      </c>
      <c r="R8" s="35">
        <f t="shared" si="4"/>
        <v>0.19826749607537797</v>
      </c>
      <c r="S8" s="23">
        <f t="shared" si="5"/>
        <v>5.0350000000000001</v>
      </c>
      <c r="T8" s="35">
        <f t="shared" si="6"/>
        <v>0.2066008294087113</v>
      </c>
      <c r="W8" s="27">
        <v>3</v>
      </c>
      <c r="X8" s="28">
        <v>4</v>
      </c>
      <c r="Y8" s="29">
        <v>2.87</v>
      </c>
      <c r="Z8" s="29">
        <v>0.04</v>
      </c>
      <c r="AA8" s="33">
        <v>2.76</v>
      </c>
      <c r="AB8" s="29">
        <v>0.05</v>
      </c>
      <c r="AC8" s="34">
        <f t="shared" si="0"/>
        <v>0.8125</v>
      </c>
      <c r="AD8">
        <f t="shared" si="1"/>
        <v>3.7927562499999992</v>
      </c>
      <c r="AI8" s="33">
        <v>3.99</v>
      </c>
      <c r="AJ8" s="19">
        <v>3.84</v>
      </c>
      <c r="AK8" s="19">
        <v>4.2300000000000004</v>
      </c>
      <c r="AL8" s="19">
        <v>4.6100000000000003</v>
      </c>
      <c r="AM8" s="19">
        <v>4.1100000000000003</v>
      </c>
      <c r="AN8" s="7">
        <v>3.73</v>
      </c>
    </row>
    <row r="9" spans="1:43" ht="15.75" thickBot="1" x14ac:dyDescent="0.3">
      <c r="A9" s="15">
        <v>2</v>
      </c>
      <c r="B9" s="3"/>
      <c r="C9" s="19">
        <v>3.84</v>
      </c>
      <c r="D9" s="19">
        <v>4.2300000000000004</v>
      </c>
      <c r="E9" s="19">
        <v>4.6100000000000003</v>
      </c>
      <c r="F9" s="19">
        <v>4.1100000000000003</v>
      </c>
      <c r="G9" s="7">
        <v>3.73</v>
      </c>
      <c r="H9" s="23">
        <f t="shared" si="2"/>
        <v>4.1040000000000001</v>
      </c>
      <c r="I9" s="6" t="s">
        <v>9</v>
      </c>
      <c r="J9" s="3">
        <v>4.05</v>
      </c>
      <c r="K9" s="3">
        <v>4.05</v>
      </c>
      <c r="L9" s="3">
        <v>4.05</v>
      </c>
      <c r="M9" s="3">
        <v>4.05</v>
      </c>
      <c r="N9" s="21">
        <f t="shared" si="3"/>
        <v>4.05</v>
      </c>
      <c r="R9" s="35">
        <f t="shared" si="4"/>
        <v>0.1551644289133306</v>
      </c>
      <c r="S9" s="23">
        <f t="shared" si="5"/>
        <v>3.9889999999999999</v>
      </c>
      <c r="T9" s="35">
        <f t="shared" si="6"/>
        <v>0.16349776224666393</v>
      </c>
      <c r="W9" s="27">
        <v>4</v>
      </c>
      <c r="X9" s="28">
        <v>5</v>
      </c>
      <c r="Y9" s="29">
        <v>2.17</v>
      </c>
      <c r="Z9" s="29">
        <v>0.23</v>
      </c>
      <c r="AA9" s="33">
        <v>2.06</v>
      </c>
      <c r="AB9" s="29">
        <v>0.24</v>
      </c>
      <c r="AC9" s="34">
        <f t="shared" si="0"/>
        <v>0.52</v>
      </c>
      <c r="AD9">
        <f t="shared" si="1"/>
        <v>2.3715999999999999</v>
      </c>
      <c r="AI9" s="33">
        <v>3.65</v>
      </c>
      <c r="AJ9" s="19">
        <v>3.47</v>
      </c>
      <c r="AK9" s="19">
        <v>3.58</v>
      </c>
      <c r="AL9" s="19">
        <v>3.08</v>
      </c>
      <c r="AM9" s="19">
        <v>4.55</v>
      </c>
      <c r="AN9" s="7">
        <v>4.1399999999999997</v>
      </c>
    </row>
    <row r="10" spans="1:43" ht="15.75" thickBot="1" x14ac:dyDescent="0.3">
      <c r="A10" s="15">
        <v>2.5</v>
      </c>
      <c r="B10" s="3"/>
      <c r="C10" s="19">
        <v>3.47</v>
      </c>
      <c r="D10" s="19">
        <v>3.58</v>
      </c>
      <c r="E10" s="19">
        <v>3.08</v>
      </c>
      <c r="F10" s="19">
        <v>4.55</v>
      </c>
      <c r="G10" s="7">
        <v>4.1399999999999997</v>
      </c>
      <c r="H10" s="23">
        <f t="shared" si="2"/>
        <v>3.7640000000000002</v>
      </c>
      <c r="I10" s="6" t="s">
        <v>10</v>
      </c>
      <c r="J10" s="3">
        <v>4.05</v>
      </c>
      <c r="K10" s="3">
        <v>4</v>
      </c>
      <c r="L10" s="3">
        <v>4.05</v>
      </c>
      <c r="M10" s="3">
        <v>4.05</v>
      </c>
      <c r="N10" s="21">
        <f t="shared" si="3"/>
        <v>4.0375000000000005</v>
      </c>
      <c r="R10" s="35">
        <f t="shared" si="4"/>
        <v>0.25954960990145953</v>
      </c>
      <c r="S10" s="23">
        <f t="shared" si="5"/>
        <v>3.649</v>
      </c>
      <c r="T10" s="35">
        <f t="shared" si="6"/>
        <v>0.26788294323479289</v>
      </c>
      <c r="W10" s="27">
        <v>5</v>
      </c>
      <c r="X10" s="28">
        <v>6</v>
      </c>
      <c r="Y10" s="29">
        <v>1.55</v>
      </c>
      <c r="Z10" s="29">
        <v>7.0000000000000007E-2</v>
      </c>
      <c r="AA10" s="33">
        <v>1.44</v>
      </c>
      <c r="AB10" s="29">
        <v>0.08</v>
      </c>
      <c r="AC10" s="34">
        <f t="shared" si="0"/>
        <v>0.3611111111111111</v>
      </c>
      <c r="AD10">
        <f t="shared" si="1"/>
        <v>1.1640012345679009</v>
      </c>
      <c r="AI10" s="33">
        <v>2.76</v>
      </c>
      <c r="AJ10" s="19">
        <v>2.97</v>
      </c>
      <c r="AK10" s="19">
        <v>2.75</v>
      </c>
      <c r="AL10" s="19">
        <v>2.92</v>
      </c>
      <c r="AM10" s="19">
        <v>2.82</v>
      </c>
      <c r="AN10" s="7">
        <v>2.91</v>
      </c>
    </row>
    <row r="11" spans="1:43" ht="15.75" thickBot="1" x14ac:dyDescent="0.3">
      <c r="A11" s="15">
        <v>3</v>
      </c>
      <c r="B11" s="3"/>
      <c r="C11" s="19">
        <v>2.97</v>
      </c>
      <c r="D11" s="19">
        <v>2.75</v>
      </c>
      <c r="E11" s="19">
        <v>2.92</v>
      </c>
      <c r="F11" s="19">
        <v>2.82</v>
      </c>
      <c r="G11" s="7">
        <v>2.91</v>
      </c>
      <c r="H11" s="23">
        <f t="shared" si="2"/>
        <v>2.8740000000000001</v>
      </c>
      <c r="I11" s="8" t="s">
        <v>11</v>
      </c>
      <c r="J11" s="18">
        <v>4.8</v>
      </c>
      <c r="K11" s="18">
        <v>4.8</v>
      </c>
      <c r="L11" s="18">
        <v>4.8</v>
      </c>
      <c r="M11" s="18">
        <v>4.8</v>
      </c>
      <c r="N11" s="21">
        <f t="shared" si="3"/>
        <v>4.8</v>
      </c>
      <c r="R11" s="35">
        <f t="shared" si="4"/>
        <v>3.9319206502675036E-2</v>
      </c>
      <c r="S11" s="23">
        <f t="shared" si="5"/>
        <v>2.7590000000000003</v>
      </c>
      <c r="T11" s="35">
        <f t="shared" si="6"/>
        <v>4.7652539836008374E-2</v>
      </c>
      <c r="W11" s="27">
        <v>6</v>
      </c>
      <c r="X11" s="28">
        <v>7</v>
      </c>
      <c r="Y11" s="29">
        <v>1.45</v>
      </c>
      <c r="Z11" s="29">
        <v>0.06</v>
      </c>
      <c r="AA11" s="33">
        <v>1.33</v>
      </c>
      <c r="AB11" s="29">
        <v>7.0000000000000007E-2</v>
      </c>
      <c r="AC11" s="34">
        <f t="shared" si="0"/>
        <v>0.26530612244897961</v>
      </c>
      <c r="AD11">
        <f t="shared" si="1"/>
        <v>1.1335730528946273</v>
      </c>
      <c r="AI11" s="33">
        <v>2.06</v>
      </c>
      <c r="AJ11" s="19">
        <v>1.67</v>
      </c>
      <c r="AK11" s="19">
        <v>2.5299999999999998</v>
      </c>
      <c r="AL11" s="19">
        <v>2.35</v>
      </c>
      <c r="AM11" s="19">
        <v>1.6</v>
      </c>
      <c r="AN11" s="7">
        <v>2.72</v>
      </c>
    </row>
    <row r="12" spans="1:43" ht="15.75" thickBot="1" x14ac:dyDescent="0.3">
      <c r="A12" s="15">
        <v>4</v>
      </c>
      <c r="B12" s="3"/>
      <c r="C12" s="19">
        <v>1.67</v>
      </c>
      <c r="D12" s="19">
        <v>2.5299999999999998</v>
      </c>
      <c r="E12" s="19">
        <v>2.35</v>
      </c>
      <c r="F12" s="19">
        <v>1.6</v>
      </c>
      <c r="G12" s="7">
        <v>2.72</v>
      </c>
      <c r="H12" s="23">
        <f t="shared" si="2"/>
        <v>2.1739999999999999</v>
      </c>
      <c r="R12" s="35">
        <f t="shared" si="4"/>
        <v>0.22796052289815522</v>
      </c>
      <c r="S12" s="23">
        <f t="shared" si="5"/>
        <v>2.0590000000000002</v>
      </c>
      <c r="T12" s="35">
        <f t="shared" si="6"/>
        <v>0.23629385623148855</v>
      </c>
      <c r="W12" s="27">
        <v>7</v>
      </c>
      <c r="X12" s="28">
        <v>8</v>
      </c>
      <c r="Y12" s="29">
        <v>1.25</v>
      </c>
      <c r="Z12" s="29">
        <v>0.06</v>
      </c>
      <c r="AA12" s="33">
        <v>1.1299999999999999</v>
      </c>
      <c r="AB12" s="29">
        <v>0.06</v>
      </c>
      <c r="AC12" s="34">
        <f t="shared" si="0"/>
        <v>0.203125</v>
      </c>
      <c r="AD12">
        <f t="shared" si="1"/>
        <v>0.85909726562499977</v>
      </c>
      <c r="AI12" s="33">
        <v>1.44</v>
      </c>
      <c r="AJ12" s="19">
        <v>1.37</v>
      </c>
      <c r="AK12" s="19">
        <v>1.79</v>
      </c>
      <c r="AL12" s="19">
        <v>1.54</v>
      </c>
      <c r="AM12" s="19">
        <v>1.47</v>
      </c>
      <c r="AN12" s="7">
        <v>1.6</v>
      </c>
    </row>
    <row r="13" spans="1:43" ht="15.75" thickBot="1" x14ac:dyDescent="0.3">
      <c r="A13" s="15" t="s">
        <v>13</v>
      </c>
      <c r="B13" s="3"/>
      <c r="C13" s="19">
        <v>1.37</v>
      </c>
      <c r="D13" s="19">
        <v>1.79</v>
      </c>
      <c r="E13" s="19">
        <v>1.54</v>
      </c>
      <c r="F13" s="19">
        <v>1.47</v>
      </c>
      <c r="G13" s="7">
        <v>1.6</v>
      </c>
      <c r="H13" s="23">
        <f t="shared" si="2"/>
        <v>1.5539999999999998</v>
      </c>
      <c r="I13" s="22"/>
      <c r="Q13" t="s">
        <v>35</v>
      </c>
      <c r="R13" s="35">
        <f>_xlfn.STDEV.S(C13:G13)/SQRT($P$5)</f>
        <v>7.0327803890068957E-2</v>
      </c>
      <c r="S13" s="23">
        <f t="shared" si="5"/>
        <v>1.4389999999999998</v>
      </c>
      <c r="T13" s="35">
        <f t="shared" si="6"/>
        <v>7.8661137223402289E-2</v>
      </c>
      <c r="W13" s="27">
        <v>8</v>
      </c>
      <c r="X13" s="28">
        <v>9</v>
      </c>
      <c r="Y13" s="29">
        <v>0.97</v>
      </c>
      <c r="Z13" s="29">
        <v>7.0000000000000007E-2</v>
      </c>
      <c r="AA13" s="33">
        <v>0.85</v>
      </c>
      <c r="AB13" s="29">
        <v>0.08</v>
      </c>
      <c r="AC13" s="34">
        <f t="shared" si="0"/>
        <v>0.16049382716049382</v>
      </c>
      <c r="AD13">
        <f t="shared" si="1"/>
        <v>0.475418762383783</v>
      </c>
      <c r="AI13" s="33">
        <v>1.33</v>
      </c>
      <c r="AJ13" s="19">
        <v>1.34</v>
      </c>
      <c r="AK13" s="19">
        <v>1.5</v>
      </c>
      <c r="AL13" s="19">
        <v>1.26</v>
      </c>
      <c r="AM13" s="19">
        <v>1.52</v>
      </c>
      <c r="AN13" s="7">
        <v>1.62</v>
      </c>
    </row>
    <row r="14" spans="1:43" ht="15.75" thickBot="1" x14ac:dyDescent="0.3">
      <c r="A14" s="15">
        <v>6</v>
      </c>
      <c r="B14" s="3"/>
      <c r="C14" s="19">
        <v>1.34</v>
      </c>
      <c r="D14" s="19">
        <v>1.5</v>
      </c>
      <c r="E14" s="19">
        <v>1.26</v>
      </c>
      <c r="F14" s="19">
        <v>1.52</v>
      </c>
      <c r="G14" s="7">
        <v>1.62</v>
      </c>
      <c r="H14" s="23">
        <f t="shared" si="2"/>
        <v>1.448</v>
      </c>
      <c r="I14" s="20" t="s">
        <v>15</v>
      </c>
      <c r="J14" s="4">
        <v>1</v>
      </c>
      <c r="K14" s="4">
        <v>2</v>
      </c>
      <c r="L14" s="4">
        <v>3</v>
      </c>
      <c r="M14" s="4">
        <v>4</v>
      </c>
      <c r="N14" s="5">
        <v>5</v>
      </c>
      <c r="O14" t="s">
        <v>18</v>
      </c>
      <c r="P14" t="s">
        <v>19</v>
      </c>
      <c r="R14" s="35">
        <f t="shared" si="4"/>
        <v>6.4992307237087682E-2</v>
      </c>
      <c r="S14" s="23">
        <f t="shared" si="5"/>
        <v>1.333</v>
      </c>
      <c r="T14" s="35">
        <f t="shared" si="6"/>
        <v>7.3325640570421013E-2</v>
      </c>
      <c r="W14" s="27">
        <v>9</v>
      </c>
      <c r="X14" s="28">
        <v>10</v>
      </c>
      <c r="Y14" s="29">
        <v>0.8</v>
      </c>
      <c r="Z14" s="29">
        <v>7.0000000000000007E-2</v>
      </c>
      <c r="AA14" s="33">
        <v>0.68</v>
      </c>
      <c r="AB14" s="29">
        <v>0.08</v>
      </c>
      <c r="AC14" s="34">
        <f t="shared" si="0"/>
        <v>0.13</v>
      </c>
      <c r="AD14">
        <f t="shared" si="1"/>
        <v>0.30250000000000005</v>
      </c>
      <c r="AI14" s="33">
        <v>1.1299999999999999</v>
      </c>
      <c r="AJ14" s="19">
        <v>1.3</v>
      </c>
      <c r="AK14" s="19">
        <v>1.19</v>
      </c>
      <c r="AL14" s="19">
        <v>1.28</v>
      </c>
      <c r="AM14" s="19">
        <v>1.4</v>
      </c>
      <c r="AN14" s="7">
        <v>1.07</v>
      </c>
    </row>
    <row r="15" spans="1:43" ht="15.75" thickBot="1" x14ac:dyDescent="0.3">
      <c r="A15" s="15">
        <v>7</v>
      </c>
      <c r="B15" s="3"/>
      <c r="C15" s="19">
        <v>1.3</v>
      </c>
      <c r="D15" s="19">
        <v>1.19</v>
      </c>
      <c r="E15" s="19">
        <v>1.28</v>
      </c>
      <c r="F15" s="19">
        <v>1.4</v>
      </c>
      <c r="G15" s="7">
        <v>1.07</v>
      </c>
      <c r="H15" s="23">
        <f t="shared" si="2"/>
        <v>1.248</v>
      </c>
      <c r="I15" s="6" t="s">
        <v>5</v>
      </c>
      <c r="J15" s="3">
        <v>1.83</v>
      </c>
      <c r="K15" s="3">
        <v>1.63</v>
      </c>
      <c r="L15" s="3">
        <v>1.47</v>
      </c>
      <c r="M15" s="3">
        <v>1.61</v>
      </c>
      <c r="N15" s="21">
        <v>1.5</v>
      </c>
      <c r="O15">
        <f>AVERAGE(J15:N15)</f>
        <v>1.6079999999999999</v>
      </c>
      <c r="P15">
        <f>N5</f>
        <v>4.125</v>
      </c>
      <c r="Q15" s="35">
        <f>_xlfn.STDEV.S(J15:N15)/SQRT(5)</f>
        <v>6.3435006108614841E-2</v>
      </c>
      <c r="R15" s="35">
        <f t="shared" si="4"/>
        <v>5.5623735940693503E-2</v>
      </c>
      <c r="S15" s="23">
        <f t="shared" si="5"/>
        <v>1.133</v>
      </c>
      <c r="T15" s="35">
        <f t="shared" si="6"/>
        <v>6.3957069274026834E-2</v>
      </c>
      <c r="W15" s="27">
        <v>10</v>
      </c>
      <c r="X15" s="28">
        <v>11</v>
      </c>
      <c r="Y15" s="29">
        <v>0.69</v>
      </c>
      <c r="Z15" s="29">
        <v>0.03</v>
      </c>
      <c r="AA15" s="33">
        <v>0.57999999999999996</v>
      </c>
      <c r="AB15" s="29">
        <v>0.04</v>
      </c>
      <c r="AC15" s="34">
        <f t="shared" si="0"/>
        <v>0.10743801652892562</v>
      </c>
      <c r="AD15">
        <f t="shared" si="1"/>
        <v>0.22331482822211596</v>
      </c>
      <c r="AI15" s="33">
        <v>0.85</v>
      </c>
      <c r="AJ15" s="19">
        <v>0.9</v>
      </c>
      <c r="AK15" s="19">
        <v>1.04</v>
      </c>
      <c r="AL15" s="19">
        <v>1.1499999999999999</v>
      </c>
      <c r="AM15" s="19">
        <v>1</v>
      </c>
      <c r="AN15" s="7">
        <v>0.75</v>
      </c>
    </row>
    <row r="16" spans="1:43" ht="15.75" thickBot="1" x14ac:dyDescent="0.3">
      <c r="A16" s="15">
        <v>8</v>
      </c>
      <c r="B16" s="3"/>
      <c r="C16" s="19">
        <v>0.9</v>
      </c>
      <c r="D16" s="19">
        <v>1.04</v>
      </c>
      <c r="E16" s="19">
        <v>1.1499999999999999</v>
      </c>
      <c r="F16" s="19">
        <v>1</v>
      </c>
      <c r="G16" s="7">
        <v>0.75</v>
      </c>
      <c r="H16" s="23">
        <f t="shared" si="2"/>
        <v>0.96799999999999997</v>
      </c>
      <c r="I16" s="6" t="s">
        <v>6</v>
      </c>
      <c r="J16" s="3">
        <v>1.43</v>
      </c>
      <c r="K16" s="3">
        <v>1.61</v>
      </c>
      <c r="L16" s="3">
        <v>1.59</v>
      </c>
      <c r="M16" s="3">
        <v>1.43</v>
      </c>
      <c r="N16" s="21">
        <v>1.5</v>
      </c>
      <c r="O16">
        <f t="shared" ref="O16:O21" si="7">AVERAGE(J16:N16)</f>
        <v>1.512</v>
      </c>
      <c r="P16">
        <f>N5+N6</f>
        <v>8.1750000000000007</v>
      </c>
      <c r="Q16" s="35">
        <f t="shared" ref="Q16:Q21" si="8">_xlfn.STDEV.S(J16:N16)/SQRT(5)</f>
        <v>3.8262252939418012E-2</v>
      </c>
      <c r="R16" s="35">
        <f t="shared" si="4"/>
        <v>6.7631353675643907E-2</v>
      </c>
      <c r="S16" s="23">
        <f t="shared" si="5"/>
        <v>0.85299999999999998</v>
      </c>
      <c r="T16" s="35">
        <f t="shared" si="6"/>
        <v>7.5964687008977239E-2</v>
      </c>
      <c r="W16" s="27">
        <v>11</v>
      </c>
      <c r="X16" s="28">
        <v>12</v>
      </c>
      <c r="Y16" s="29">
        <v>0.6</v>
      </c>
      <c r="Z16" s="29">
        <v>0.03</v>
      </c>
      <c r="AA16" s="33">
        <v>0.49</v>
      </c>
      <c r="AB16" s="29">
        <v>0.04</v>
      </c>
      <c r="AC16" s="34">
        <f t="shared" si="0"/>
        <v>9.0277777777777776E-2</v>
      </c>
      <c r="AD16">
        <f t="shared" si="1"/>
        <v>0.1597778549382716</v>
      </c>
      <c r="AI16" s="33">
        <v>0.68</v>
      </c>
      <c r="AJ16" s="19">
        <v>0.67</v>
      </c>
      <c r="AK16" s="19">
        <v>0.71</v>
      </c>
      <c r="AL16" s="19">
        <v>1.06</v>
      </c>
      <c r="AM16" s="19">
        <v>0.8</v>
      </c>
      <c r="AN16" s="7">
        <v>0.74</v>
      </c>
    </row>
    <row r="17" spans="1:45" ht="15.75" thickBot="1" x14ac:dyDescent="0.3">
      <c r="A17" s="15">
        <v>9</v>
      </c>
      <c r="B17" s="3"/>
      <c r="C17" s="19">
        <v>0.67</v>
      </c>
      <c r="D17" s="19">
        <v>0.71</v>
      </c>
      <c r="E17" s="19">
        <v>1.06</v>
      </c>
      <c r="F17" s="19">
        <v>0.8</v>
      </c>
      <c r="G17" s="7">
        <v>0.74</v>
      </c>
      <c r="H17" s="23">
        <f t="shared" si="2"/>
        <v>0.79600000000000004</v>
      </c>
      <c r="I17" s="6" t="s">
        <v>7</v>
      </c>
      <c r="J17" s="3">
        <v>1.28</v>
      </c>
      <c r="K17" s="3">
        <v>1.57</v>
      </c>
      <c r="L17" s="3">
        <v>1.71</v>
      </c>
      <c r="M17" s="3">
        <v>1.32</v>
      </c>
      <c r="N17" s="21">
        <v>1.37</v>
      </c>
      <c r="O17">
        <f t="shared" si="7"/>
        <v>1.4500000000000002</v>
      </c>
      <c r="P17">
        <f>P16+N7</f>
        <v>12.175000000000001</v>
      </c>
      <c r="Q17" s="35">
        <f t="shared" si="8"/>
        <v>8.1914589665088994E-2</v>
      </c>
      <c r="R17" s="35">
        <f t="shared" si="4"/>
        <v>6.9325320049747882E-2</v>
      </c>
      <c r="S17" s="23">
        <f t="shared" si="5"/>
        <v>0.68100000000000005</v>
      </c>
      <c r="T17" s="35">
        <f t="shared" si="6"/>
        <v>7.7658653383081214E-2</v>
      </c>
      <c r="W17" s="27">
        <v>12</v>
      </c>
      <c r="X17" s="28">
        <v>13</v>
      </c>
      <c r="Y17" s="29">
        <v>0.64</v>
      </c>
      <c r="Z17" s="29">
        <v>0.06</v>
      </c>
      <c r="AA17" s="33">
        <v>0.52</v>
      </c>
      <c r="AB17" s="29">
        <v>7.0000000000000007E-2</v>
      </c>
      <c r="AC17" s="34">
        <f t="shared" si="0"/>
        <v>7.6923076923076927E-2</v>
      </c>
      <c r="AD17">
        <f t="shared" si="1"/>
        <v>0.19631715976331363</v>
      </c>
      <c r="AI17" s="33">
        <v>0.57999999999999996</v>
      </c>
      <c r="AJ17" s="19">
        <v>0.57999999999999996</v>
      </c>
      <c r="AK17" s="19">
        <v>0.67</v>
      </c>
      <c r="AL17" s="19">
        <v>0.69</v>
      </c>
      <c r="AM17" s="19">
        <v>0.73</v>
      </c>
      <c r="AN17" s="7">
        <v>0.78</v>
      </c>
    </row>
    <row r="18" spans="1:45" ht="15.75" thickBot="1" x14ac:dyDescent="0.3">
      <c r="A18" s="15">
        <v>10</v>
      </c>
      <c r="B18" s="3"/>
      <c r="C18" s="19">
        <v>0.57999999999999996</v>
      </c>
      <c r="D18" s="19">
        <v>0.67</v>
      </c>
      <c r="E18" s="19">
        <v>0.69</v>
      </c>
      <c r="F18" s="19">
        <v>0.73</v>
      </c>
      <c r="G18" s="7">
        <v>0.78</v>
      </c>
      <c r="H18" s="23">
        <f t="shared" si="2"/>
        <v>0.69000000000000006</v>
      </c>
      <c r="I18" s="6" t="s">
        <v>8</v>
      </c>
      <c r="J18" s="3">
        <v>1.44</v>
      </c>
      <c r="K18" s="3">
        <v>1.45</v>
      </c>
      <c r="L18" s="3">
        <v>1.46</v>
      </c>
      <c r="M18" s="3">
        <v>1.24</v>
      </c>
      <c r="N18" s="21">
        <v>1.42</v>
      </c>
      <c r="O18">
        <f t="shared" si="7"/>
        <v>1.4019999999999999</v>
      </c>
      <c r="P18">
        <f>P17+N8</f>
        <v>17.175000000000001</v>
      </c>
      <c r="Q18" s="35">
        <f t="shared" si="8"/>
        <v>4.1036569057366371E-2</v>
      </c>
      <c r="R18" s="35">
        <f t="shared" si="4"/>
        <v>3.3316662497915372E-2</v>
      </c>
      <c r="S18" s="23">
        <f t="shared" si="5"/>
        <v>0.57500000000000007</v>
      </c>
      <c r="T18" s="35">
        <f t="shared" si="6"/>
        <v>4.1649995831248711E-2</v>
      </c>
      <c r="W18" s="27">
        <v>14</v>
      </c>
      <c r="X18" s="28">
        <v>15</v>
      </c>
      <c r="Y18" s="29">
        <v>0.41</v>
      </c>
      <c r="Z18" s="29">
        <v>0.04</v>
      </c>
      <c r="AA18" s="33">
        <v>0.3</v>
      </c>
      <c r="AB18" s="29">
        <v>0.04</v>
      </c>
      <c r="AC18" s="34">
        <f t="shared" si="0"/>
        <v>5.7777777777777775E-2</v>
      </c>
      <c r="AD18">
        <f t="shared" si="1"/>
        <v>5.8671604938271608E-2</v>
      </c>
      <c r="AI18" s="33">
        <v>0.49</v>
      </c>
      <c r="AJ18" s="19">
        <v>0.65</v>
      </c>
      <c r="AK18" s="19">
        <v>0.61</v>
      </c>
      <c r="AL18" s="19">
        <v>0.63</v>
      </c>
      <c r="AM18" s="19">
        <v>0.49</v>
      </c>
      <c r="AN18" s="7">
        <v>0.62</v>
      </c>
    </row>
    <row r="19" spans="1:45" ht="15.75" thickBot="1" x14ac:dyDescent="0.3">
      <c r="A19" s="15">
        <v>11</v>
      </c>
      <c r="B19" s="3"/>
      <c r="C19" s="19">
        <v>0.65</v>
      </c>
      <c r="D19" s="19">
        <v>0.61</v>
      </c>
      <c r="E19" s="19">
        <v>0.63</v>
      </c>
      <c r="F19" s="19">
        <v>0.49</v>
      </c>
      <c r="G19" s="7">
        <v>0.62</v>
      </c>
      <c r="H19" s="23">
        <f t="shared" si="2"/>
        <v>0.6</v>
      </c>
      <c r="I19" s="6" t="s">
        <v>9</v>
      </c>
      <c r="J19" s="3">
        <v>1.35</v>
      </c>
      <c r="K19" s="3">
        <v>1.33</v>
      </c>
      <c r="L19" s="3">
        <v>1.3</v>
      </c>
      <c r="M19" s="3">
        <v>1.46</v>
      </c>
      <c r="N19" s="21">
        <v>1.38</v>
      </c>
      <c r="O19">
        <f t="shared" si="7"/>
        <v>1.3640000000000001</v>
      </c>
      <c r="P19">
        <f>P18+N9</f>
        <v>21.225000000000001</v>
      </c>
      <c r="Q19" s="35">
        <f t="shared" si="8"/>
        <v>2.7313000567495305E-2</v>
      </c>
      <c r="R19" s="35">
        <f t="shared" si="4"/>
        <v>2.8284271247461905E-2</v>
      </c>
      <c r="S19" s="23">
        <f t="shared" si="5"/>
        <v>0.48499999999999999</v>
      </c>
      <c r="T19" s="35">
        <f t="shared" si="6"/>
        <v>3.6617604580795243E-2</v>
      </c>
      <c r="AD19">
        <f>SUM(AD2:AD18)</f>
        <v>51.755200235812588</v>
      </c>
      <c r="AI19" s="33">
        <v>0.52</v>
      </c>
      <c r="AJ19" s="19">
        <v>0.55000000000000004</v>
      </c>
      <c r="AK19" s="19">
        <v>0.54</v>
      </c>
      <c r="AL19" s="19">
        <v>0.53</v>
      </c>
      <c r="AM19" s="19">
        <v>0.74</v>
      </c>
      <c r="AN19" s="7">
        <v>0.82</v>
      </c>
    </row>
    <row r="20" spans="1:45" ht="15.75" thickBot="1" x14ac:dyDescent="0.3">
      <c r="A20" s="15">
        <v>12</v>
      </c>
      <c r="B20" s="3"/>
      <c r="C20" s="19">
        <v>0.55000000000000004</v>
      </c>
      <c r="D20" s="19">
        <v>0.54</v>
      </c>
      <c r="E20" s="19">
        <v>0.53</v>
      </c>
      <c r="F20" s="19">
        <v>0.74</v>
      </c>
      <c r="G20" s="7">
        <v>0.82</v>
      </c>
      <c r="H20" s="23">
        <f t="shared" si="2"/>
        <v>0.63600000000000001</v>
      </c>
      <c r="I20" s="6" t="s">
        <v>10</v>
      </c>
      <c r="J20" s="3">
        <v>1.3</v>
      </c>
      <c r="K20" s="3">
        <v>1.31</v>
      </c>
      <c r="L20" s="3">
        <v>1.41</v>
      </c>
      <c r="M20" s="3">
        <v>1.29</v>
      </c>
      <c r="N20" s="21">
        <v>1.36</v>
      </c>
      <c r="O20">
        <f t="shared" si="7"/>
        <v>1.3340000000000001</v>
      </c>
      <c r="P20">
        <f>P19+N10</f>
        <v>25.262500000000003</v>
      </c>
      <c r="Q20" s="35">
        <f t="shared" si="8"/>
        <v>2.2494443758403967E-2</v>
      </c>
      <c r="R20" s="35">
        <f t="shared" si="4"/>
        <v>6.021627686929816E-2</v>
      </c>
      <c r="S20" s="23">
        <f t="shared" si="5"/>
        <v>0.52100000000000002</v>
      </c>
      <c r="T20" s="35">
        <f t="shared" si="6"/>
        <v>6.8549610202631492E-2</v>
      </c>
      <c r="AI20" s="33">
        <v>0.3</v>
      </c>
      <c r="AJ20" s="9">
        <v>0.39</v>
      </c>
      <c r="AK20" s="9">
        <v>0.32</v>
      </c>
      <c r="AL20" s="9">
        <v>0.36</v>
      </c>
      <c r="AM20" s="9">
        <v>0.52</v>
      </c>
      <c r="AN20" s="10">
        <v>0.47</v>
      </c>
    </row>
    <row r="21" spans="1:45" ht="15.75" thickBot="1" x14ac:dyDescent="0.3">
      <c r="A21" s="16">
        <v>14</v>
      </c>
      <c r="B21" s="18"/>
      <c r="C21" s="9">
        <v>0.39</v>
      </c>
      <c r="D21" s="9">
        <v>0.32</v>
      </c>
      <c r="E21" s="9">
        <v>0.36</v>
      </c>
      <c r="F21" s="9">
        <v>0.52</v>
      </c>
      <c r="G21" s="10">
        <v>0.47</v>
      </c>
      <c r="H21" s="23">
        <f t="shared" si="2"/>
        <v>0.41199999999999992</v>
      </c>
      <c r="I21" s="8" t="s">
        <v>11</v>
      </c>
      <c r="J21" s="18">
        <v>1.26</v>
      </c>
      <c r="K21" s="18">
        <v>1.31</v>
      </c>
      <c r="L21" s="18">
        <v>1.19</v>
      </c>
      <c r="M21" s="18">
        <v>1.45</v>
      </c>
      <c r="N21" s="21">
        <v>1.29</v>
      </c>
      <c r="O21">
        <f t="shared" si="7"/>
        <v>1.3</v>
      </c>
      <c r="P21">
        <f>P20+N11</f>
        <v>30.062500000000004</v>
      </c>
      <c r="Q21" s="35">
        <f t="shared" si="8"/>
        <v>4.2661458015403081E-2</v>
      </c>
      <c r="R21" s="35">
        <f>_xlfn.STDEV.S(C21:G21)/SQRT($P$5)</f>
        <v>3.6523964735499674E-2</v>
      </c>
      <c r="S21" s="23">
        <f t="shared" si="5"/>
        <v>0.29699999999999993</v>
      </c>
      <c r="T21" s="35">
        <f t="shared" si="6"/>
        <v>4.4857298068833013E-2</v>
      </c>
      <c r="AI21" t="s">
        <v>42</v>
      </c>
      <c r="AO21" t="s">
        <v>1</v>
      </c>
      <c r="AP21" t="s">
        <v>43</v>
      </c>
      <c r="AQ21" t="s">
        <v>44</v>
      </c>
      <c r="AR21" t="s">
        <v>45</v>
      </c>
      <c r="AS21" t="s">
        <v>46</v>
      </c>
    </row>
    <row r="22" spans="1:45" x14ac:dyDescent="0.25">
      <c r="E22" t="s">
        <v>12</v>
      </c>
      <c r="O22" t="s">
        <v>36</v>
      </c>
      <c r="AJ22">
        <f>AJ4*$AC2</f>
        <v>152.49</v>
      </c>
      <c r="AK22">
        <f t="shared" ref="AK22:AN22" si="9">AK4*$AC2</f>
        <v>147.94</v>
      </c>
      <c r="AL22">
        <f t="shared" si="9"/>
        <v>177.45000000000002</v>
      </c>
      <c r="AM22">
        <f t="shared" si="9"/>
        <v>153.53</v>
      </c>
      <c r="AN22">
        <f t="shared" si="9"/>
        <v>137.28</v>
      </c>
      <c r="AO22" s="31">
        <f>AVERAGE(AJ22:AN22)</f>
        <v>153.738</v>
      </c>
      <c r="AP22">
        <f>AO22-(AI4*AC2)</f>
        <v>1.5079999999999814</v>
      </c>
      <c r="AQ22">
        <f>_xlfn.STDEV.S(AJ4:AN4)/SQRT(5)</f>
        <v>0.50685895473987619</v>
      </c>
      <c r="AR22">
        <f>SQRT((-2*AH2*AG2/(X2)^3)^2+(0.5/(X2)^2)^2)</f>
        <v>5.2239831546435909</v>
      </c>
      <c r="AS22">
        <f>AP22/(AQ22*AR22)</f>
        <v>0.5695245506458988</v>
      </c>
    </row>
    <row r="23" spans="1:45" x14ac:dyDescent="0.25">
      <c r="B23" t="s">
        <v>34</v>
      </c>
      <c r="E23" t="e" cm="1">
        <f t="array" ref="E23">TREND(H5:H21,A5:A21,1,1)</f>
        <v>#VALUE!</v>
      </c>
      <c r="J23" t="s">
        <v>14</v>
      </c>
      <c r="K23" t="s">
        <v>17</v>
      </c>
      <c r="O23">
        <f>O15-$M$1</f>
        <v>1.4929999999999999</v>
      </c>
      <c r="P23" s="35">
        <f>Q15+$P$1</f>
        <v>7.1768339441948173E-2</v>
      </c>
      <c r="Q23" t="s">
        <v>37</v>
      </c>
      <c r="AJ23">
        <f t="shared" ref="AJ23:AN38" si="10">AJ5*$AC3</f>
        <v>46.626666666666665</v>
      </c>
      <c r="AK23">
        <f t="shared" si="10"/>
        <v>53.733333333333334</v>
      </c>
      <c r="AL23">
        <f t="shared" si="10"/>
        <v>48.88</v>
      </c>
      <c r="AM23">
        <f t="shared" si="10"/>
        <v>48.071111111111115</v>
      </c>
      <c r="AN23">
        <f t="shared" si="10"/>
        <v>40.271111111111111</v>
      </c>
      <c r="AO23" s="31">
        <f t="shared" ref="AO23:AO38" si="11">AVERAGE(AJ23:AN23)</f>
        <v>47.516444444444446</v>
      </c>
      <c r="AP23">
        <f t="shared" ref="AP23:AP38" si="12">AO23-(AI5*AC3)</f>
        <v>0.65866666666666873</v>
      </c>
      <c r="AQ23">
        <f t="shared" ref="AQ23:AQ38" si="13">_xlfn.STDEV.S(AJ5:AN5)/SQRT(5)</f>
        <v>0.37542775603303513</v>
      </c>
      <c r="AR23">
        <f t="shared" ref="AR23:AR38" si="14">SQRT((-2*AH3*AG3/(X3)^3)^2+(0.5/(X3)^2)^2)</f>
        <v>0.22222222222222221</v>
      </c>
      <c r="AS23">
        <f t="shared" ref="AS23:AS38" si="15">AP23/(AQ23*AR23)</f>
        <v>7.8949943161346789</v>
      </c>
    </row>
    <row r="24" spans="1:45" x14ac:dyDescent="0.25">
      <c r="B24">
        <f>_xlfn.STDEV.S(C13:G13)/SQRT(5)</f>
        <v>7.0327803890068957E-2</v>
      </c>
      <c r="E24" cm="1">
        <f t="array" ref="E24:F28">LOGEST(1,2,34,5)</f>
        <v>1</v>
      </c>
      <c r="F24">
        <v>1</v>
      </c>
      <c r="O24">
        <f t="shared" ref="O24:O29" si="16">O16-$M$1</f>
        <v>1.397</v>
      </c>
      <c r="P24" s="35">
        <f t="shared" ref="P24:P29" si="17">Q16+$P$1</f>
        <v>4.6595586272751351E-2</v>
      </c>
      <c r="Q24" s="35">
        <f>H13-M1</f>
        <v>1.4389999999999998</v>
      </c>
      <c r="AJ24">
        <f t="shared" si="10"/>
        <v>21.515000000000001</v>
      </c>
      <c r="AK24">
        <f t="shared" si="10"/>
        <v>22.295000000000002</v>
      </c>
      <c r="AL24">
        <f t="shared" si="10"/>
        <v>21.71</v>
      </c>
      <c r="AM24">
        <f t="shared" si="10"/>
        <v>21.515000000000001</v>
      </c>
      <c r="AN24">
        <f t="shared" si="10"/>
        <v>23.822500000000002</v>
      </c>
      <c r="AO24" s="31">
        <f>AVERAGE(AJ24:AN24)</f>
        <v>22.171500000000002</v>
      </c>
      <c r="AP24">
        <f t="shared" si="12"/>
        <v>0.36400000000000077</v>
      </c>
      <c r="AQ24">
        <f t="shared" si="13"/>
        <v>0.13440238093129156</v>
      </c>
      <c r="AR24">
        <f t="shared" si="14"/>
        <v>0.125</v>
      </c>
      <c r="AS24">
        <f t="shared" si="15"/>
        <v>21.666282842776891</v>
      </c>
    </row>
    <row r="25" spans="1:45" x14ac:dyDescent="0.25">
      <c r="E25">
        <v>0</v>
      </c>
      <c r="F25">
        <v>0</v>
      </c>
      <c r="O25">
        <f t="shared" si="16"/>
        <v>1.3350000000000002</v>
      </c>
      <c r="P25" s="35">
        <f t="shared" si="17"/>
        <v>9.0247922998422325E-2</v>
      </c>
      <c r="AJ25">
        <f t="shared" si="10"/>
        <v>10.212800000000001</v>
      </c>
      <c r="AK25">
        <f t="shared" si="10"/>
        <v>12.105600000000001</v>
      </c>
      <c r="AL25">
        <f t="shared" si="10"/>
        <v>11.086400000000001</v>
      </c>
      <c r="AM25">
        <f t="shared" si="10"/>
        <v>9.7135999999999996</v>
      </c>
      <c r="AN25">
        <f t="shared" si="10"/>
        <v>10.441599999999999</v>
      </c>
      <c r="AO25" s="31">
        <f t="shared" si="11"/>
        <v>10.712000000000002</v>
      </c>
      <c r="AP25">
        <f t="shared" si="12"/>
        <v>0.22880000000000145</v>
      </c>
      <c r="AQ25">
        <f t="shared" si="13"/>
        <v>0.19826749607537797</v>
      </c>
      <c r="AR25">
        <f t="shared" si="14"/>
        <v>0.08</v>
      </c>
      <c r="AS25">
        <f t="shared" si="15"/>
        <v>14.424956468470727</v>
      </c>
    </row>
    <row r="26" spans="1:45" x14ac:dyDescent="0.25">
      <c r="E26">
        <v>1</v>
      </c>
      <c r="F26">
        <v>0</v>
      </c>
      <c r="O26">
        <f t="shared" si="16"/>
        <v>1.2869999999999999</v>
      </c>
      <c r="P26" s="35">
        <f t="shared" si="17"/>
        <v>4.9369902390699709E-2</v>
      </c>
      <c r="S26" t="s">
        <v>40</v>
      </c>
      <c r="T26" t="s">
        <v>41</v>
      </c>
      <c r="AJ26">
        <f t="shared" si="10"/>
        <v>5.546666666666666</v>
      </c>
      <c r="AK26">
        <f t="shared" si="10"/>
        <v>6.11</v>
      </c>
      <c r="AL26">
        <f t="shared" si="10"/>
        <v>6.6588888888888889</v>
      </c>
      <c r="AM26">
        <f t="shared" si="10"/>
        <v>5.9366666666666674</v>
      </c>
      <c r="AN26">
        <f t="shared" si="10"/>
        <v>5.387777777777778</v>
      </c>
      <c r="AO26" s="31">
        <f t="shared" si="11"/>
        <v>5.9279999999999999</v>
      </c>
      <c r="AP26">
        <f t="shared" si="12"/>
        <v>0.16466666666666629</v>
      </c>
      <c r="AQ26">
        <f t="shared" si="13"/>
        <v>0.1551644289133306</v>
      </c>
      <c r="AR26">
        <f t="shared" si="14"/>
        <v>5.5555555555555552E-2</v>
      </c>
      <c r="AS26">
        <f t="shared" si="15"/>
        <v>19.102316302504999</v>
      </c>
    </row>
    <row r="27" spans="1:45" x14ac:dyDescent="0.25">
      <c r="E27" t="e">
        <v>#NUM!</v>
      </c>
      <c r="F27">
        <v>0</v>
      </c>
      <c r="O27">
        <f t="shared" si="16"/>
        <v>1.2490000000000001</v>
      </c>
      <c r="P27" s="35">
        <f t="shared" si="17"/>
        <v>3.5646333900828643E-2</v>
      </c>
      <c r="S27">
        <f>-Q31/2.7</f>
        <v>2.789244007851425E-3</v>
      </c>
      <c r="T27" s="39">
        <f>SQRT((Q32/2.7)^2)</f>
        <v>2.8244982241532285E-4</v>
      </c>
      <c r="AJ27">
        <f t="shared" si="10"/>
        <v>3.6824489795918374</v>
      </c>
      <c r="AK27">
        <f t="shared" si="10"/>
        <v>3.799183673469388</v>
      </c>
      <c r="AL27">
        <f t="shared" si="10"/>
        <v>3.2685714285714287</v>
      </c>
      <c r="AM27">
        <f t="shared" si="10"/>
        <v>4.8285714285714283</v>
      </c>
      <c r="AN27">
        <f t="shared" si="10"/>
        <v>4.3934693877551023</v>
      </c>
      <c r="AO27" s="31">
        <f t="shared" si="11"/>
        <v>3.9944489795918372</v>
      </c>
      <c r="AP27">
        <f t="shared" si="12"/>
        <v>0.1209795918367349</v>
      </c>
      <c r="AQ27">
        <f>_xlfn.STDEV.S(AJ9:AN9)/SQRT(5)</f>
        <v>0.25954960990145953</v>
      </c>
      <c r="AR27">
        <f t="shared" si="14"/>
        <v>4.0816326530612242E-2</v>
      </c>
      <c r="AS27">
        <f t="shared" si="15"/>
        <v>11.419782141554039</v>
      </c>
    </row>
    <row r="28" spans="1:45" x14ac:dyDescent="0.25">
      <c r="E28">
        <v>0</v>
      </c>
      <c r="F28">
        <v>0</v>
      </c>
      <c r="O28">
        <f t="shared" si="16"/>
        <v>1.2190000000000001</v>
      </c>
      <c r="P28" s="35">
        <f t="shared" si="17"/>
        <v>3.0827777091737306E-2</v>
      </c>
      <c r="AJ28">
        <f t="shared" si="10"/>
        <v>2.413125</v>
      </c>
      <c r="AK28">
        <f t="shared" si="10"/>
        <v>2.234375</v>
      </c>
      <c r="AL28">
        <f t="shared" si="10"/>
        <v>2.3725000000000001</v>
      </c>
      <c r="AM28">
        <f t="shared" si="10"/>
        <v>2.2912499999999998</v>
      </c>
      <c r="AN28">
        <f t="shared" si="10"/>
        <v>2.3643749999999999</v>
      </c>
      <c r="AO28" s="31">
        <f t="shared" si="11"/>
        <v>2.3351250000000001</v>
      </c>
      <c r="AP28">
        <f t="shared" si="12"/>
        <v>9.2625000000000401E-2</v>
      </c>
      <c r="AQ28">
        <f t="shared" si="13"/>
        <v>3.9319206502675036E-2</v>
      </c>
      <c r="AR28">
        <f t="shared" si="14"/>
        <v>3.125E-2</v>
      </c>
      <c r="AS28">
        <f t="shared" si="15"/>
        <v>75.383006516124908</v>
      </c>
    </row>
    <row r="29" spans="1:45" x14ac:dyDescent="0.25">
      <c r="O29">
        <f t="shared" si="16"/>
        <v>1.1850000000000001</v>
      </c>
      <c r="P29" s="35">
        <f t="shared" si="17"/>
        <v>5.0994791348736419E-2</v>
      </c>
      <c r="AJ29">
        <f t="shared" si="10"/>
        <v>0.86839999999999995</v>
      </c>
      <c r="AK29">
        <f t="shared" si="10"/>
        <v>1.3155999999999999</v>
      </c>
      <c r="AL29">
        <f t="shared" si="10"/>
        <v>1.2220000000000002</v>
      </c>
      <c r="AM29">
        <f t="shared" si="10"/>
        <v>0.83200000000000007</v>
      </c>
      <c r="AN29">
        <f t="shared" si="10"/>
        <v>1.4144000000000001</v>
      </c>
      <c r="AO29" s="31">
        <f t="shared" si="11"/>
        <v>1.1304799999999999</v>
      </c>
      <c r="AP29">
        <f t="shared" si="12"/>
        <v>5.9279999999999777E-2</v>
      </c>
      <c r="AQ29">
        <f t="shared" si="13"/>
        <v>0.22796052289815522</v>
      </c>
      <c r="AR29">
        <f t="shared" si="14"/>
        <v>0.02</v>
      </c>
      <c r="AS29">
        <f t="shared" si="15"/>
        <v>13.002251277183639</v>
      </c>
    </row>
    <row r="30" spans="1:45" x14ac:dyDescent="0.25">
      <c r="N30" t="s">
        <v>38</v>
      </c>
      <c r="O30">
        <v>1.44</v>
      </c>
      <c r="AJ30">
        <f t="shared" si="10"/>
        <v>0.49472222222222223</v>
      </c>
      <c r="AK30">
        <f t="shared" si="10"/>
        <v>0.6463888888888889</v>
      </c>
      <c r="AL30">
        <f t="shared" si="10"/>
        <v>0.55611111111111111</v>
      </c>
      <c r="AM30">
        <f t="shared" si="10"/>
        <v>0.53083333333333327</v>
      </c>
      <c r="AN30">
        <f t="shared" si="10"/>
        <v>0.57777777777777783</v>
      </c>
      <c r="AO30" s="31">
        <f t="shared" si="11"/>
        <v>0.5611666666666667</v>
      </c>
      <c r="AP30">
        <f t="shared" si="12"/>
        <v>4.1166666666666685E-2</v>
      </c>
      <c r="AQ30">
        <f t="shared" si="13"/>
        <v>7.0327803890068957E-2</v>
      </c>
      <c r="AR30">
        <f t="shared" si="14"/>
        <v>1.3888888888888888E-2</v>
      </c>
      <c r="AS30">
        <f t="shared" si="15"/>
        <v>42.145493475569054</v>
      </c>
    </row>
    <row r="31" spans="1:45" ht="15.75" thickBot="1" x14ac:dyDescent="0.3">
      <c r="N31" s="31" t="s">
        <v>27</v>
      </c>
      <c r="O31" s="31" t="s">
        <v>39</v>
      </c>
      <c r="Q31" cm="1">
        <f t="array" ref="Q31:R35">LINEST(O32:O39,N32:N39,1,1)</f>
        <v>-7.5309588211988484E-3</v>
      </c>
      <c r="R31">
        <v>0.39079060802394588</v>
      </c>
      <c r="AJ31">
        <f t="shared" si="10"/>
        <v>0.3555102040816327</v>
      </c>
      <c r="AK31">
        <f t="shared" si="10"/>
        <v>0.39795918367346939</v>
      </c>
      <c r="AL31">
        <f t="shared" si="10"/>
        <v>0.3342857142857143</v>
      </c>
      <c r="AM31">
        <f t="shared" si="10"/>
        <v>0.40326530612244899</v>
      </c>
      <c r="AN31">
        <f t="shared" si="10"/>
        <v>0.42979591836734699</v>
      </c>
      <c r="AO31" s="31">
        <f t="shared" si="11"/>
        <v>0.38416326530612244</v>
      </c>
      <c r="AP31">
        <f t="shared" si="12"/>
        <v>3.1306122448979512E-2</v>
      </c>
      <c r="AQ31">
        <f t="shared" si="13"/>
        <v>6.4992307237087682E-2</v>
      </c>
      <c r="AR31">
        <f t="shared" si="14"/>
        <v>1.020408163265306E-2</v>
      </c>
      <c r="AS31">
        <f t="shared" si="15"/>
        <v>47.205586790573989</v>
      </c>
    </row>
    <row r="32" spans="1:45" ht="15.75" thickBot="1" x14ac:dyDescent="0.3">
      <c r="N32" s="36">
        <v>0</v>
      </c>
      <c r="O32" s="37">
        <f>LN(O30)</f>
        <v>0.36464311358790924</v>
      </c>
      <c r="Q32">
        <v>7.6261452052137167E-4</v>
      </c>
      <c r="R32">
        <v>1.3640064506131528E-2</v>
      </c>
      <c r="AJ32">
        <f t="shared" si="10"/>
        <v>0.26406250000000003</v>
      </c>
      <c r="AK32">
        <f t="shared" si="10"/>
        <v>0.24171874999999998</v>
      </c>
      <c r="AL32">
        <f t="shared" si="10"/>
        <v>0.26</v>
      </c>
      <c r="AM32">
        <f t="shared" si="10"/>
        <v>0.28437499999999999</v>
      </c>
      <c r="AN32">
        <f t="shared" si="10"/>
        <v>0.21734375</v>
      </c>
      <c r="AO32" s="31">
        <f t="shared" si="11"/>
        <v>0.2535</v>
      </c>
      <c r="AP32">
        <f t="shared" si="12"/>
        <v>2.3968750000000039E-2</v>
      </c>
      <c r="AQ32">
        <f t="shared" si="13"/>
        <v>5.5623735940693503E-2</v>
      </c>
      <c r="AR32">
        <f t="shared" si="14"/>
        <v>7.8125E-3</v>
      </c>
      <c r="AS32">
        <f t="shared" si="15"/>
        <v>55.156309588250821</v>
      </c>
    </row>
    <row r="33" spans="14:45" ht="15.75" thickBot="1" x14ac:dyDescent="0.3">
      <c r="N33" s="38">
        <v>4.13</v>
      </c>
      <c r="O33" s="37">
        <f>LN(O23)</f>
        <v>0.40078751855705325</v>
      </c>
      <c r="Q33">
        <v>0.94203977220361956</v>
      </c>
      <c r="R33">
        <v>2.1475288370010417E-2</v>
      </c>
      <c r="AJ33">
        <f t="shared" si="10"/>
        <v>0.14444444444444443</v>
      </c>
      <c r="AK33">
        <f t="shared" si="10"/>
        <v>0.16691358024691358</v>
      </c>
      <c r="AL33">
        <f t="shared" si="10"/>
        <v>0.18456790123456787</v>
      </c>
      <c r="AM33">
        <f t="shared" si="10"/>
        <v>0.16049382716049382</v>
      </c>
      <c r="AN33">
        <f t="shared" si="10"/>
        <v>0.12037037037037036</v>
      </c>
      <c r="AO33" s="31">
        <f t="shared" si="11"/>
        <v>0.15535802469135801</v>
      </c>
      <c r="AP33">
        <f t="shared" si="12"/>
        <v>1.8938271604938273E-2</v>
      </c>
      <c r="AQ33">
        <f t="shared" si="13"/>
        <v>6.7631353675643907E-2</v>
      </c>
      <c r="AR33">
        <f t="shared" si="14"/>
        <v>6.1728395061728392E-3</v>
      </c>
      <c r="AS33">
        <f t="shared" si="15"/>
        <v>45.363575224502419</v>
      </c>
    </row>
    <row r="34" spans="14:45" ht="15.75" thickBot="1" x14ac:dyDescent="0.3">
      <c r="N34" s="38">
        <v>8.18</v>
      </c>
      <c r="O34" s="37">
        <f t="shared" ref="O34:O37" si="18">LN(O24)</f>
        <v>0.33432708027482477</v>
      </c>
      <c r="Q34">
        <v>97.519261882105482</v>
      </c>
      <c r="R34">
        <v>6</v>
      </c>
      <c r="AJ34">
        <f t="shared" si="10"/>
        <v>8.7100000000000011E-2</v>
      </c>
      <c r="AK34">
        <f t="shared" si="10"/>
        <v>9.2299999999999993E-2</v>
      </c>
      <c r="AL34">
        <f t="shared" si="10"/>
        <v>0.13780000000000001</v>
      </c>
      <c r="AM34">
        <f t="shared" si="10"/>
        <v>0.10400000000000001</v>
      </c>
      <c r="AN34">
        <f t="shared" si="10"/>
        <v>9.6200000000000008E-2</v>
      </c>
      <c r="AO34" s="31">
        <f t="shared" si="11"/>
        <v>0.10348000000000002</v>
      </c>
      <c r="AP34">
        <f t="shared" si="12"/>
        <v>1.508000000000001E-2</v>
      </c>
      <c r="AQ34">
        <f t="shared" si="13"/>
        <v>6.9325320049747882E-2</v>
      </c>
      <c r="AR34">
        <f t="shared" si="14"/>
        <v>5.0000000000000001E-3</v>
      </c>
      <c r="AS34">
        <f t="shared" si="15"/>
        <v>43.505028146075901</v>
      </c>
    </row>
    <row r="35" spans="14:45" ht="15.75" thickBot="1" x14ac:dyDescent="0.3">
      <c r="N35" s="38">
        <v>12.18</v>
      </c>
      <c r="O35" s="37">
        <f t="shared" si="18"/>
        <v>0.288931291852213</v>
      </c>
      <c r="Q35">
        <v>4.4974714380160867E-2</v>
      </c>
      <c r="R35">
        <v>2.7671280634506282E-3</v>
      </c>
      <c r="AJ35">
        <f t="shared" si="10"/>
        <v>6.231404958677686E-2</v>
      </c>
      <c r="AK35">
        <f t="shared" si="10"/>
        <v>7.1983471074380176E-2</v>
      </c>
      <c r="AL35">
        <f t="shared" si="10"/>
        <v>7.4132231404958671E-2</v>
      </c>
      <c r="AM35">
        <f t="shared" si="10"/>
        <v>7.8429752066115702E-2</v>
      </c>
      <c r="AN35">
        <f t="shared" si="10"/>
        <v>8.3801652892561987E-2</v>
      </c>
      <c r="AO35" s="31">
        <f t="shared" si="11"/>
        <v>7.4132231404958671E-2</v>
      </c>
      <c r="AP35">
        <f t="shared" si="12"/>
        <v>1.1818181818181811E-2</v>
      </c>
      <c r="AQ35">
        <f t="shared" si="13"/>
        <v>3.3316662497915372E-2</v>
      </c>
      <c r="AR35">
        <f t="shared" si="14"/>
        <v>4.1322314049586778E-3</v>
      </c>
      <c r="AS35">
        <f t="shared" si="15"/>
        <v>85.842932201835907</v>
      </c>
    </row>
    <row r="36" spans="14:45" ht="15.75" thickBot="1" x14ac:dyDescent="0.3">
      <c r="N36" s="38">
        <v>17.18</v>
      </c>
      <c r="O36" s="37">
        <f t="shared" si="18"/>
        <v>0.25231392861398955</v>
      </c>
      <c r="AJ36">
        <f t="shared" si="10"/>
        <v>5.8680555555555555E-2</v>
      </c>
      <c r="AK36">
        <f t="shared" si="10"/>
        <v>5.5069444444444442E-2</v>
      </c>
      <c r="AL36">
        <f t="shared" si="10"/>
        <v>5.6875000000000002E-2</v>
      </c>
      <c r="AM36">
        <f t="shared" si="10"/>
        <v>4.4236111111111108E-2</v>
      </c>
      <c r="AN36">
        <f t="shared" si="10"/>
        <v>5.5972222222222222E-2</v>
      </c>
      <c r="AO36" s="31">
        <f t="shared" si="11"/>
        <v>5.4166666666666662E-2</v>
      </c>
      <c r="AP36">
        <f t="shared" si="12"/>
        <v>9.9305555555555536E-3</v>
      </c>
      <c r="AQ36">
        <f t="shared" si="13"/>
        <v>2.8284271247461905E-2</v>
      </c>
      <c r="AR36">
        <f t="shared" si="14"/>
        <v>3.472222222222222E-3</v>
      </c>
      <c r="AS36">
        <f t="shared" si="15"/>
        <v>101.11626970967626</v>
      </c>
    </row>
    <row r="37" spans="14:45" ht="15.75" thickBot="1" x14ac:dyDescent="0.3">
      <c r="N37" s="38">
        <v>21.23</v>
      </c>
      <c r="O37" s="37">
        <f t="shared" si="18"/>
        <v>0.22234323114344071</v>
      </c>
      <c r="AJ37">
        <f t="shared" si="10"/>
        <v>4.230769230769231E-2</v>
      </c>
      <c r="AK37">
        <f t="shared" si="10"/>
        <v>4.1538461538461545E-2</v>
      </c>
      <c r="AL37">
        <f t="shared" si="10"/>
        <v>4.0769230769230773E-2</v>
      </c>
      <c r="AM37">
        <f t="shared" si="10"/>
        <v>5.6923076923076923E-2</v>
      </c>
      <c r="AN37">
        <f t="shared" si="10"/>
        <v>6.3076923076923072E-2</v>
      </c>
      <c r="AO37" s="31">
        <f t="shared" si="11"/>
        <v>4.8923076923076923E-2</v>
      </c>
      <c r="AP37">
        <f t="shared" si="12"/>
        <v>8.9230769230769225E-3</v>
      </c>
      <c r="AQ37">
        <f t="shared" si="13"/>
        <v>6.021627686929816E-2</v>
      </c>
      <c r="AR37">
        <f t="shared" si="14"/>
        <v>2.9585798816568047E-3</v>
      </c>
      <c r="AS37">
        <f t="shared" si="15"/>
        <v>50.086125493051462</v>
      </c>
    </row>
    <row r="38" spans="14:45" ht="15.75" thickBot="1" x14ac:dyDescent="0.3">
      <c r="N38" s="38">
        <v>25.27</v>
      </c>
      <c r="O38" s="37">
        <f>LN(O28)</f>
        <v>0.19803085049913455</v>
      </c>
      <c r="AJ38">
        <f t="shared" si="10"/>
        <v>2.2533333333333332E-2</v>
      </c>
      <c r="AK38">
        <f t="shared" si="10"/>
        <v>1.8488888888888888E-2</v>
      </c>
      <c r="AL38">
        <f t="shared" si="10"/>
        <v>2.0799999999999999E-2</v>
      </c>
      <c r="AM38">
        <f t="shared" si="10"/>
        <v>3.0044444444444443E-2</v>
      </c>
      <c r="AN38">
        <f t="shared" si="10"/>
        <v>2.7155555555555554E-2</v>
      </c>
      <c r="AO38" s="31">
        <f t="shared" si="11"/>
        <v>2.3804444444444444E-2</v>
      </c>
      <c r="AP38">
        <f t="shared" si="12"/>
        <v>6.4711111111111115E-3</v>
      </c>
      <c r="AQ38">
        <f t="shared" si="13"/>
        <v>3.6523964735499674E-2</v>
      </c>
      <c r="AR38">
        <f t="shared" si="14"/>
        <v>2.2222222222222222E-3</v>
      </c>
      <c r="AS38">
        <f t="shared" si="15"/>
        <v>79.728474744957396</v>
      </c>
    </row>
    <row r="39" spans="14:45" ht="15.75" thickBot="1" x14ac:dyDescent="0.3">
      <c r="N39" s="38">
        <v>30.7</v>
      </c>
      <c r="O39" s="37">
        <f>LN(O29)</f>
        <v>0.16974277458709455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Ryś</dc:creator>
  <cp:lastModifiedBy>Przemysław Ryś</cp:lastModifiedBy>
  <dcterms:created xsi:type="dcterms:W3CDTF">2015-06-05T18:19:34Z</dcterms:created>
  <dcterms:modified xsi:type="dcterms:W3CDTF">2022-04-26T16:50:28Z</dcterms:modified>
</cp:coreProperties>
</file>