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en_skoroszyt" hidePivotFieldList="1"/>
  <mc:AlternateContent xmlns:mc="http://schemas.openxmlformats.org/markup-compatibility/2006">
    <mc:Choice Requires="x15">
      <x15ac:absPath xmlns:x15ac="http://schemas.microsoft.com/office/spreadsheetml/2010/11/ac" url="C:\Users\kperko\Desktop\"/>
    </mc:Choice>
  </mc:AlternateContent>
  <bookViews>
    <workbookView xWindow="0" yWindow="0" windowWidth="25200" windowHeight="12165"/>
  </bookViews>
  <sheets>
    <sheet name="KALKULATOR" sheetId="1" r:id="rId1"/>
    <sheet name="DRUK" sheetId="8" r:id="rId2"/>
    <sheet name="INTRO" sheetId="9" r:id="rId3"/>
    <sheet name="DREWNO" sheetId="12" state="hidden" r:id="rId4"/>
    <sheet name="TERMO" sheetId="10" r:id="rId5"/>
    <sheet name="FREZ" sheetId="11" state="hidden" r:id="rId6"/>
    <sheet name="FORMY" sheetId="13" r:id="rId7"/>
    <sheet name="Materiały_zakupowe" sheetId="2" r:id="rId8"/>
    <sheet name="METAL" sheetId="15" state="hidden" r:id="rId9"/>
    <sheet name="Rysunek podgladowy - grafiki" sheetId="14" r:id="rId10"/>
    <sheet name="Stawki_maszyn" sheetId="6" state="hidden" r:id="rId11"/>
    <sheet name="Materiały_maszyny" sheetId="7" state="hidden" r:id="rId12"/>
  </sheets>
  <definedNames>
    <definedName name="_xlnm._FilterDatabase" localSheetId="5" hidden="1">FREZ!$A$35:$Q$35</definedName>
    <definedName name="CIĘCIE">OFFSET(TERMO!$R$33,0,0,ROWS(TERMO!$R$34:$R$40)-COUNTBLANK(TERMO!$R$34:$R$40),1)</definedName>
    <definedName name="Frez">OFFSET(FREZ!$F$36,0,0,COUNT(FREZ!$G$36:$G$52),1)</definedName>
    <definedName name="TERMO">OFFSET(TERMO!$R$34,0,0,ROWS(TERMO!$R$34:$R$40)-COUNTBLANK(TERMO!$R$34:$R$40),1)</definedName>
  </definedNames>
  <calcPr calcId="152511"/>
  <pivotCaches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250" i="2" l="1"/>
  <c r="AG245" i="2" l="1"/>
  <c r="AG246" i="2"/>
  <c r="AG247" i="2"/>
  <c r="AG248" i="2"/>
  <c r="AG249" i="2"/>
  <c r="AG244" i="2"/>
  <c r="D13" i="8" l="1"/>
  <c r="F8" i="8" s="1"/>
  <c r="M203" i="1" l="1"/>
  <c r="P70" i="15"/>
  <c r="P72" i="15"/>
  <c r="P71" i="15"/>
  <c r="U72" i="15" s="1"/>
  <c r="V72" i="15" s="1"/>
  <c r="J203" i="1" s="1"/>
  <c r="V73" i="15"/>
  <c r="K203" i="1" s="1"/>
  <c r="L203" i="1" l="1"/>
  <c r="N203" i="1" s="1"/>
  <c r="B52" i="15"/>
  <c r="T70" i="8" l="1"/>
  <c r="U70" i="8" s="1"/>
  <c r="T69" i="8"/>
  <c r="U69" i="8" s="1"/>
  <c r="R62" i="8"/>
  <c r="R64" i="8" s="1"/>
  <c r="H26" i="8"/>
  <c r="H27" i="8" s="1"/>
  <c r="H33" i="8"/>
  <c r="M33" i="8"/>
  <c r="O33" i="8"/>
  <c r="T33" i="8"/>
  <c r="H34" i="8"/>
  <c r="O34" i="8"/>
  <c r="O35" i="8"/>
  <c r="H36" i="8"/>
  <c r="O36" i="8"/>
  <c r="W69" i="8" l="1"/>
  <c r="V69" i="8"/>
  <c r="W70" i="8"/>
  <c r="V70" i="8"/>
  <c r="B11" i="9"/>
  <c r="B10" i="9" l="1"/>
  <c r="AG4" i="2" l="1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B1" i="1" l="1"/>
  <c r="X69" i="15" s="1"/>
  <c r="AG30" i="9"/>
  <c r="AG29" i="9"/>
  <c r="AG28" i="9"/>
  <c r="AG27" i="9"/>
  <c r="AG26" i="9"/>
  <c r="AG25" i="9"/>
  <c r="AG24" i="9"/>
  <c r="AG23" i="9"/>
  <c r="AG22" i="9"/>
  <c r="H83" i="8" l="1"/>
  <c r="M199" i="1" l="1"/>
  <c r="B62" i="15"/>
  <c r="N63" i="15"/>
  <c r="K199" i="1" s="1"/>
  <c r="B61" i="15"/>
  <c r="B60" i="15"/>
  <c r="M62" i="15" l="1"/>
  <c r="P64" i="15"/>
  <c r="N62" i="15" l="1"/>
  <c r="J199" i="1" s="1"/>
  <c r="L199" i="1"/>
  <c r="N199" i="1" s="1"/>
  <c r="P63" i="15"/>
  <c r="P62" i="15"/>
  <c r="S67" i="15" l="1"/>
  <c r="M195" i="1"/>
  <c r="K195" i="1"/>
  <c r="P61" i="15"/>
  <c r="V13" i="15"/>
  <c r="V24" i="15"/>
  <c r="V32" i="15"/>
  <c r="V44" i="15"/>
  <c r="V53" i="15"/>
  <c r="V63" i="15"/>
  <c r="U62" i="15" l="1"/>
  <c r="L195" i="1" s="1"/>
  <c r="N195" i="1" s="1"/>
  <c r="V62" i="15" l="1"/>
  <c r="J195" i="1" s="1"/>
  <c r="F54" i="8"/>
  <c r="F22" i="8"/>
  <c r="M191" i="1" l="1"/>
  <c r="X71" i="15"/>
  <c r="X76" i="15" s="1"/>
  <c r="X70" i="15"/>
  <c r="AF71" i="15"/>
  <c r="AG72" i="15"/>
  <c r="K191" i="1" s="1"/>
  <c r="Y76" i="15" l="1"/>
  <c r="AB76" i="15" s="1"/>
  <c r="X75" i="15"/>
  <c r="Y75" i="15"/>
  <c r="L191" i="1"/>
  <c r="N191" i="1" s="1"/>
  <c r="AG71" i="15"/>
  <c r="J191" i="1" s="1"/>
  <c r="M187" i="1"/>
  <c r="AB75" i="15" l="1"/>
  <c r="M183" i="1"/>
  <c r="M179" i="1"/>
  <c r="M175" i="1"/>
  <c r="X62" i="15"/>
  <c r="AG63" i="15"/>
  <c r="K187" i="1" s="1"/>
  <c r="X61" i="15"/>
  <c r="X60" i="15"/>
  <c r="AF62" i="15" s="1"/>
  <c r="X51" i="15"/>
  <c r="AG53" i="15"/>
  <c r="K183" i="1" s="1"/>
  <c r="X50" i="15"/>
  <c r="X52" i="15"/>
  <c r="AG44" i="15"/>
  <c r="K179" i="1" s="1"/>
  <c r="X43" i="15"/>
  <c r="X42" i="15"/>
  <c r="X41" i="15"/>
  <c r="AF43" i="15" s="1"/>
  <c r="AI1" i="2"/>
  <c r="AH1" i="2"/>
  <c r="AG1" i="2"/>
  <c r="AF1" i="2"/>
  <c r="AE1" i="2"/>
  <c r="AB66" i="15" l="1"/>
  <c r="AB67" i="15"/>
  <c r="AA47" i="15"/>
  <c r="AA57" i="15"/>
  <c r="AA56" i="15"/>
  <c r="AA55" i="15"/>
  <c r="AA48" i="15"/>
  <c r="AA58" i="15"/>
  <c r="AB65" i="15"/>
  <c r="L179" i="1"/>
  <c r="N179" i="1" s="1"/>
  <c r="AG43" i="15"/>
  <c r="J179" i="1" s="1"/>
  <c r="L187" i="1"/>
  <c r="N187" i="1" s="1"/>
  <c r="AG62" i="15"/>
  <c r="J187" i="1" s="1"/>
  <c r="AF52" i="15"/>
  <c r="AG35" i="15"/>
  <c r="K175" i="1" s="1"/>
  <c r="X33" i="15"/>
  <c r="X34" i="15"/>
  <c r="X32" i="15"/>
  <c r="AF34" i="15" s="1"/>
  <c r="M171" i="1"/>
  <c r="AG24" i="15"/>
  <c r="K171" i="1" s="1"/>
  <c r="X21" i="15"/>
  <c r="X23" i="15"/>
  <c r="X22" i="15"/>
  <c r="AB30" i="15" l="1"/>
  <c r="AA38" i="15"/>
  <c r="AB28" i="15"/>
  <c r="AB29" i="15"/>
  <c r="AA37" i="15"/>
  <c r="AG34" i="15"/>
  <c r="J175" i="1" s="1"/>
  <c r="L175" i="1"/>
  <c r="N175" i="1" s="1"/>
  <c r="AG52" i="15"/>
  <c r="J183" i="1" s="1"/>
  <c r="L183" i="1"/>
  <c r="N183" i="1" s="1"/>
  <c r="AF23" i="15"/>
  <c r="AG23" i="15" s="1"/>
  <c r="J171" i="1" s="1"/>
  <c r="M167" i="1"/>
  <c r="AG5" i="15"/>
  <c r="K167" i="1" s="1"/>
  <c r="L171" i="1" l="1"/>
  <c r="N171" i="1" s="1"/>
  <c r="X6" i="15"/>
  <c r="Y15" i="15" s="1"/>
  <c r="X5" i="15"/>
  <c r="X15" i="15" s="1"/>
  <c r="X4" i="15"/>
  <c r="X3" i="15"/>
  <c r="AB11" i="15" s="1"/>
  <c r="X2" i="15"/>
  <c r="AC11" i="15" l="1"/>
  <c r="Y16" i="15"/>
  <c r="X16" i="15"/>
  <c r="Z15" i="15"/>
  <c r="X9" i="15" s="1"/>
  <c r="Z16" i="15" l="1"/>
  <c r="AD11" i="15"/>
  <c r="AB12" i="15"/>
  <c r="AE12" i="15" l="1"/>
  <c r="AC12" i="15"/>
  <c r="AD12" i="15" s="1"/>
  <c r="AF12" i="15"/>
  <c r="AE11" i="15"/>
  <c r="AF11" i="15"/>
  <c r="AG11" i="15" l="1"/>
  <c r="AG12" i="15"/>
  <c r="AF4" i="15" l="1"/>
  <c r="L167" i="1" s="1"/>
  <c r="N167" i="1" s="1"/>
  <c r="AG4" i="15" l="1"/>
  <c r="J167" i="1" s="1"/>
  <c r="B54" i="8"/>
  <c r="B3" i="8"/>
  <c r="C3" i="8"/>
  <c r="A26" i="8" l="1"/>
  <c r="C29" i="8" s="1"/>
  <c r="B22" i="8"/>
  <c r="C31" i="8" s="1"/>
  <c r="B23" i="8"/>
  <c r="B47" i="8" l="1"/>
  <c r="B43" i="8"/>
  <c r="B39" i="8"/>
  <c r="B44" i="8"/>
  <c r="B50" i="8"/>
  <c r="B46" i="8"/>
  <c r="B42" i="8"/>
  <c r="B38" i="8"/>
  <c r="B48" i="8"/>
  <c r="B49" i="8"/>
  <c r="B45" i="8"/>
  <c r="B41" i="8"/>
  <c r="B40" i="8"/>
  <c r="M147" i="1"/>
  <c r="M163" i="1"/>
  <c r="P51" i="15" l="1"/>
  <c r="P50" i="15"/>
  <c r="P42" i="15"/>
  <c r="P52" i="15"/>
  <c r="K163" i="1"/>
  <c r="M159" i="1"/>
  <c r="P43" i="15"/>
  <c r="P41" i="15"/>
  <c r="U52" i="15" l="1"/>
  <c r="V52" i="15" s="1"/>
  <c r="U43" i="15"/>
  <c r="K159" i="1"/>
  <c r="L159" i="1" l="1"/>
  <c r="N159" i="1" s="1"/>
  <c r="V43" i="15"/>
  <c r="J159" i="1" s="1"/>
  <c r="J163" i="1"/>
  <c r="L163" i="1"/>
  <c r="N163" i="1" s="1"/>
  <c r="M155" i="1"/>
  <c r="K155" i="1" l="1"/>
  <c r="P32" i="15"/>
  <c r="P31" i="15"/>
  <c r="P30" i="15"/>
  <c r="M151" i="1"/>
  <c r="K151" i="1"/>
  <c r="P22" i="15"/>
  <c r="U31" i="15" l="1"/>
  <c r="P21" i="15"/>
  <c r="U23" i="15" s="1"/>
  <c r="V23" i="15" s="1"/>
  <c r="V31" i="15" l="1"/>
  <c r="J155" i="1" s="1"/>
  <c r="L155" i="1"/>
  <c r="N155" i="1" s="1"/>
  <c r="L151" i="1"/>
  <c r="N151" i="1" s="1"/>
  <c r="J151" i="1"/>
  <c r="P13" i="15"/>
  <c r="P12" i="15" l="1"/>
  <c r="K147" i="1"/>
  <c r="P11" i="15"/>
  <c r="P10" i="15"/>
  <c r="M143" i="1"/>
  <c r="U12" i="15" l="1"/>
  <c r="V12" i="15" s="1"/>
  <c r="V5" i="15"/>
  <c r="K143" i="1" s="1"/>
  <c r="P3" i="15"/>
  <c r="P2" i="15"/>
  <c r="J147" i="1" l="1"/>
  <c r="L147" i="1"/>
  <c r="N147" i="1" s="1"/>
  <c r="U4" i="15"/>
  <c r="L143" i="1" s="1"/>
  <c r="N143" i="1" s="1"/>
  <c r="V4" i="15" l="1"/>
  <c r="J143" i="1" s="1"/>
  <c r="M139" i="1"/>
  <c r="N53" i="15"/>
  <c r="K139" i="1" s="1"/>
  <c r="B40" i="15"/>
  <c r="B51" i="15" l="1"/>
  <c r="B54" i="15" s="1"/>
  <c r="M52" i="15" s="1"/>
  <c r="L139" i="1" l="1"/>
  <c r="N139" i="1" s="1"/>
  <c r="N52" i="15"/>
  <c r="M135" i="1"/>
  <c r="M132" i="1"/>
  <c r="B44" i="15"/>
  <c r="N43" i="15"/>
  <c r="K135" i="1" s="1"/>
  <c r="J139" i="1" l="1"/>
  <c r="N55" i="15"/>
  <c r="N39" i="15"/>
  <c r="K132" i="1" s="1"/>
  <c r="B37" i="15"/>
  <c r="B38" i="15"/>
  <c r="B39" i="15"/>
  <c r="B36" i="15"/>
  <c r="B28" i="15"/>
  <c r="M128" i="1"/>
  <c r="N29" i="15"/>
  <c r="K128" i="1" s="1"/>
  <c r="B27" i="15"/>
  <c r="B26" i="15"/>
  <c r="M124" i="1"/>
  <c r="N5" i="15"/>
  <c r="K124" i="1" s="1"/>
  <c r="B6" i="15"/>
  <c r="B5" i="15"/>
  <c r="R5" i="13"/>
  <c r="M28" i="15" l="1"/>
  <c r="N28" i="15" s="1"/>
  <c r="J128" i="1" s="1"/>
  <c r="M42" i="15"/>
  <c r="M38" i="15"/>
  <c r="L132" i="1" s="1"/>
  <c r="N132" i="1" s="1"/>
  <c r="L128" i="1" l="1"/>
  <c r="N128" i="1" s="1"/>
  <c r="N42" i="15"/>
  <c r="J135" i="1" s="1"/>
  <c r="L135" i="1"/>
  <c r="N135" i="1" s="1"/>
  <c r="N38" i="15"/>
  <c r="J132" i="1" s="1"/>
  <c r="B4" i="15" l="1"/>
  <c r="B3" i="15"/>
  <c r="B2" i="15"/>
  <c r="B9" i="15" l="1"/>
  <c r="B10" i="15" s="1"/>
  <c r="D9" i="15" s="1"/>
  <c r="M4" i="15" s="1"/>
  <c r="N4" i="15" l="1"/>
  <c r="J124" i="1" s="1"/>
  <c r="L124" i="1"/>
  <c r="N124" i="1" s="1"/>
  <c r="B25" i="8"/>
  <c r="B56" i="8"/>
  <c r="C25" i="8" l="1"/>
  <c r="B5" i="8"/>
  <c r="B4" i="8"/>
  <c r="D3" i="8" l="1"/>
  <c r="A7" i="8"/>
  <c r="D78" i="8" s="1"/>
  <c r="B24" i="8"/>
  <c r="B29" i="8" s="1"/>
  <c r="B32" i="8" s="1"/>
  <c r="B55" i="8"/>
  <c r="D79" i="8" l="1"/>
  <c r="C33" i="8"/>
  <c r="F38" i="8" s="1"/>
  <c r="F10" i="8"/>
  <c r="C39" i="8"/>
  <c r="C40" i="8"/>
  <c r="C45" i="8"/>
  <c r="C47" i="8"/>
  <c r="C41" i="8"/>
  <c r="C42" i="8"/>
  <c r="C43" i="8"/>
  <c r="C44" i="8"/>
  <c r="C49" i="8"/>
  <c r="C48" i="8"/>
  <c r="C46" i="8"/>
  <c r="C50" i="8"/>
  <c r="C38" i="8"/>
  <c r="H3" i="8"/>
  <c r="H25" i="8" s="1"/>
  <c r="G3" i="8"/>
  <c r="G5" i="8" l="1"/>
  <c r="O56" i="8"/>
  <c r="P57" i="8" s="1"/>
  <c r="I25" i="8"/>
  <c r="F55" i="8"/>
  <c r="F23" i="8"/>
  <c r="J4" i="1"/>
  <c r="P6" i="1"/>
  <c r="R4" i="1"/>
  <c r="F41" i="8"/>
  <c r="C59" i="8"/>
  <c r="B68" i="8"/>
  <c r="B67" i="8"/>
  <c r="B70" i="8"/>
  <c r="B66" i="8"/>
  <c r="B69" i="8"/>
  <c r="C51" i="8"/>
  <c r="F37" i="8" s="1"/>
  <c r="I3" i="8"/>
  <c r="C55" i="8"/>
  <c r="P59" i="8" l="1"/>
  <c r="P58" i="8"/>
  <c r="P60" i="8" s="1"/>
  <c r="F68" i="8"/>
  <c r="B79" i="8" s="1"/>
  <c r="M6" i="1" s="1"/>
  <c r="B59" i="8"/>
  <c r="B62" i="8" s="1"/>
  <c r="S6" i="1"/>
  <c r="R6" i="1"/>
  <c r="F40" i="8"/>
  <c r="F71" i="8" l="1"/>
  <c r="B82" i="8"/>
  <c r="K6" i="1" s="1"/>
  <c r="C67" i="8"/>
  <c r="C66" i="8"/>
  <c r="C69" i="8"/>
  <c r="C68" i="8"/>
  <c r="C70" i="8"/>
  <c r="F42" i="8"/>
  <c r="C71" i="8" l="1"/>
  <c r="F67" i="8" s="1"/>
  <c r="B78" i="8" l="1"/>
  <c r="L6" i="1" s="1"/>
  <c r="N6" i="1" s="1"/>
  <c r="F70" i="8"/>
  <c r="F72" i="8" s="1"/>
  <c r="H4" i="12"/>
  <c r="H11" i="12" s="1"/>
  <c r="B81" i="8" l="1"/>
  <c r="B83" i="8" s="1"/>
  <c r="C2" i="10"/>
  <c r="B9" i="10" s="1"/>
  <c r="G44" i="10" s="1"/>
  <c r="B8" i="10"/>
  <c r="O40" i="10"/>
  <c r="O34" i="10"/>
  <c r="O35" i="10"/>
  <c r="O36" i="10"/>
  <c r="O37" i="10"/>
  <c r="O38" i="10"/>
  <c r="O39" i="10"/>
  <c r="Q4" i="10"/>
  <c r="K120" i="1"/>
  <c r="K116" i="1"/>
  <c r="R33" i="11"/>
  <c r="I33" i="11"/>
  <c r="J6" i="1" l="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36" i="11"/>
  <c r="D51" i="11" l="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I40" i="10"/>
  <c r="I39" i="10"/>
  <c r="I38" i="10"/>
  <c r="I37" i="10"/>
  <c r="I36" i="10"/>
  <c r="I35" i="10"/>
  <c r="I34" i="10"/>
  <c r="H34" i="10"/>
  <c r="G40" i="10"/>
  <c r="G39" i="10"/>
  <c r="G38" i="10"/>
  <c r="G37" i="10"/>
  <c r="G36" i="10"/>
  <c r="G35" i="10"/>
  <c r="S98" i="1" l="1"/>
  <c r="H35" i="10"/>
  <c r="H36" i="10" s="1"/>
  <c r="M104" i="1"/>
  <c r="Y2" i="10"/>
  <c r="W9" i="10" s="1"/>
  <c r="K104" i="1" s="1"/>
  <c r="Q8" i="10"/>
  <c r="Q7" i="10"/>
  <c r="S7" i="10" s="1"/>
  <c r="Q6" i="10"/>
  <c r="S6" i="10" s="1"/>
  <c r="H37" i="10" l="1"/>
  <c r="H38" i="10" l="1"/>
  <c r="H39" i="10" s="1"/>
  <c r="H40" i="10" s="1"/>
  <c r="R34" i="10" l="1"/>
  <c r="R35" i="10"/>
  <c r="R36" i="10"/>
  <c r="R40" i="10"/>
  <c r="U40" i="10" s="1"/>
  <c r="R38" i="10"/>
  <c r="U38" i="10" s="1"/>
  <c r="R39" i="10"/>
  <c r="U39" i="10" s="1"/>
  <c r="R37" i="10"/>
  <c r="O37" i="8"/>
  <c r="S40" i="8"/>
  <c r="M34" i="1" s="1"/>
  <c r="O40" i="8" l="1"/>
  <c r="O42" i="8" s="1"/>
  <c r="O44" i="8" s="1"/>
  <c r="S39" i="8" s="1"/>
  <c r="L34" i="1" l="1"/>
  <c r="N34" i="1" s="1"/>
  <c r="M101" i="1"/>
  <c r="AH2" i="10"/>
  <c r="AH9" i="10" s="1"/>
  <c r="K101" i="1" s="1"/>
  <c r="AA4" i="10"/>
  <c r="Q5" i="10"/>
  <c r="Q3" i="10" l="1"/>
  <c r="B6" i="10"/>
  <c r="AA3" i="10"/>
  <c r="AA2" i="10"/>
  <c r="Q2" i="10"/>
  <c r="K32" i="11"/>
  <c r="K31" i="11"/>
  <c r="K30" i="11"/>
  <c r="B32" i="11"/>
  <c r="B31" i="11"/>
  <c r="B30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91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M112" i="1"/>
  <c r="Q2" i="11"/>
  <c r="P9" i="11" s="1"/>
  <c r="K112" i="1" s="1"/>
  <c r="K4" i="11"/>
  <c r="K3" i="11"/>
  <c r="K2" i="11"/>
  <c r="K11" i="11" s="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Q9" i="10" l="1"/>
  <c r="V8" i="10" s="1"/>
  <c r="E93" i="11"/>
  <c r="E101" i="11"/>
  <c r="E97" i="11"/>
  <c r="E105" i="11"/>
  <c r="L82" i="11"/>
  <c r="L78" i="11"/>
  <c r="L74" i="11"/>
  <c r="L70" i="11"/>
  <c r="L66" i="11"/>
  <c r="L62" i="11"/>
  <c r="L58" i="11"/>
  <c r="L54" i="11"/>
  <c r="L50" i="11"/>
  <c r="L46" i="11"/>
  <c r="L42" i="11"/>
  <c r="L36" i="11"/>
  <c r="L76" i="11"/>
  <c r="L64" i="11"/>
  <c r="L56" i="11"/>
  <c r="L48" i="11"/>
  <c r="L75" i="11"/>
  <c r="L63" i="11"/>
  <c r="L47" i="11"/>
  <c r="L81" i="11"/>
  <c r="L77" i="11"/>
  <c r="L73" i="11"/>
  <c r="L69" i="11"/>
  <c r="L65" i="11"/>
  <c r="L61" i="11"/>
  <c r="L57" i="11"/>
  <c r="L53" i="11"/>
  <c r="L49" i="11"/>
  <c r="L45" i="11"/>
  <c r="L80" i="11"/>
  <c r="L72" i="11"/>
  <c r="L68" i="11"/>
  <c r="L60" i="11"/>
  <c r="L52" i="11"/>
  <c r="L44" i="11"/>
  <c r="L38" i="11"/>
  <c r="L79" i="11"/>
  <c r="L71" i="11"/>
  <c r="L67" i="11"/>
  <c r="L59" i="11"/>
  <c r="L55" i="11"/>
  <c r="L51" i="11"/>
  <c r="L43" i="11"/>
  <c r="L37" i="11"/>
  <c r="C44" i="11"/>
  <c r="C39" i="11"/>
  <c r="C51" i="11"/>
  <c r="C47" i="11"/>
  <c r="C43" i="11"/>
  <c r="C38" i="11"/>
  <c r="C50" i="11"/>
  <c r="C42" i="11"/>
  <c r="C37" i="11"/>
  <c r="C41" i="11" s="1"/>
  <c r="C49" i="11"/>
  <c r="C45" i="11"/>
  <c r="C40" i="11"/>
  <c r="C36" i="11"/>
  <c r="N117" i="11"/>
  <c r="N107" i="11"/>
  <c r="N136" i="11"/>
  <c r="N132" i="11"/>
  <c r="N128" i="11"/>
  <c r="N124" i="11"/>
  <c r="N120" i="11"/>
  <c r="N116" i="11"/>
  <c r="N112" i="11"/>
  <c r="N108" i="11"/>
  <c r="N104" i="11"/>
  <c r="N100" i="11"/>
  <c r="N96" i="11"/>
  <c r="N92" i="11"/>
  <c r="N105" i="11"/>
  <c r="N135" i="11"/>
  <c r="N131" i="11"/>
  <c r="N127" i="11"/>
  <c r="N119" i="11"/>
  <c r="N115" i="11"/>
  <c r="N111" i="11"/>
  <c r="N103" i="11"/>
  <c r="N99" i="11"/>
  <c r="N95" i="11"/>
  <c r="Q32" i="11" s="1"/>
  <c r="N137" i="11"/>
  <c r="E91" i="11"/>
  <c r="E95" i="11"/>
  <c r="E99" i="11"/>
  <c r="E103" i="11"/>
  <c r="H32" i="11" s="1"/>
  <c r="I32" i="11" s="1"/>
  <c r="J116" i="1" s="1"/>
  <c r="N91" i="11"/>
  <c r="N134" i="11"/>
  <c r="N130" i="11"/>
  <c r="N126" i="11"/>
  <c r="N122" i="11"/>
  <c r="N118" i="11"/>
  <c r="N114" i="11"/>
  <c r="N110" i="11"/>
  <c r="N106" i="11"/>
  <c r="N102" i="11"/>
  <c r="N98" i="11"/>
  <c r="N94" i="11"/>
  <c r="N123" i="11"/>
  <c r="E92" i="11"/>
  <c r="E96" i="11"/>
  <c r="E100" i="11"/>
  <c r="E104" i="11"/>
  <c r="AD8" i="10"/>
  <c r="AB11" i="10"/>
  <c r="AB9" i="10"/>
  <c r="AB10" i="10"/>
  <c r="AB6" i="10"/>
  <c r="E94" i="11"/>
  <c r="E98" i="11"/>
  <c r="E102" i="11"/>
  <c r="E106" i="11"/>
  <c r="N133" i="11"/>
  <c r="N129" i="11"/>
  <c r="N125" i="11"/>
  <c r="N121" i="11"/>
  <c r="N113" i="11"/>
  <c r="N109" i="11"/>
  <c r="N101" i="11"/>
  <c r="N97" i="11"/>
  <c r="N93" i="11"/>
  <c r="K7" i="11"/>
  <c r="K10" i="11" s="1"/>
  <c r="K12" i="11" s="1"/>
  <c r="O8" i="11" s="1"/>
  <c r="L39" i="11" l="1"/>
  <c r="L40" i="11" s="1"/>
  <c r="W8" i="10"/>
  <c r="J104" i="1" s="1"/>
  <c r="L104" i="1"/>
  <c r="N104" i="1" s="1"/>
  <c r="L120" i="1"/>
  <c r="N120" i="1" s="1"/>
  <c r="R32" i="11"/>
  <c r="J120" i="1" s="1"/>
  <c r="E58" i="11"/>
  <c r="L116" i="1" s="1"/>
  <c r="N116" i="1" s="1"/>
  <c r="C46" i="11"/>
  <c r="AB8" i="10"/>
  <c r="AB7" i="10"/>
  <c r="L112" i="1"/>
  <c r="N112" i="1" s="1"/>
  <c r="P8" i="11"/>
  <c r="J112" i="1" s="1"/>
  <c r="O36" i="11" l="1"/>
  <c r="P36" i="11" s="1"/>
  <c r="O37" i="11"/>
  <c r="P37" i="11" s="1"/>
  <c r="L41" i="11"/>
  <c r="O50" i="11" s="1"/>
  <c r="P50" i="11" s="1"/>
  <c r="C48" i="11"/>
  <c r="F36" i="11" s="1"/>
  <c r="G36" i="11" s="1"/>
  <c r="AB14" i="10"/>
  <c r="AG8" i="10" s="1"/>
  <c r="L101" i="1" s="1"/>
  <c r="N101" i="1" s="1"/>
  <c r="AB15" i="10"/>
  <c r="H2" i="11"/>
  <c r="G9" i="11" s="1"/>
  <c r="K108" i="1" s="1"/>
  <c r="M108" i="1"/>
  <c r="B2" i="11"/>
  <c r="B3" i="11"/>
  <c r="B4" i="11"/>
  <c r="B5" i="11"/>
  <c r="B11" i="11" s="1"/>
  <c r="O41" i="11" l="1"/>
  <c r="P41" i="11" s="1"/>
  <c r="O44" i="11"/>
  <c r="P44" i="11" s="1"/>
  <c r="O42" i="11"/>
  <c r="P42" i="11" s="1"/>
  <c r="O51" i="11"/>
  <c r="P51" i="11" s="1"/>
  <c r="O49" i="11"/>
  <c r="P49" i="11" s="1"/>
  <c r="O47" i="11"/>
  <c r="P47" i="11" s="1"/>
  <c r="F51" i="11"/>
  <c r="G51" i="11" s="1"/>
  <c r="O39" i="11"/>
  <c r="P39" i="11" s="1"/>
  <c r="O52" i="11"/>
  <c r="P52" i="11" s="1"/>
  <c r="F50" i="11"/>
  <c r="G50" i="11" s="1"/>
  <c r="F47" i="11"/>
  <c r="G47" i="11" s="1"/>
  <c r="F40" i="11"/>
  <c r="G40" i="11" s="1"/>
  <c r="O40" i="11"/>
  <c r="P40" i="11" s="1"/>
  <c r="O48" i="11"/>
  <c r="P48" i="11" s="1"/>
  <c r="O45" i="11"/>
  <c r="P45" i="11" s="1"/>
  <c r="O43" i="11"/>
  <c r="P43" i="11" s="1"/>
  <c r="O46" i="11"/>
  <c r="P46" i="11" s="1"/>
  <c r="O38" i="11"/>
  <c r="P38" i="11" s="1"/>
  <c r="F39" i="11"/>
  <c r="G39" i="11" s="1"/>
  <c r="F52" i="11"/>
  <c r="G52" i="11" s="1"/>
  <c r="F45" i="11"/>
  <c r="G45" i="11" s="1"/>
  <c r="F44" i="11"/>
  <c r="G44" i="11" s="1"/>
  <c r="F38" i="11"/>
  <c r="G38" i="11" s="1"/>
  <c r="F37" i="11"/>
  <c r="G37" i="11" s="1"/>
  <c r="F49" i="11"/>
  <c r="G49" i="11" s="1"/>
  <c r="F46" i="11"/>
  <c r="G46" i="11" s="1"/>
  <c r="F42" i="11"/>
  <c r="G42" i="11" s="1"/>
  <c r="F41" i="11"/>
  <c r="G41" i="11" s="1"/>
  <c r="F48" i="11"/>
  <c r="G48" i="11" s="1"/>
  <c r="F43" i="11"/>
  <c r="G43" i="11" s="1"/>
  <c r="AH8" i="10"/>
  <c r="J101" i="1" s="1"/>
  <c r="B8" i="11"/>
  <c r="B10" i="11" s="1"/>
  <c r="B12" i="11" s="1"/>
  <c r="F8" i="11" s="1"/>
  <c r="G8" i="11" l="1"/>
  <c r="J108" i="1" s="1"/>
  <c r="L108" i="1"/>
  <c r="N108" i="1" s="1"/>
  <c r="M51" i="1" l="1"/>
  <c r="P94" i="1" l="1"/>
  <c r="M94" i="1"/>
  <c r="X2" i="13"/>
  <c r="Y11" i="13" s="1"/>
  <c r="K94" i="1" s="1"/>
  <c r="R6" i="13"/>
  <c r="R4" i="13"/>
  <c r="M89" i="1"/>
  <c r="R11" i="13" l="1"/>
  <c r="R10" i="13"/>
  <c r="R3" i="13"/>
  <c r="R2" i="13"/>
  <c r="P2" i="13"/>
  <c r="P14" i="13" s="1"/>
  <c r="K89" i="1" s="1"/>
  <c r="J2" i="13"/>
  <c r="J5" i="13"/>
  <c r="J4" i="13"/>
  <c r="J3" i="13"/>
  <c r="R8" i="13" l="1"/>
  <c r="R13" i="13" s="1"/>
  <c r="R15" i="13" s="1"/>
  <c r="V10" i="13" s="1"/>
  <c r="X10" i="13" s="1"/>
  <c r="J7" i="13"/>
  <c r="J9" i="13" s="1"/>
  <c r="J13" i="13"/>
  <c r="J12" i="13"/>
  <c r="J10" i="13"/>
  <c r="L94" i="1" l="1"/>
  <c r="N94" i="1" s="1"/>
  <c r="Z10" i="13"/>
  <c r="O94" i="1" s="1"/>
  <c r="J14" i="13"/>
  <c r="O13" i="13" s="1"/>
  <c r="Y10" i="13"/>
  <c r="J94" i="1" s="1"/>
  <c r="G2" i="13"/>
  <c r="B6" i="13"/>
  <c r="F10" i="13" s="1"/>
  <c r="M85" i="1" s="1"/>
  <c r="B5" i="13"/>
  <c r="B37" i="12"/>
  <c r="B50" i="12" s="1"/>
  <c r="B4" i="13"/>
  <c r="B3" i="13"/>
  <c r="B2" i="13"/>
  <c r="B7" i="13" s="1"/>
  <c r="B12" i="13" l="1"/>
  <c r="B9" i="13"/>
  <c r="B10" i="13"/>
  <c r="P13" i="13"/>
  <c r="J89" i="1" s="1"/>
  <c r="L89" i="1"/>
  <c r="N89" i="1" s="1"/>
  <c r="G10" i="13"/>
  <c r="K85" i="1" s="1"/>
  <c r="B13" i="13" l="1"/>
  <c r="F9" i="13" s="1"/>
  <c r="L85" i="1" s="1"/>
  <c r="N85" i="1" s="1"/>
  <c r="M81" i="1"/>
  <c r="F37" i="12"/>
  <c r="E53" i="12" s="1"/>
  <c r="K81" i="1" s="1"/>
  <c r="G9" i="13" l="1"/>
  <c r="J85" i="1" s="1"/>
  <c r="P4" i="9"/>
  <c r="Q13" i="9" s="1"/>
  <c r="P6" i="9"/>
  <c r="M29" i="1"/>
  <c r="O9" i="8"/>
  <c r="O3" i="8"/>
  <c r="H4" i="8"/>
  <c r="B4" i="12"/>
  <c r="AD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B1" i="2"/>
  <c r="B3" i="10"/>
  <c r="B2" i="10"/>
  <c r="B40" i="12"/>
  <c r="H3" i="12"/>
  <c r="H2" i="12"/>
  <c r="K31" i="10" l="1"/>
  <c r="M6" i="8"/>
  <c r="M8" i="8" s="1"/>
  <c r="L25" i="8"/>
  <c r="L21" i="8" s="1"/>
  <c r="L10" i="8" s="1"/>
  <c r="B9" i="12"/>
  <c r="H6" i="12"/>
  <c r="H7" i="12" s="1"/>
  <c r="I5" i="9"/>
  <c r="B41" i="12" l="1"/>
  <c r="B42" i="12" s="1"/>
  <c r="B38" i="12"/>
  <c r="B5" i="9" l="1"/>
  <c r="B4" i="9"/>
  <c r="B39" i="12"/>
  <c r="B49" i="12" s="1"/>
  <c r="B52" i="12" s="1"/>
  <c r="D52" i="12" s="1"/>
  <c r="B7" i="10"/>
  <c r="L81" i="1" l="1"/>
  <c r="N81" i="1" s="1"/>
  <c r="E52" i="12"/>
  <c r="J81" i="1" s="1"/>
  <c r="C4" i="10"/>
  <c r="J34" i="10" s="1"/>
  <c r="L34" i="10" s="1"/>
  <c r="R76" i="1" l="1"/>
  <c r="P76" i="1"/>
  <c r="A34" i="10" l="1"/>
  <c r="N34" i="10"/>
  <c r="J37" i="10"/>
  <c r="J38" i="10"/>
  <c r="J35" i="10"/>
  <c r="J39" i="10"/>
  <c r="J36" i="10"/>
  <c r="J40" i="10"/>
  <c r="R98" i="1" s="1"/>
  <c r="L37" i="12"/>
  <c r="L50" i="12" s="1"/>
  <c r="K76" i="1" s="1"/>
  <c r="H39" i="12"/>
  <c r="I51" i="12" s="1"/>
  <c r="H38" i="12"/>
  <c r="K46" i="12" s="1"/>
  <c r="H37" i="12"/>
  <c r="L40" i="10" l="1"/>
  <c r="A40" i="10" s="1"/>
  <c r="N40" i="10"/>
  <c r="L38" i="10"/>
  <c r="A38" i="10" s="1"/>
  <c r="N38" i="10"/>
  <c r="L36" i="10"/>
  <c r="A36" i="10" s="1"/>
  <c r="N36" i="10"/>
  <c r="L37" i="10"/>
  <c r="A37" i="10" s="1"/>
  <c r="N37" i="10"/>
  <c r="L39" i="10"/>
  <c r="A39" i="10" s="1"/>
  <c r="N39" i="10"/>
  <c r="L35" i="10"/>
  <c r="A35" i="10" s="1"/>
  <c r="N35" i="10"/>
  <c r="I50" i="12"/>
  <c r="M76" i="1"/>
  <c r="K54" i="12"/>
  <c r="O76" i="1" s="1"/>
  <c r="I49" i="12"/>
  <c r="I48" i="12"/>
  <c r="I46" i="12"/>
  <c r="I47" i="12"/>
  <c r="M70" i="1"/>
  <c r="L27" i="12"/>
  <c r="L7" i="10" l="1"/>
  <c r="L8" i="10" s="1"/>
  <c r="L54" i="12"/>
  <c r="Q76" i="1" s="1"/>
  <c r="I53" i="12"/>
  <c r="K49" i="12" s="1"/>
  <c r="L49" i="12" s="1"/>
  <c r="J76" i="1" s="1"/>
  <c r="L30" i="12"/>
  <c r="K70" i="1" s="1"/>
  <c r="K7" i="10" l="1"/>
  <c r="L98" i="1" s="1"/>
  <c r="N98" i="1" s="1"/>
  <c r="K8" i="10"/>
  <c r="M98" i="1" s="1"/>
  <c r="J98" i="1"/>
  <c r="K98" i="1"/>
  <c r="L76" i="1"/>
  <c r="N76" i="1" s="1"/>
  <c r="H27" i="12"/>
  <c r="H28" i="12"/>
  <c r="K29" i="12" l="1"/>
  <c r="L29" i="12" s="1"/>
  <c r="J70" i="1" s="1"/>
  <c r="F16" i="12"/>
  <c r="B18" i="12"/>
  <c r="C22" i="12" s="1"/>
  <c r="B17" i="12"/>
  <c r="C28" i="12" s="1"/>
  <c r="B16" i="12"/>
  <c r="L70" i="1" l="1"/>
  <c r="N70" i="1" s="1"/>
  <c r="C23" i="12"/>
  <c r="C21" i="12"/>
  <c r="C29" i="12"/>
  <c r="E26" i="12" s="1"/>
  <c r="E25" i="12" l="1"/>
  <c r="F25" i="12" s="1"/>
  <c r="J60" i="1" s="1"/>
  <c r="F26" i="12"/>
  <c r="K60" i="1" s="1"/>
  <c r="M60" i="1"/>
  <c r="M65" i="1"/>
  <c r="L60" i="1" l="1"/>
  <c r="N60" i="1" s="1"/>
  <c r="L2" i="12"/>
  <c r="L7" i="12" s="1"/>
  <c r="K65" i="1" s="1"/>
  <c r="H5" i="12"/>
  <c r="H12" i="12" l="1"/>
  <c r="H10" i="12"/>
  <c r="F2" i="12"/>
  <c r="F6" i="12" s="1"/>
  <c r="K56" i="1" s="1"/>
  <c r="M56" i="1"/>
  <c r="M47" i="1"/>
  <c r="M24" i="1"/>
  <c r="M15" i="1"/>
  <c r="H13" i="12" l="1"/>
  <c r="K6" i="12" s="1"/>
  <c r="U3" i="9"/>
  <c r="X18" i="9" s="1"/>
  <c r="K51" i="1" s="1"/>
  <c r="N3" i="9"/>
  <c r="N10" i="9" s="1"/>
  <c r="K47" i="1" s="1"/>
  <c r="T13" i="8"/>
  <c r="K29" i="1" s="1"/>
  <c r="M3" i="8"/>
  <c r="M11" i="8" s="1"/>
  <c r="K11" i="1" s="1"/>
  <c r="M39" i="8"/>
  <c r="K15" i="1" s="1"/>
  <c r="M51" i="8"/>
  <c r="M80" i="8"/>
  <c r="M88" i="8" s="1"/>
  <c r="B3" i="12"/>
  <c r="A9" i="12" s="1"/>
  <c r="B2" i="12"/>
  <c r="P5" i="9"/>
  <c r="P7" i="9" s="1"/>
  <c r="T13" i="9" s="1"/>
  <c r="W14" i="9" s="1"/>
  <c r="P3" i="9"/>
  <c r="V14" i="9" s="1"/>
  <c r="I8" i="9"/>
  <c r="I4" i="9"/>
  <c r="I3" i="9"/>
  <c r="H8" i="9" s="1"/>
  <c r="L65" i="1" l="1"/>
  <c r="N65" i="1" s="1"/>
  <c r="T40" i="8"/>
  <c r="K34" i="1" s="1"/>
  <c r="T39" i="8"/>
  <c r="J34" i="1" s="1"/>
  <c r="P8" i="9"/>
  <c r="H10" i="9"/>
  <c r="M9" i="9" s="1"/>
  <c r="E5" i="12"/>
  <c r="B9" i="9"/>
  <c r="B7" i="9"/>
  <c r="B8" i="9"/>
  <c r="B6" i="9"/>
  <c r="F15" i="9" s="1"/>
  <c r="B3" i="9"/>
  <c r="O10" i="8"/>
  <c r="O8" i="8"/>
  <c r="R24" i="8" s="1"/>
  <c r="O7" i="8"/>
  <c r="O6" i="8"/>
  <c r="O5" i="8"/>
  <c r="O4" i="8"/>
  <c r="J84" i="8"/>
  <c r="H82" i="8"/>
  <c r="H81" i="8"/>
  <c r="H80" i="8"/>
  <c r="H52" i="8"/>
  <c r="H53" i="8"/>
  <c r="I62" i="8" s="1"/>
  <c r="H51" i="8"/>
  <c r="F17" i="9" l="1"/>
  <c r="G17" i="9" s="1"/>
  <c r="E24" i="9"/>
  <c r="G34" i="9" s="1"/>
  <c r="F14" i="9"/>
  <c r="L87" i="8"/>
  <c r="M53" i="8"/>
  <c r="P9" i="9"/>
  <c r="T14" i="9"/>
  <c r="T15" i="9" s="1"/>
  <c r="L89" i="8"/>
  <c r="I72" i="8"/>
  <c r="L90" i="8"/>
  <c r="L6" i="12"/>
  <c r="J65" i="1" s="1"/>
  <c r="L47" i="1"/>
  <c r="N47" i="1" s="1"/>
  <c r="N9" i="9"/>
  <c r="J47" i="1" s="1"/>
  <c r="L56" i="1"/>
  <c r="N56" i="1" s="1"/>
  <c r="F5" i="12"/>
  <c r="J56" i="1" s="1"/>
  <c r="N13" i="8"/>
  <c r="Q24" i="8" s="1"/>
  <c r="I60" i="8"/>
  <c r="I63" i="8"/>
  <c r="L62" i="8"/>
  <c r="I58" i="8"/>
  <c r="F34" i="9" l="1"/>
  <c r="F16" i="9" s="1"/>
  <c r="P41" i="1"/>
  <c r="M62" i="8"/>
  <c r="Q15" i="9"/>
  <c r="Q14" i="9"/>
  <c r="O24" i="1"/>
  <c r="M89" i="8"/>
  <c r="P24" i="1"/>
  <c r="M90" i="8"/>
  <c r="K24" i="1" s="1"/>
  <c r="R12" i="8"/>
  <c r="J19" i="1"/>
  <c r="L19" i="1"/>
  <c r="N19" i="1" s="1"/>
  <c r="G14" i="9"/>
  <c r="L41" i="1"/>
  <c r="N41" i="1" s="1"/>
  <c r="G15" i="9"/>
  <c r="K41" i="1" s="1"/>
  <c r="M41" i="1"/>
  <c r="M87" i="8"/>
  <c r="L24" i="1"/>
  <c r="N24" i="1" s="1"/>
  <c r="S12" i="8"/>
  <c r="L29" i="1" s="1"/>
  <c r="N29" i="1" s="1"/>
  <c r="L63" i="8"/>
  <c r="I65" i="8"/>
  <c r="M11" i="1"/>
  <c r="G16" i="9" l="1"/>
  <c r="J41" i="1" s="1"/>
  <c r="O41" i="1"/>
  <c r="Q16" i="9"/>
  <c r="W17" i="9" s="1"/>
  <c r="X17" i="9" s="1"/>
  <c r="J51" i="1" s="1"/>
  <c r="J24" i="1"/>
  <c r="M63" i="8"/>
  <c r="K19" i="1" s="1"/>
  <c r="M19" i="1"/>
  <c r="T12" i="8"/>
  <c r="J29" i="1" s="1"/>
  <c r="H38" i="8"/>
  <c r="I39" i="8" s="1"/>
  <c r="H39" i="8" s="1"/>
  <c r="L38" i="8" s="1"/>
  <c r="H22" i="8" l="1"/>
  <c r="L51" i="1"/>
  <c r="N51" i="1" s="1"/>
  <c r="M38" i="8"/>
  <c r="J15" i="1" s="1"/>
  <c r="L15" i="1"/>
  <c r="N15" i="1" s="1"/>
  <c r="H23" i="8"/>
  <c r="H40" i="8"/>
  <c r="M10" i="8" l="1"/>
  <c r="J11" i="1" s="1"/>
  <c r="L11" i="1"/>
  <c r="N11" i="1" s="1"/>
  <c r="H21" i="10" l="1"/>
</calcChain>
</file>

<file path=xl/comments1.xml><?xml version="1.0" encoding="utf-8"?>
<comments xmlns="http://schemas.openxmlformats.org/spreadsheetml/2006/main">
  <authors>
    <author>Grzegorz Grubek</author>
  </authors>
  <commentList>
    <comment ref="E7" authorId="0" shapeId="0">
      <text>
        <r>
          <rPr>
            <b/>
            <sz val="9"/>
            <color indexed="81"/>
            <rFont val="Tahoma"/>
            <family val="2"/>
            <charset val="238"/>
          </rPr>
          <t>Grzegorz Grubek:</t>
        </r>
        <r>
          <rPr>
            <sz val="9"/>
            <color indexed="81"/>
            <rFont val="Tahoma"/>
            <family val="2"/>
            <charset val="238"/>
          </rPr>
          <t xml:space="preserve">
ponieważ zużycie jest 2,2 razy większe 54 m^2/kg / 25 m^/kg * 
4 ponieważ drukujemy po całości powierzchni, żeby pokryć surową powierzchnię
0,68*2,2*4=6zł</t>
        </r>
      </text>
    </comment>
  </commentList>
</comments>
</file>

<file path=xl/comments2.xml><?xml version="1.0" encoding="utf-8"?>
<comments xmlns="http://schemas.openxmlformats.org/spreadsheetml/2006/main">
  <authors>
    <author>Oksana Bogomaz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  <charset val="238"/>
          </rPr>
          <t>Oksana Bogomaz:</t>
        </r>
        <r>
          <rPr>
            <sz val="9"/>
            <color indexed="81"/>
            <rFont val="Tahoma"/>
            <family val="2"/>
            <charset val="238"/>
          </rPr>
          <t xml:space="preserve">
OB.: żmiany x na 00:01:00
</t>
        </r>
      </text>
    </comment>
    <comment ref="E24" authorId="0" shapeId="0">
      <text>
        <r>
          <rPr>
            <b/>
            <sz val="9"/>
            <color indexed="81"/>
            <rFont val="Tahoma"/>
            <family val="2"/>
            <charset val="238"/>
          </rPr>
          <t>Oksana Bogomaz:</t>
        </r>
        <r>
          <rPr>
            <sz val="9"/>
            <color indexed="81"/>
            <rFont val="Tahoma"/>
            <family val="2"/>
            <charset val="238"/>
          </rPr>
          <t xml:space="preserve">
OB.: żmiany x na 00:01:12</t>
        </r>
      </text>
    </comment>
  </commentList>
</comments>
</file>

<file path=xl/sharedStrings.xml><?xml version="1.0" encoding="utf-8"?>
<sst xmlns="http://schemas.openxmlformats.org/spreadsheetml/2006/main" count="4804" uniqueCount="1373">
  <si>
    <t>Materiał --&gt;</t>
  </si>
  <si>
    <t>Materiał</t>
  </si>
  <si>
    <t>ILOŚĆ PRZELOTÓW</t>
  </si>
  <si>
    <t>WIELKOŚĆ FORMATKI</t>
  </si>
  <si>
    <t>B0+</t>
  </si>
  <si>
    <t>B0</t>
  </si>
  <si>
    <t>B1</t>
  </si>
  <si>
    <t>B2</t>
  </si>
  <si>
    <t>B3</t>
  </si>
  <si>
    <t>B4</t>
  </si>
  <si>
    <t>Druk</t>
  </si>
  <si>
    <t>ATMA</t>
  </si>
  <si>
    <t>PRZEZBROJENIE</t>
  </si>
  <si>
    <t>FORMAT</t>
  </si>
  <si>
    <t>ZATOWAROWANIE</t>
  </si>
  <si>
    <t>POBRANIE FARB</t>
  </si>
  <si>
    <t>TRUDNE PASOWANIA
NAKŁADY DO 100szt.</t>
  </si>
  <si>
    <t>PAPIER, FOLIA, KARTON</t>
  </si>
  <si>
    <t>NAJAZD I POWRÓT STOŁU</t>
  </si>
  <si>
    <t>TWORZYWO</t>
  </si>
  <si>
    <t>ODBIERANIE FORMATEK</t>
  </si>
  <si>
    <t>Koszt przezbrojenia</t>
  </si>
  <si>
    <t>INSIGNIA</t>
  </si>
  <si>
    <t>MATERIAŁ</t>
  </si>
  <si>
    <t>PAPIER, FOLIA. KARTON</t>
  </si>
  <si>
    <t>NIE</t>
  </si>
  <si>
    <t>TAK</t>
  </si>
  <si>
    <t>RAPORTY PO PRODUKCJI</t>
  </si>
  <si>
    <t>Atma</t>
  </si>
  <si>
    <t>Insignia</t>
  </si>
  <si>
    <t>Indeks</t>
  </si>
  <si>
    <t>Nazwa</t>
  </si>
  <si>
    <t>Nazwa rozwinięta</t>
  </si>
  <si>
    <t>Jednostka miary</t>
  </si>
  <si>
    <t>FREZARKI</t>
  </si>
  <si>
    <t>PLOTER TNĄCY</t>
  </si>
  <si>
    <t>FORMATYZERKA</t>
  </si>
  <si>
    <t>GILOTYNA</t>
  </si>
  <si>
    <t>INFOTEC</t>
  </si>
  <si>
    <t>KASZEROWANIE</t>
  </si>
  <si>
    <t>LASER</t>
  </si>
  <si>
    <t>PLOTERY FREZUJĄCE</t>
  </si>
  <si>
    <t>SZTANCOWANIE</t>
  </si>
  <si>
    <t>TERMOFORMOWANIE</t>
  </si>
  <si>
    <t>PIŁA POZIOMA</t>
  </si>
  <si>
    <t>gr. 430</t>
  </si>
  <si>
    <t>Fala B jedn.bi</t>
  </si>
  <si>
    <t>Fala B szara</t>
  </si>
  <si>
    <t>gr. 422</t>
  </si>
  <si>
    <t>Fala BC</t>
  </si>
  <si>
    <t>gr.650</t>
  </si>
  <si>
    <t>Fala E dwust.bi</t>
  </si>
  <si>
    <t>gr. 400</t>
  </si>
  <si>
    <t>Fala E jedn.bi</t>
  </si>
  <si>
    <t xml:space="preserve">Fala E szara </t>
  </si>
  <si>
    <t>gr. 383</t>
  </si>
  <si>
    <t>Fala EB dwust.bi</t>
  </si>
  <si>
    <t>gr.730</t>
  </si>
  <si>
    <t>Fala EB jedn.bi</t>
  </si>
  <si>
    <t>Fala EB szara</t>
  </si>
  <si>
    <t>gr.616</t>
  </si>
  <si>
    <t>Fala BC szara</t>
  </si>
  <si>
    <t>gr. 1010</t>
  </si>
  <si>
    <t>Folia AVERY 4500 translucent</t>
  </si>
  <si>
    <t>Papier, Folia</t>
  </si>
  <si>
    <t>Folia AVERY 500 biała i czarna ( ekonimiczna)</t>
  </si>
  <si>
    <t>Folia AVERY 500 kolory ( ekonomiczna)</t>
  </si>
  <si>
    <t>PŁVKBBF-1,0X0,7</t>
  </si>
  <si>
    <t>Folia G-PET b/b p/p 1,0x700</t>
  </si>
  <si>
    <t>kg</t>
  </si>
  <si>
    <t>VIVAK/PET/TUPET/AXPET</t>
  </si>
  <si>
    <t>PODDFOBB-1,0X1,4</t>
  </si>
  <si>
    <t>Folia sito b/b błysk 1000x1400</t>
  </si>
  <si>
    <t>ark</t>
  </si>
  <si>
    <t>PODDFOBB-0,7X1,0</t>
  </si>
  <si>
    <t>Folia sito b/b błysk 700x1000</t>
  </si>
  <si>
    <t>PODDFOBP-1,0X1,4</t>
  </si>
  <si>
    <t>Folia sito biała błysk 1000x1400</t>
  </si>
  <si>
    <t>PODDFOBP-0,7X1,0</t>
  </si>
  <si>
    <t>Folia sito biała błysk 700x1000</t>
  </si>
  <si>
    <t>POMDFODD-1,05X50-P</t>
  </si>
  <si>
    <t>Folia solvent. Profiflex Pro poł 1,05x50</t>
  </si>
  <si>
    <t>POFODDTR-1,05X50</t>
  </si>
  <si>
    <t>Folia transportowa 1,0x50</t>
  </si>
  <si>
    <t>DRHL-B1-3-1</t>
  </si>
  <si>
    <t>HDF 3mm biała</t>
  </si>
  <si>
    <t>szt</t>
  </si>
  <si>
    <t>DRHL-CA-3-1</t>
  </si>
  <si>
    <t>HDF 3mm czarna</t>
  </si>
  <si>
    <t>DRHL-DR…</t>
  </si>
  <si>
    <t>HDF 3mm drewnopodobna</t>
  </si>
  <si>
    <t>DRHS-3-1</t>
  </si>
  <si>
    <t>HDF 3mm surowa</t>
  </si>
  <si>
    <t>POMATEKA-230-700-1000</t>
  </si>
  <si>
    <t>Karton Alaska 230g 700x1000</t>
  </si>
  <si>
    <t>POMATEKA-1000-1400-23</t>
  </si>
  <si>
    <t>Karton GD2 gr 230 1000x1400</t>
  </si>
  <si>
    <t>DRHL-B-6-1</t>
  </si>
  <si>
    <t>HDF 6m biała Alaska 8681SM</t>
  </si>
  <si>
    <t>DRHL-C-6-1</t>
  </si>
  <si>
    <t>HDF 6mm czarna U190 PE</t>
  </si>
  <si>
    <t>DRML-1BIG-16-1</t>
  </si>
  <si>
    <t>MDF lam. 1 str. 16x2070x2800 mm</t>
  </si>
  <si>
    <t>K110SM</t>
  </si>
  <si>
    <t>DRML-1BIG-18-1</t>
  </si>
  <si>
    <t>MDF lam. 1 str. 18x2070x2800 mm</t>
  </si>
  <si>
    <t>DRML-1BIG-19-1</t>
  </si>
  <si>
    <t>MDF lam. 1 str. 19x2070x2800 mm</t>
  </si>
  <si>
    <t>DRML-BIG-16-1</t>
  </si>
  <si>
    <t>MDF lam. 2 str. 16x2070x2800 mm</t>
  </si>
  <si>
    <t>DRML-BIG-18-1</t>
  </si>
  <si>
    <t>MDF lam. 2 str. 18x2070x2800 mm</t>
  </si>
  <si>
    <t>DRML-BIG-19-1</t>
  </si>
  <si>
    <t>MDF lam. 2 str. 19x2070x2800 mm</t>
  </si>
  <si>
    <t>DRMS-10-1</t>
  </si>
  <si>
    <t>MDF surowa 10x2070x2800 mm</t>
  </si>
  <si>
    <t>DRMS-12-1</t>
  </si>
  <si>
    <t>MDF surowa 12x2070x2800 mm</t>
  </si>
  <si>
    <t>DRMS-16-1</t>
  </si>
  <si>
    <t>MDF surowa 16x2070x2800 mm</t>
  </si>
  <si>
    <t>DRMS-18-1</t>
  </si>
  <si>
    <t>MDF surowa 18x2070x2800 mm</t>
  </si>
  <si>
    <t>DRMS-19-1</t>
  </si>
  <si>
    <t>MDF surowa 19x2070x2800 mm</t>
  </si>
  <si>
    <t>DRMS-22-1</t>
  </si>
  <si>
    <t>MDF surowa 22x2070x2800 mm</t>
  </si>
  <si>
    <t>DRMS-25-1</t>
  </si>
  <si>
    <t>MDF surowa 25x2070x2800 mm</t>
  </si>
  <si>
    <t>DRMS-28-1</t>
  </si>
  <si>
    <t>MDF surowa 28x2070x2800 mm</t>
  </si>
  <si>
    <t>DRMS-30-1</t>
  </si>
  <si>
    <t>MDF surowa 30x2070x2800 mm</t>
  </si>
  <si>
    <t>DRMS-32-1</t>
  </si>
  <si>
    <t>MDF surowa 32x2070x2800 mm</t>
  </si>
  <si>
    <t>DRMS-38-1</t>
  </si>
  <si>
    <t>MDF surowa 38x2070x2800 mm</t>
  </si>
  <si>
    <t>DRMS-06-1</t>
  </si>
  <si>
    <t>MDF surowa 6x2070x2800 mm</t>
  </si>
  <si>
    <t>DRMS-08-1</t>
  </si>
  <si>
    <t>MDF surowa 8x2070x2800 mm</t>
  </si>
  <si>
    <t>PŁAXBB-1,01,25X2,05</t>
  </si>
  <si>
    <t>Tworzywo</t>
  </si>
  <si>
    <t>PŁAXBB-1,51,25X2,05</t>
  </si>
  <si>
    <t>PŁAXBB-1,02,05X3,05</t>
  </si>
  <si>
    <t>PŁAXBB-1,52,05X3,05</t>
  </si>
  <si>
    <t>PŁAXBB-2,02,05X3,05</t>
  </si>
  <si>
    <t>PŁAXBB-3,02,05X3,05</t>
  </si>
  <si>
    <t>PŁAXOP-1,02,05X3,05</t>
  </si>
  <si>
    <t>PŁAXOP-1,52,05X3,05</t>
  </si>
  <si>
    <t>PŁPIFS-5,01,22x3,05</t>
  </si>
  <si>
    <t>PŁPIFS-10,01,22x3,05</t>
  </si>
  <si>
    <t>PŁHIBM-0,251,0X2,0</t>
  </si>
  <si>
    <t>HIPS</t>
  </si>
  <si>
    <t>PŁHIBM-0,51,0X2,0</t>
  </si>
  <si>
    <t>PŁHIBM-0,751,0X2,0</t>
  </si>
  <si>
    <t>PŁHIBM-1,01,0X2,0</t>
  </si>
  <si>
    <t>PŁHIBM-1,51,0X2,0</t>
  </si>
  <si>
    <t>PŁHIBM-2,01,0X2,0</t>
  </si>
  <si>
    <t>PŁHIBM-3,01,0X2,0</t>
  </si>
  <si>
    <t>PŁHIBP-1,01,0X2,0</t>
  </si>
  <si>
    <t>PŁHIBP-1,51,0X2,0</t>
  </si>
  <si>
    <t>PŁHIBP-2,01,0X2,0</t>
  </si>
  <si>
    <t>PŁHIBP-3,01,0X2,0</t>
  </si>
  <si>
    <t>PŁHIBP-4,01,0X2,0</t>
  </si>
  <si>
    <t>PŁHICA-1,01,0x2,0</t>
  </si>
  <si>
    <t>PŁHICA-1,51,0x2,0</t>
  </si>
  <si>
    <t>PŁHICA-2,01,0x2,0</t>
  </si>
  <si>
    <t>PŁHICA-3,01,0x2,0</t>
  </si>
  <si>
    <t>PŁHICZ-2,01,0x2,0</t>
  </si>
  <si>
    <t>PŁHILS-1,01,0X2,0</t>
  </si>
  <si>
    <t>PŁHILS-1,51,0X2,0</t>
  </si>
  <si>
    <t>PŁHILS-2,01,0X2,0</t>
  </si>
  <si>
    <t>PŁHINI-2,01,0x2,0</t>
  </si>
  <si>
    <t>PŁHIOP-1,01,0X2,0</t>
  </si>
  <si>
    <t>PŁHIOP-1,51,0X2,0</t>
  </si>
  <si>
    <t>PŁHIOP-2,01,0X2,0</t>
  </si>
  <si>
    <t>PŁHISM-1,01,0X2,0</t>
  </si>
  <si>
    <t>PŁHISM-1,51,0X2,0</t>
  </si>
  <si>
    <t>PŁHISM-2,01,0X2,0</t>
  </si>
  <si>
    <t>PŁHISM-3,01,0X2,0</t>
  </si>
  <si>
    <t>PŁHIZI-2,01,0x2,0</t>
  </si>
  <si>
    <t>PŁHIŻÓ-2,01,0x2,0</t>
  </si>
  <si>
    <t>DRWL-BIG-10-1</t>
  </si>
  <si>
    <t>Płyta lam. biała gł. 10x2070x2800 mm</t>
  </si>
  <si>
    <t>DRWL-BIG-12-1</t>
  </si>
  <si>
    <t>Płyta lam. biała gł. 12x2070x2800 mm</t>
  </si>
  <si>
    <t>DRWL-BIG-16-1</t>
  </si>
  <si>
    <t>Płyta lam. biała gł. 16x2070x2800 mm</t>
  </si>
  <si>
    <t>DRWL-BIG-18-1</t>
  </si>
  <si>
    <t>Płyta lam. biała gł. 18x2070x2800 mm</t>
  </si>
  <si>
    <t>DRWL-BIP-10-1</t>
  </si>
  <si>
    <t>Płyta lam. biała per. 10x2070x2800 mm</t>
  </si>
  <si>
    <t>K101PE</t>
  </si>
  <si>
    <t>DRWL-BIP-12-1</t>
  </si>
  <si>
    <t>Płyta lam. biała per. 12x2070x2800 mm</t>
  </si>
  <si>
    <t>DRWL-BIP-16-1</t>
  </si>
  <si>
    <t>Płyta lam. biała per. 16x2070x2800 mm</t>
  </si>
  <si>
    <t>DRWL-BIP-18-1</t>
  </si>
  <si>
    <t>Płyta lam. biała per. 18x2070x2800 mm</t>
  </si>
  <si>
    <t>DRWL-BIG2-10-1</t>
  </si>
  <si>
    <t>Płyta lam. biała2 gł. 10x2070x2800 mm</t>
  </si>
  <si>
    <t>U511SM</t>
  </si>
  <si>
    <t>DRWL-BIG2-12-1</t>
  </si>
  <si>
    <t>Płyta lam. biała2 gł. 12x2070x2800 mm</t>
  </si>
  <si>
    <t>DRWL-BIG2-16-1</t>
  </si>
  <si>
    <t>Płyta lam. biała2 gł. 16x2070x2800 mm</t>
  </si>
  <si>
    <t>DRWL-BIG2-18-1</t>
  </si>
  <si>
    <t>Płyta lam. biała2 gł. 18x2070x2800 mm</t>
  </si>
  <si>
    <t>DRWL-CAP-10-1</t>
  </si>
  <si>
    <t>Płyta lam. czarna per. 10x2070x2800 mm</t>
  </si>
  <si>
    <t>U190PE</t>
  </si>
  <si>
    <t>DRWL-CAP-16-1</t>
  </si>
  <si>
    <t>Płyta lam. czarna per. 12x2070x2800 mm</t>
  </si>
  <si>
    <t>DRWL-CAP-18-1</t>
  </si>
  <si>
    <t>Płyta lam. czarna per. 16x2070x2800 mm</t>
  </si>
  <si>
    <t>Płyta lam. czarna per. 18x2070x2800 mm</t>
  </si>
  <si>
    <t>DRWL-SZP-10-1</t>
  </si>
  <si>
    <t>Płyta lam. jasno szara per. 10x2070x2800</t>
  </si>
  <si>
    <t>U112PE</t>
  </si>
  <si>
    <t>DRWL-SZP-16-1</t>
  </si>
  <si>
    <t>Płyta lam. jasno szara per. 16x2070x2802</t>
  </si>
  <si>
    <t>DRWL-SZP-18-2</t>
  </si>
  <si>
    <t>Płyta lam. jasno szara per. 18x2070x2803</t>
  </si>
  <si>
    <t>DRWL-MTP-10-1</t>
  </si>
  <si>
    <t>Płyta lam. metalik per. 10x2070x2800</t>
  </si>
  <si>
    <t>D881PE</t>
  </si>
  <si>
    <t>DRWL-MTP-10-1G</t>
  </si>
  <si>
    <t>Płyta lam. metalik per. 10x2070x2802</t>
  </si>
  <si>
    <t>GlunzFM10</t>
  </si>
  <si>
    <t>DRWL-MTP-18-1</t>
  </si>
  <si>
    <t>Płyta lam. metalik per. 18x2070x2800</t>
  </si>
  <si>
    <t>PŁPL25B-2,02,05X3,05</t>
  </si>
  <si>
    <t>PLEXA</t>
  </si>
  <si>
    <t>PŁPL25B-3,02,05X3,05</t>
  </si>
  <si>
    <t>PŁPL60B-2,02,05X3,05</t>
  </si>
  <si>
    <t>PŁPL60B-3,02,05X3,05</t>
  </si>
  <si>
    <t>PŁPLCN-3,02,03X3,05</t>
  </si>
  <si>
    <t>PŁPLCN-4,02,03X3,05</t>
  </si>
  <si>
    <t>PŁPLCN-5,02,03X3,05</t>
  </si>
  <si>
    <t>PŁPLCN-6,02,03X3,05</t>
  </si>
  <si>
    <t>PŁPLCN-8,02,03X3,05</t>
  </si>
  <si>
    <t>PŁPLCN-10,02,03X3,05</t>
  </si>
  <si>
    <t>PŁPLEX-2,02,05X3,05</t>
  </si>
  <si>
    <t>PŁPLEX-3,02,05X3,05</t>
  </si>
  <si>
    <t>PŁPLEX-4,02,05X3,05</t>
  </si>
  <si>
    <t>PŁPLEX-5,02,05X3,05</t>
  </si>
  <si>
    <t>PŁPLEX-6,02,05X3,05</t>
  </si>
  <si>
    <t>PŁPLEX-8,02,05X3,05</t>
  </si>
  <si>
    <t>PŁPLEX-10,02,05X3,05</t>
  </si>
  <si>
    <t>PŁPLOP-2,02,05X3,05</t>
  </si>
  <si>
    <t>PŁPLOP-3,02,05X3,05</t>
  </si>
  <si>
    <t>PŁPVBB-0,91,0X2,0</t>
  </si>
  <si>
    <t>PCV</t>
  </si>
  <si>
    <t>PŁPVBB-1,01,0X2,0</t>
  </si>
  <si>
    <t>PŁPVBB-1,51,0X2,0</t>
  </si>
  <si>
    <t>PŁPVBB-2,01,0X2,0</t>
  </si>
  <si>
    <t>PŁPVBB-3,01,0X2,0</t>
  </si>
  <si>
    <t>PŁPVBB-0,151,0X1,4</t>
  </si>
  <si>
    <t>PŁPVBB-0,21,0X1,4</t>
  </si>
  <si>
    <t>PŁPVBB-0,251,0X1,4</t>
  </si>
  <si>
    <t>PŁPVBB-0,31,0X1,4</t>
  </si>
  <si>
    <t>PŁPVBB-0,41,0X1,4</t>
  </si>
  <si>
    <t>PŁPVBB-0,51,0X1,4</t>
  </si>
  <si>
    <t>PŁPVBB-0,71,0X1,4</t>
  </si>
  <si>
    <t>PŁPVBI-1,01,0X2,0</t>
  </si>
  <si>
    <t>PŁPVBI-1,51,0X2,0</t>
  </si>
  <si>
    <t>PŁPVBI-2,01,0X2,0</t>
  </si>
  <si>
    <t>PŁPVBI-3,01,0X2,0</t>
  </si>
  <si>
    <t>PŁPVBI-0,151,0X1,4</t>
  </si>
  <si>
    <t>PŁPVBI-0,21,0X1,4</t>
  </si>
  <si>
    <t>PŁPVBI-0,251,0X1,4</t>
  </si>
  <si>
    <t>PŁPVBI-0,31,0X1,4</t>
  </si>
  <si>
    <t>PŁPVBI-0,41,0X1,4</t>
  </si>
  <si>
    <t>PŁPVBI-0,51,0X1,4</t>
  </si>
  <si>
    <t>PŁPVBI-0,71,0X1,4</t>
  </si>
  <si>
    <t>PŁPVSP-1,01,0X2,0</t>
  </si>
  <si>
    <t>PCV Spieniona</t>
  </si>
  <si>
    <t>PŁPVSP-2,01,0X2,0</t>
  </si>
  <si>
    <t>PŁPVSP-3,01,0X2,0</t>
  </si>
  <si>
    <t>PŁPVSP-4,01,0X2,0</t>
  </si>
  <si>
    <t>PŁPVSP-5,01,0X2,0</t>
  </si>
  <si>
    <t>PŁPVSP-6,01,0X2,0</t>
  </si>
  <si>
    <t>PŁPVSP-8,01,0X2,0</t>
  </si>
  <si>
    <t>PŁPVSP-10,01,0X2,0</t>
  </si>
  <si>
    <t>PŁPVSP-19,01,4X3,05</t>
  </si>
  <si>
    <t>PŁTUBB-0,51,25X2,05</t>
  </si>
  <si>
    <t>PŁTUBB-1,12,05X3,05</t>
  </si>
  <si>
    <t>PŁTUBB-1,52,05X3,05</t>
  </si>
  <si>
    <t>PŁTUBB-2,02,05X3,05</t>
  </si>
  <si>
    <t>PŁVKBB-0,51,25X2,05</t>
  </si>
  <si>
    <t>PŁVKBB-1,01,25X2,05</t>
  </si>
  <si>
    <t>PŁVKBB-1,51,25X2,05</t>
  </si>
  <si>
    <t>PŁVKBB-1,02,05x3,05</t>
  </si>
  <si>
    <t>PŁVKBB-1,52,05x3,05</t>
  </si>
  <si>
    <t>PŁVKBB-2,02,05x3,05</t>
  </si>
  <si>
    <t>DRWS-10-1</t>
  </si>
  <si>
    <t>Płyta wiórowa surowa 10x2070x2800mm</t>
  </si>
  <si>
    <t>DRWS-12-1</t>
  </si>
  <si>
    <t>Płyta wiórowa surowa 12x2070x2800mm</t>
  </si>
  <si>
    <t>DRWS-16-1</t>
  </si>
  <si>
    <t>Płyta wiórowa surowa 16x2070x2800mm</t>
  </si>
  <si>
    <t>DRWS-18-1</t>
  </si>
  <si>
    <t>Płyta wiórowa surowa 18x2070x2800mm</t>
  </si>
  <si>
    <t>DRWS-22-1</t>
  </si>
  <si>
    <t>Płyta wiórowa surowa 22x2070x2800mm</t>
  </si>
  <si>
    <t>DRWS-25-1</t>
  </si>
  <si>
    <t>Płyta wiórowa surowa 25x2070x2800mm</t>
  </si>
  <si>
    <t>DRWS-28-1</t>
  </si>
  <si>
    <t>Płyta wiórowa surowa 28x2070x2800mm</t>
  </si>
  <si>
    <t>DRWS-38-1</t>
  </si>
  <si>
    <t>Płyta wiórowa surowa 38x2070x2800mm</t>
  </si>
  <si>
    <t>DRWS-08-1</t>
  </si>
  <si>
    <t>Płyta wiórowa surowa 8x2070x2800mm</t>
  </si>
  <si>
    <t>DRSK-E-001</t>
  </si>
  <si>
    <t>Sklejka gięta poprzecznie 3x1220x2440</t>
  </si>
  <si>
    <t>wzdłuż krótszego brzegu; drewno liściaste</t>
  </si>
  <si>
    <t>DRSK-E-002</t>
  </si>
  <si>
    <t>Sklejka gięta poprzecznie 5x1220x2440</t>
  </si>
  <si>
    <t>DRSK-E-003</t>
  </si>
  <si>
    <t>Sklejka gięta poprzecznie 8x1220x2440</t>
  </si>
  <si>
    <t>DRSK-E-004</t>
  </si>
  <si>
    <t>Sklejka gięta wzdłużnie 3x1220x2440</t>
  </si>
  <si>
    <t>wzdłuż dłuższego brzegu; drewno liściaste</t>
  </si>
  <si>
    <t>DRSK-E-005</t>
  </si>
  <si>
    <t>Sklejka gięta wzdłużnie 5x1525x1525</t>
  </si>
  <si>
    <t>DRSK-E-006</t>
  </si>
  <si>
    <t>Sklejka gięta wzdłużnie 8x1220x2440</t>
  </si>
  <si>
    <t>POMATELI-ST-2-700-1000</t>
  </si>
  <si>
    <t>Tektura lita 1230gr 700x1000</t>
  </si>
  <si>
    <t>PŁVKBBF-1,0X0,5</t>
  </si>
  <si>
    <t>Folia G-PET b/b p/p 1,0x500</t>
  </si>
  <si>
    <t>PŁPLOP-5,02,05X3,05</t>
  </si>
  <si>
    <t>PŁPLBI-3,02,03X3,05</t>
  </si>
  <si>
    <t>PŁPLBI-5,02,03X3,05</t>
  </si>
  <si>
    <t>PŁPLBI-10,02,03X3,05</t>
  </si>
  <si>
    <t>PŁPLCA-2,02,05X3,05</t>
  </si>
  <si>
    <t>PŁPLCA-5,0-2,03X3,05</t>
  </si>
  <si>
    <t>PŁPLLS-2,02,05X3,05</t>
  </si>
  <si>
    <t>PŁPLLS-3,02,05X3,05</t>
  </si>
  <si>
    <t>PŁPLLZ-3,02,05X3,05</t>
  </si>
  <si>
    <t>mb</t>
  </si>
  <si>
    <t>Folia hips czarny 1,0x500</t>
  </si>
  <si>
    <t>PŁHIFCA-1,5X700</t>
  </si>
  <si>
    <t>Folia hips czarny 1,5x700</t>
  </si>
  <si>
    <t>Folia hips czarny 1,5x500</t>
  </si>
  <si>
    <t xml:space="preserve">MAFOBI-0,6X0,61 </t>
  </si>
  <si>
    <t xml:space="preserve">Folia magnetyczna 0,6mm z białą okleiną </t>
  </si>
  <si>
    <t xml:space="preserve">MAFOBR-0,6X0,62 </t>
  </si>
  <si>
    <t>Folia magnetyczna 0,6mm brązowa</t>
  </si>
  <si>
    <r>
      <t>m</t>
    </r>
    <r>
      <rPr>
        <sz val="10"/>
        <rFont val="Czcionka tekstu podstawowego"/>
        <charset val="238"/>
      </rPr>
      <t>²</t>
    </r>
  </si>
  <si>
    <r>
      <t>m</t>
    </r>
    <r>
      <rPr>
        <sz val="10"/>
        <color indexed="8"/>
        <rFont val="Czcionka tekstu podstawowego"/>
        <charset val="238"/>
      </rPr>
      <t>²</t>
    </r>
  </si>
  <si>
    <t>DRUK SITO</t>
  </si>
  <si>
    <t>Drewno</t>
  </si>
  <si>
    <t>GRUBOŚĆ</t>
  </si>
  <si>
    <t>Powyżej B0</t>
  </si>
  <si>
    <t>do B0</t>
  </si>
  <si>
    <t>do B1</t>
  </si>
  <si>
    <t>Wielkość formatki</t>
  </si>
  <si>
    <t>Dojazd</t>
  </si>
  <si>
    <t>Wymiana</t>
  </si>
  <si>
    <t>Wymiana + dojazd</t>
  </si>
  <si>
    <t>powyżej B0</t>
  </si>
  <si>
    <t>Czas druku</t>
  </si>
  <si>
    <t>Czas zmiany pasów</t>
  </si>
  <si>
    <t>ilość pasów</t>
  </si>
  <si>
    <t>predkosc</t>
  </si>
  <si>
    <t>czas zmiany poziomu</t>
  </si>
  <si>
    <t>szerokość głowicy + zapas na pas</t>
  </si>
  <si>
    <t>Backlite</t>
  </si>
  <si>
    <t>PLOTER DRUKUJĄCY ROLAND</t>
  </si>
  <si>
    <t>RODZAJ ELEMENTÓW</t>
  </si>
  <si>
    <t>CZÓŁKA DO TREI itp..</t>
  </si>
  <si>
    <t>WIĘKSZE np. TREJE</t>
  </si>
  <si>
    <t>Z DEFOLIOWANIEM</t>
  </si>
  <si>
    <t>ILOŚĆ MATRYC</t>
  </si>
  <si>
    <t>przygotowanie matryc</t>
  </si>
  <si>
    <t>USTAWIENIE MASZYNY</t>
  </si>
  <si>
    <t>ZDIĘCIE MATRYC</t>
  </si>
  <si>
    <t>MYCIE MATRYC PO DRUKU</t>
  </si>
  <si>
    <t>średnia ilość uderzeń każdego koloru- uproszczone na potrzeby wyceny</t>
  </si>
  <si>
    <t>FORMATOWANIE PO LAMINOWANIU</t>
  </si>
  <si>
    <t>Z FORMATOWANIEM</t>
  </si>
  <si>
    <t>BEZ FORMATOWANIA</t>
  </si>
  <si>
    <t>PAPIER, FOLIA</t>
  </si>
  <si>
    <t>FOLIA BEZBARWNA</t>
  </si>
  <si>
    <t>BACKLITE</t>
  </si>
  <si>
    <t>TEKTURA</t>
  </si>
  <si>
    <t>Dzial</t>
  </si>
  <si>
    <t>Maszyna</t>
  </si>
  <si>
    <t>Stawka</t>
  </si>
  <si>
    <t>Typ</t>
  </si>
  <si>
    <t>Dział Przedmontaży Żywic</t>
  </si>
  <si>
    <t>Wykonanie odlewów 1</t>
  </si>
  <si>
    <t>Rbh</t>
  </si>
  <si>
    <t>Wykonanie odlewów 2</t>
  </si>
  <si>
    <t>MaszH</t>
  </si>
  <si>
    <t>Wykonanie odlewów 3</t>
  </si>
  <si>
    <t>Wydział DREWNA</t>
  </si>
  <si>
    <t>Centrum BHX</t>
  </si>
  <si>
    <t>Centrum obróbcze Homag</t>
  </si>
  <si>
    <t>Frezarka do naroży</t>
  </si>
  <si>
    <t>Okleiniarka Brandt</t>
  </si>
  <si>
    <t>Okleiniarka JAROMA</t>
  </si>
  <si>
    <t>Piła panelowa Holzma</t>
  </si>
  <si>
    <t>Ploter A6010</t>
  </si>
  <si>
    <t>Ploter Proto</t>
  </si>
  <si>
    <t>Wiertarka Wielowrzecionowa</t>
  </si>
  <si>
    <t>Wydział FORM</t>
  </si>
  <si>
    <t>INFOTEC 3121</t>
  </si>
  <si>
    <t>Infotec 330s</t>
  </si>
  <si>
    <t>INFRAFORM 2015</t>
  </si>
  <si>
    <t>INFRAFORM 4601</t>
  </si>
  <si>
    <t>Ploter A4004</t>
  </si>
  <si>
    <t>Ploter A4010</t>
  </si>
  <si>
    <t xml:space="preserve">PLOTER LASEROWY M-1600 </t>
  </si>
  <si>
    <t>Ploter laserowy NRG 608</t>
  </si>
  <si>
    <t>Wykonanie form 1</t>
  </si>
  <si>
    <t>Wykonanie form 2</t>
  </si>
  <si>
    <t>Wykonanie form 3</t>
  </si>
  <si>
    <t>Wykonanie form 4</t>
  </si>
  <si>
    <t>Wykonanie form 5</t>
  </si>
  <si>
    <t>Wydział FREZOWANIA</t>
  </si>
  <si>
    <t>Frezarka FESTOOL I</t>
  </si>
  <si>
    <t>Frezarka FESTOOL II</t>
  </si>
  <si>
    <t>Frezarka FESTOOL III</t>
  </si>
  <si>
    <t>Frezarka FESTOOL IV</t>
  </si>
  <si>
    <t>Frezarka FESTOOL V</t>
  </si>
  <si>
    <t>Frezarka górnowrzecionowa 1</t>
  </si>
  <si>
    <t>Frezarka górnowrzecionowa 2</t>
  </si>
  <si>
    <t>Nacinarka FESTOOL I</t>
  </si>
  <si>
    <t>Nacinarka FESTOOL II</t>
  </si>
  <si>
    <t>Pilarka do drewna VETRO I</t>
  </si>
  <si>
    <t>Pilarka do drewna VETRO II</t>
  </si>
  <si>
    <t>Pilarka do drewna VETRO III</t>
  </si>
  <si>
    <t>Piła tarczowa DE WALT I</t>
  </si>
  <si>
    <t>Piła tarczowa DE WALT II</t>
  </si>
  <si>
    <t>Piła taśmowa DE WALT I</t>
  </si>
  <si>
    <t>Piła taśmowa DE WALT II</t>
  </si>
  <si>
    <t>Piła taśmowa DE WALT III</t>
  </si>
  <si>
    <t>Piła taśmowa DE WALT IV</t>
  </si>
  <si>
    <t>Piła taśmowa DE WALT V</t>
  </si>
  <si>
    <t>Wydział INTROLIGATORNI</t>
  </si>
  <si>
    <t>Belownica</t>
  </si>
  <si>
    <t xml:space="preserve">Gilotyna G1	</t>
  </si>
  <si>
    <t>Gilotyna G2 - Magazyn</t>
  </si>
  <si>
    <t>Kaszerka K</t>
  </si>
  <si>
    <t>Sklejarka S</t>
  </si>
  <si>
    <t>Sztanctygiel DUŻY T2</t>
  </si>
  <si>
    <t>Sztanctygiel MAŁY T3</t>
  </si>
  <si>
    <t>Sztanctygiel T1</t>
  </si>
  <si>
    <t>Sztanctygiel T2</t>
  </si>
  <si>
    <t>Tekturownica</t>
  </si>
  <si>
    <t>Zszywarka</t>
  </si>
  <si>
    <t>Wydział SITODRUKU</t>
  </si>
  <si>
    <t>B-2</t>
  </si>
  <si>
    <t>HOT STAMPING</t>
  </si>
  <si>
    <t>Ksero</t>
  </si>
  <si>
    <t>Laminator</t>
  </si>
  <si>
    <t>Operator DTP 1</t>
  </si>
  <si>
    <t>Operator DTP 4</t>
  </si>
  <si>
    <t>Ploter Aquity</t>
  </si>
  <si>
    <t>Ploter Aquity 2</t>
  </si>
  <si>
    <t>Ploter Roland 1</t>
  </si>
  <si>
    <t>Ploter Roland 2</t>
  </si>
  <si>
    <t>Ploter Solwentowy – 1</t>
  </si>
  <si>
    <t>Ploter Solwentowy – 2</t>
  </si>
  <si>
    <t>Ploter Solwentowy – 3</t>
  </si>
  <si>
    <t>Ploter Tnący – M</t>
  </si>
  <si>
    <t>Tampodrukarka</t>
  </si>
  <si>
    <t>Tampodrukarka II</t>
  </si>
  <si>
    <t>Wyklejacz – 1</t>
  </si>
  <si>
    <t>Wyklejacz – 2</t>
  </si>
  <si>
    <t>Xana</t>
  </si>
  <si>
    <t>Wydział TERMOFORMOWANIA</t>
  </si>
  <si>
    <t>Piła Metabo</t>
  </si>
  <si>
    <t>Piła pozioma Geiss</t>
  </si>
  <si>
    <t>Piła pozioma Illig</t>
  </si>
  <si>
    <t>Prasa HYDRAULICZNA</t>
  </si>
  <si>
    <t>Prasa Hydrauliczna 2</t>
  </si>
  <si>
    <t>Termoformierka 1000/1000</t>
  </si>
  <si>
    <t>Termoformierka 1000/1000 2G</t>
  </si>
  <si>
    <t>Termoformierka 1000/1500</t>
  </si>
  <si>
    <t>Termoformierka 1500/2500 2G</t>
  </si>
  <si>
    <t>Termoformierka 750/1000 (102)</t>
  </si>
  <si>
    <t>Termoformierka 750/1000 (103)</t>
  </si>
  <si>
    <t>Termoformierka 750/1000 (104)</t>
  </si>
  <si>
    <t>Termoformierka rolowa 3</t>
  </si>
  <si>
    <t>Termoformierka rolowa Illig</t>
  </si>
  <si>
    <t>Termoformierka rolowa Piesiur</t>
  </si>
  <si>
    <t>Wydział WTRYSKU</t>
  </si>
  <si>
    <t>VICTOR 130 - T1</t>
  </si>
  <si>
    <t>VICTOR 180 - T1</t>
  </si>
  <si>
    <t>VICTOR 250 - T2</t>
  </si>
  <si>
    <t>VICTOR 350 I - T2</t>
  </si>
  <si>
    <t>VICTOR 350 II - T3</t>
  </si>
  <si>
    <t>VICTOR 450 - T3</t>
  </si>
  <si>
    <t>VICTOR 550 - T4</t>
  </si>
  <si>
    <t>VICTOR 850 - T5</t>
  </si>
  <si>
    <t>Wytłaczarka do profili</t>
  </si>
  <si>
    <t>DŁUGOŚĆ DOCINANIA [mm]</t>
  </si>
  <si>
    <t>DŁUGOŚĆ NAKLEJKI [mm]</t>
  </si>
  <si>
    <t>SZEROKOŚĆ NAKLEJKI [mm]</t>
  </si>
  <si>
    <t>ILOŚĆ NAKLEJEK</t>
  </si>
  <si>
    <t>Rodzaj elementu wyklejanego</t>
  </si>
  <si>
    <t>Długość docinania</t>
  </si>
  <si>
    <t>Typ klejenia</t>
  </si>
  <si>
    <t>Formatka</t>
  </si>
  <si>
    <t>Na mokro</t>
  </si>
  <si>
    <t>Typ naklejki</t>
  </si>
  <si>
    <t>folia-lustro (złoto), folia oracal</t>
  </si>
  <si>
    <t>Typ docinania</t>
  </si>
  <si>
    <t>kształt</t>
  </si>
  <si>
    <t>linia, koło</t>
  </si>
  <si>
    <t>backlite</t>
  </si>
  <si>
    <t>formatka</t>
  </si>
  <si>
    <t>wytłoczka</t>
  </si>
  <si>
    <t>naklejka</t>
  </si>
  <si>
    <t>folia szron</t>
  </si>
  <si>
    <t>Na sucho</t>
  </si>
  <si>
    <t>czas wyklejanie</t>
  </si>
  <si>
    <t>czas docinanie</t>
  </si>
  <si>
    <t>ILOŚĆ Z WYKROJNIKA</t>
  </si>
  <si>
    <t>T. LITA #2</t>
  </si>
  <si>
    <t>T. LITA #1,5</t>
  </si>
  <si>
    <t>X</t>
  </si>
  <si>
    <t>Wyrywanie</t>
  </si>
  <si>
    <t>ILOŚĆ UŻYTKÓW DO WYRWANIA</t>
  </si>
  <si>
    <t>RODZAJ FORMATKI</t>
  </si>
  <si>
    <t>Jednostronna grafika</t>
  </si>
  <si>
    <t>Dwustronna grafika</t>
  </si>
  <si>
    <t>Bez grafiki</t>
  </si>
  <si>
    <t>Czas bezpieczeństwa na sprzątanie itp.- wyrywanie</t>
  </si>
  <si>
    <t>Dodatkowe operacje</t>
  </si>
  <si>
    <t>WYRYWANIE</t>
  </si>
  <si>
    <t>Grubość</t>
  </si>
  <si>
    <t>Docinanie po laminowaniu</t>
  </si>
  <si>
    <t>Kaszerowany</t>
  </si>
  <si>
    <t>Pozostałe</t>
  </si>
  <si>
    <t>RODZAJ MATERIAŁU</t>
  </si>
  <si>
    <t>GRUBOŚĆ MATERIAŁU (MM)</t>
  </si>
  <si>
    <t>PCV Z DRUKIEM</t>
  </si>
  <si>
    <t>HIPS Z DRUKIEM LUB LUSTRO</t>
  </si>
  <si>
    <t>DRUK OFF SET [≠0,2]</t>
  </si>
  <si>
    <t>DRUK SITO (folia, papier) [≠0,2]</t>
  </si>
  <si>
    <t>KASZEROWANY</t>
  </si>
  <si>
    <t>KODY, ETYKIETY, INSTRUKCJE itp. [#0,2]</t>
  </si>
  <si>
    <t>VIVAK</t>
  </si>
  <si>
    <t>TUPET /PET / AXPET</t>
  </si>
  <si>
    <t>FOREX</t>
  </si>
  <si>
    <t>TEKTURA LITA [≠2]</t>
  </si>
  <si>
    <t>WYTŁOCZKI I POJEDYNCZE</t>
  </si>
  <si>
    <t>TEKTURA FAL. [3W, 5W]</t>
  </si>
  <si>
    <t>DRUK OFF SET [≠0,5] GRUBA ALASKA</t>
  </si>
  <si>
    <t>x</t>
  </si>
  <si>
    <t>Ilość w pakiecie</t>
  </si>
  <si>
    <t>Ilość pakietów</t>
  </si>
  <si>
    <t>KALKULATORY NA MASZYNY - TWORZYWA</t>
  </si>
  <si>
    <t>PLOTER DRUKUJĄCY</t>
  </si>
  <si>
    <t>PLETERY FREZUJĄCE</t>
  </si>
  <si>
    <t>XANA</t>
  </si>
  <si>
    <t>KOLOR</t>
  </si>
  <si>
    <t>FOLIA METALICZNA, BROKAT</t>
  </si>
  <si>
    <t>PCV SPIENIONA</t>
  </si>
  <si>
    <t>METALICZNE PERŁOWE</t>
  </si>
  <si>
    <t>ABS</t>
  </si>
  <si>
    <t>BACKLITE NISKA JAKOŚĆ</t>
  </si>
  <si>
    <t>DRUK LAMINOWANY</t>
  </si>
  <si>
    <t>SKLEJKA</t>
  </si>
  <si>
    <t>POZOSTAŁE</t>
  </si>
  <si>
    <t>BACKLITE WYSOKA JAKOŚĆ</t>
  </si>
  <si>
    <t xml:space="preserve">FOLIA  </t>
  </si>
  <si>
    <t>DIBOND</t>
  </si>
  <si>
    <t>ELEMENTY Z NADRUKIEM DO PASOWANIA</t>
  </si>
  <si>
    <t>AXPET</t>
  </si>
  <si>
    <t>BANER</t>
  </si>
  <si>
    <t>PET</t>
  </si>
  <si>
    <t>ALUMINIUM</t>
  </si>
  <si>
    <t>PŁYTA OSB, MDF, WIÓROWA</t>
  </si>
  <si>
    <t xml:space="preserve">PCV  </t>
  </si>
  <si>
    <t xml:space="preserve">HIPS  </t>
  </si>
  <si>
    <t>Płyta wiórowa, MDF lam.</t>
  </si>
  <si>
    <t>Płyta wiórowa, MDF sur.</t>
  </si>
  <si>
    <t>Hips</t>
  </si>
  <si>
    <t>Tupet, vivak, pcv</t>
  </si>
  <si>
    <t>Plexa</t>
  </si>
  <si>
    <t>PCV spienione</t>
  </si>
  <si>
    <t>Sklejka</t>
  </si>
  <si>
    <t>HDF lam.</t>
  </si>
  <si>
    <t>HDF sur.</t>
  </si>
  <si>
    <t>PCV SP.</t>
  </si>
  <si>
    <t>VIVAK / PET itp.</t>
  </si>
  <si>
    <t>PLEXI</t>
  </si>
  <si>
    <t>VIVAK / PET</t>
  </si>
  <si>
    <t>PCV SPIENIONE</t>
  </si>
  <si>
    <t>HIPS / ABS</t>
  </si>
  <si>
    <t>PET/VIVAK</t>
  </si>
  <si>
    <t>PMMA HI</t>
  </si>
  <si>
    <t>PMMA</t>
  </si>
  <si>
    <t>Nadruk</t>
  </si>
  <si>
    <t>Tupet, vivak, pet</t>
  </si>
  <si>
    <t>T. FALA [E]</t>
  </si>
  <si>
    <t>T. FALA [B]</t>
  </si>
  <si>
    <t>T. FALA [EB]</t>
  </si>
  <si>
    <t>T. LITA</t>
  </si>
  <si>
    <t>TEKTURA / PAPIER / FOLIA</t>
  </si>
  <si>
    <t>Materiał do kalkulatora</t>
  </si>
  <si>
    <t/>
  </si>
  <si>
    <t>ILOŚĆ OTWORÓW</t>
  </si>
  <si>
    <t>czas na 1 otwór</t>
  </si>
  <si>
    <t>Czas wiercenia Homag/BHX</t>
  </si>
  <si>
    <t>zał+ zdjecie formatki</t>
  </si>
  <si>
    <t>GILOTYNA2</t>
  </si>
  <si>
    <t>GILOTYNA3</t>
  </si>
  <si>
    <t>GILOTYNA4</t>
  </si>
  <si>
    <t>Druk Sito</t>
  </si>
  <si>
    <t>offset</t>
  </si>
  <si>
    <t>sito</t>
  </si>
  <si>
    <t>kaszerowany</t>
  </si>
  <si>
    <t>Druk Offset</t>
  </si>
  <si>
    <t>NIE LAMINOWANE</t>
  </si>
  <si>
    <t>LAMINOWANE</t>
  </si>
  <si>
    <t>NADRUK</t>
  </si>
  <si>
    <t>A</t>
  </si>
  <si>
    <t>B</t>
  </si>
  <si>
    <t>NA ILE POCIĄĆ?</t>
  </si>
  <si>
    <t>ILOŚĆ UŻYTKÓW (Detali)</t>
  </si>
  <si>
    <t>KOSZT</t>
  </si>
  <si>
    <t>Długość rakla</t>
  </si>
  <si>
    <t>prędkość</t>
  </si>
  <si>
    <t>Ilość formatek do druku</t>
  </si>
  <si>
    <t>czas rakla</t>
  </si>
  <si>
    <t>Przezbrojenei</t>
  </si>
  <si>
    <t>Koszt druku</t>
  </si>
  <si>
    <t>koszt maszyny</t>
  </si>
  <si>
    <t>Koszt sumaryczny</t>
  </si>
  <si>
    <t>Ilość formatek</t>
  </si>
  <si>
    <t>Prędkość</t>
  </si>
  <si>
    <t>Predkosci druku</t>
  </si>
  <si>
    <t xml:space="preserve"> </t>
  </si>
  <si>
    <t>Przezbrojenie</t>
  </si>
  <si>
    <t>UV</t>
  </si>
  <si>
    <t>koszt maszyna</t>
  </si>
  <si>
    <t>SOLWENT</t>
  </si>
  <si>
    <t>ilość formatek</t>
  </si>
  <si>
    <t>ILOŚĆ UŻYTKÓW NA FORMATCE</t>
  </si>
  <si>
    <t>druk</t>
  </si>
  <si>
    <t>czyszczenie</t>
  </si>
  <si>
    <t>Koszt maszyny</t>
  </si>
  <si>
    <t>TAMPO</t>
  </si>
  <si>
    <t>Ilość elementów</t>
  </si>
  <si>
    <t>suma</t>
  </si>
  <si>
    <t>LAMINATOR</t>
  </si>
  <si>
    <t>Prędkości</t>
  </si>
  <si>
    <t>Odkładanie</t>
  </si>
  <si>
    <t>dł</t>
  </si>
  <si>
    <t>szer</t>
  </si>
  <si>
    <t>WYKLEJANIE RĘCZNE</t>
  </si>
  <si>
    <t>Operacja</t>
  </si>
  <si>
    <t>PLOTER TNĄCY ROLAND</t>
  </si>
  <si>
    <t>Tygiel</t>
  </si>
  <si>
    <t>ILOŚĆ FORMATEK</t>
  </si>
  <si>
    <t>GILOTYNA- CIĘCIE</t>
  </si>
  <si>
    <t>Wiercenie</t>
  </si>
  <si>
    <t>Wiercenie-wielowrzecionówka</t>
  </si>
  <si>
    <t>Wyklejanie</t>
  </si>
  <si>
    <t>Stawka maszyny</t>
  </si>
  <si>
    <t>CZAS</t>
  </si>
  <si>
    <t>stawka maszyny</t>
  </si>
  <si>
    <t>ilość w pakiecie</t>
  </si>
  <si>
    <t>Ilość w stosie- Formatyzerka</t>
  </si>
  <si>
    <t>Czas cięcia elementu</t>
  </si>
  <si>
    <t>Czas podania płyty</t>
  </si>
  <si>
    <t>Czas zdjęcia elementu</t>
  </si>
  <si>
    <t>Formatowanie- Holzma</t>
  </si>
  <si>
    <t>założenie+odłożenie</t>
  </si>
  <si>
    <t>wiercenie</t>
  </si>
  <si>
    <t>odmuchanie</t>
  </si>
  <si>
    <t>Produkcja</t>
  </si>
  <si>
    <t>na otwór</t>
  </si>
  <si>
    <t>na przelot</t>
  </si>
  <si>
    <t>Oklejanie prostoliniowe</t>
  </si>
  <si>
    <t>Długość oklejania [mm]</t>
  </si>
  <si>
    <t>suchy przelot</t>
  </si>
  <si>
    <t>DŁUGOŚĆ OKLEJANIA [MM]</t>
  </si>
  <si>
    <t>ILOŚĆ KRAWĘDZI</t>
  </si>
  <si>
    <t>Oklejanie krzywoliniowe</t>
  </si>
  <si>
    <t>Oklejanie</t>
  </si>
  <si>
    <t>Odmuchanie</t>
  </si>
  <si>
    <t>Frezowanie</t>
  </si>
  <si>
    <t>Obcinanie nadwyżki szerokości</t>
  </si>
  <si>
    <t>Cyklinowanie</t>
  </si>
  <si>
    <t>Wymiana agregatu</t>
  </si>
  <si>
    <t>założenie</t>
  </si>
  <si>
    <t>Suma</t>
  </si>
  <si>
    <t>Podstawowe</t>
  </si>
  <si>
    <t>Alternatywa</t>
  </si>
  <si>
    <t>jaroma</t>
  </si>
  <si>
    <t>homag'</t>
  </si>
  <si>
    <t>Oklejanie-homag</t>
  </si>
  <si>
    <t>Czas Jaroma+czas Homag</t>
  </si>
  <si>
    <t>CZAS HOMAG</t>
  </si>
  <si>
    <t>FREZOWANIE CENTRUM</t>
  </si>
  <si>
    <t>Termoformierka</t>
  </si>
  <si>
    <t>Piła pozioma</t>
  </si>
  <si>
    <t>Prasa Hydrauliczna</t>
  </si>
  <si>
    <t>ilość z formy</t>
  </si>
  <si>
    <t>Stempel</t>
  </si>
  <si>
    <t>Gabaryt</t>
  </si>
  <si>
    <t xml:space="preserve">PLEXI </t>
  </si>
  <si>
    <t>St. trudności</t>
  </si>
  <si>
    <t>czas 1 sztuki</t>
  </si>
  <si>
    <t>Metaliczne perłowe do termoformowania</t>
  </si>
  <si>
    <t>metaliczne perłowe</t>
  </si>
  <si>
    <t>Nakład- ilosc przetłoczeń</t>
  </si>
  <si>
    <t>Z ROLI
SB 53,
TF 105</t>
  </si>
  <si>
    <t>Z PŁYTY
TF 103,
TF 104</t>
  </si>
  <si>
    <t>Z PŁYTY
TF 15</t>
  </si>
  <si>
    <t>Z PŁYTY
TF 12G
2 PIECE</t>
  </si>
  <si>
    <t>Z PŁYTY
TF 25G
2 PIECE</t>
  </si>
  <si>
    <t>wymiana materiału</t>
  </si>
  <si>
    <t>Wydajność</t>
  </si>
  <si>
    <t>MAX wymiar</t>
  </si>
  <si>
    <t>Kolor/maszyna</t>
  </si>
  <si>
    <t>Łączna długość ścieżek [mm]</t>
  </si>
  <si>
    <t>ŁĄCZNA DŁUGOŚĆ ŚĆIEŻEK [mm]</t>
  </si>
  <si>
    <t>ILOSĆ UŻYTKÓW NA FORMATCE</t>
  </si>
  <si>
    <t>do B2</t>
  </si>
  <si>
    <t>powyżej B2</t>
  </si>
  <si>
    <t>Prędkość frezowania</t>
  </si>
  <si>
    <t>Centrum HOMAG</t>
  </si>
  <si>
    <t>do dodania w pozniejszym czasie (po aktualizacji kalkulatora redmine)</t>
  </si>
  <si>
    <t>MDF</t>
  </si>
  <si>
    <t>Wiórowa</t>
  </si>
  <si>
    <t>Nakład elementu</t>
  </si>
  <si>
    <t>Docinanie</t>
  </si>
  <si>
    <t>współczynnik (uśrednione liniia, koło/kształt</t>
  </si>
  <si>
    <t>Przezbrojenie do docinania</t>
  </si>
  <si>
    <t>ręczne docinanie</t>
  </si>
  <si>
    <t>ILOSĆ NAKLEJEK NA FORMATCE</t>
  </si>
  <si>
    <t>Primer do UV</t>
  </si>
  <si>
    <t>Primer</t>
  </si>
  <si>
    <t>czas i cięcia</t>
  </si>
  <si>
    <t>czas 1 cięcia</t>
  </si>
  <si>
    <t>czas założenia 1 pakietu płyt</t>
  </si>
  <si>
    <t>ilośc płyt zakładana na raz</t>
  </si>
  <si>
    <t>czas zdejmowania użytków</t>
  </si>
  <si>
    <t>ilość użytków</t>
  </si>
  <si>
    <t>ILOŚĆ PŁYT PO CIĘCIU</t>
  </si>
  <si>
    <t>ILOŚĆ CIĘĆ</t>
  </si>
  <si>
    <t>NA TERMO, SZTANCOWANIE</t>
  </si>
  <si>
    <t>KROJENIE-DRUK</t>
  </si>
  <si>
    <t>DO 4 UŻ/FORM.</t>
  </si>
  <si>
    <t>POWYŻEJ 4 UŻ/FORM.</t>
  </si>
  <si>
    <t>czas frezowania</t>
  </si>
  <si>
    <t>sredni czas na zmiane sciezki</t>
  </si>
  <si>
    <t>zalozenie formatki</t>
  </si>
  <si>
    <t>stawka maszyn</t>
  </si>
  <si>
    <t>2D</t>
  </si>
  <si>
    <t>3D</t>
  </si>
  <si>
    <t>ILOŚĆ UŻYTKÓW</t>
  </si>
  <si>
    <t>DŁUGOŚĆ FREZOWANIA [MM]</t>
  </si>
  <si>
    <t>frez</t>
  </si>
  <si>
    <t>zmiana sciezki</t>
  </si>
  <si>
    <t>Ploter frezujący</t>
  </si>
  <si>
    <t>FREZOWANIE INFOTEC</t>
  </si>
  <si>
    <t>Posuw [mm/min</t>
  </si>
  <si>
    <t>materiał</t>
  </si>
  <si>
    <t>długość frezowania [mm]</t>
  </si>
  <si>
    <t>Czas frezowania</t>
  </si>
  <si>
    <t>Czas wymiany formatki</t>
  </si>
  <si>
    <t>Czas wymiany narzędzi</t>
  </si>
  <si>
    <t>Czas zmiany ścieżek</t>
  </si>
  <si>
    <t>czas dod</t>
  </si>
  <si>
    <t>stawka</t>
  </si>
  <si>
    <t>DŁUGOŚĆ FREZOWANIA</t>
  </si>
  <si>
    <t>czas zdjęcia elementów</t>
  </si>
  <si>
    <t>zmiana ścieżki</t>
  </si>
  <si>
    <t>wymiana formatki</t>
  </si>
  <si>
    <t>czas cięcia</t>
  </si>
  <si>
    <t>nowy laser</t>
  </si>
  <si>
    <t>stary laser</t>
  </si>
  <si>
    <t>CZAS NOWY LASER</t>
  </si>
  <si>
    <t>CZAS STARY LASER</t>
  </si>
  <si>
    <t>ALTERNATYWA</t>
  </si>
  <si>
    <t>O ile stary wolniejszy od nowego</t>
  </si>
  <si>
    <t>DODATKOWE OPERACJE</t>
  </si>
  <si>
    <t>MALOWANIE PRIMEREM</t>
  </si>
  <si>
    <t>operacja reczna</t>
  </si>
  <si>
    <t>nr wiersza do wspo</t>
  </si>
  <si>
    <t>nr kolumny do wsp</t>
  </si>
  <si>
    <t>RODZAJ FORM</t>
  </si>
  <si>
    <t>Termoformowanie-rolowa</t>
  </si>
  <si>
    <t>Z PŁYTY
TF 1</t>
  </si>
  <si>
    <t>Z PŁYTY
TF 102</t>
  </si>
  <si>
    <t>750x1000</t>
  </si>
  <si>
    <t>1000x1000</t>
  </si>
  <si>
    <t>1000x1500</t>
  </si>
  <si>
    <t>1500x2500</t>
  </si>
  <si>
    <t>WIELKOŚĆ TŁOCZONEJ FORMATKI</t>
  </si>
  <si>
    <t>STEMPEL</t>
  </si>
  <si>
    <t>GŁĘBOKOŚĆ TŁOCZENIA [MM]</t>
  </si>
  <si>
    <t>Z roli</t>
  </si>
  <si>
    <t>grubość</t>
  </si>
  <si>
    <t>CZAS TERMOFORMOWANIE</t>
  </si>
  <si>
    <t>SZTANCOWANE?</t>
  </si>
  <si>
    <t>CIĘTE NA PILE?</t>
  </si>
  <si>
    <t>KOSZT TERMOFORMOWANIA</t>
  </si>
  <si>
    <t>KOSZT SZTANCOWANIA</t>
  </si>
  <si>
    <t>KOSZT CIĘCIA</t>
  </si>
  <si>
    <t>CZAS SZTANCOWANIA</t>
  </si>
  <si>
    <t>CZAS CIĘCIA</t>
  </si>
  <si>
    <t>RODZAJ ELEMENTU</t>
  </si>
  <si>
    <t>FREZOWANIE</t>
  </si>
  <si>
    <t>PŁASKA OBRÓBKA PROSTOLINIOWA</t>
  </si>
  <si>
    <t>WYTŁOCZKA OBRÓBKA PROSTOLINIOWA</t>
  </si>
  <si>
    <t>PŁASKA OBRÓBKA NIEPROSTOLINIOWA</t>
  </si>
  <si>
    <t>WYTŁOCZKA OBRÓBKA NIEPROSTOLINIOWA</t>
  </si>
  <si>
    <t>dł frezowania</t>
  </si>
  <si>
    <t>Rodzaj elementu</t>
  </si>
  <si>
    <t>założenie/odłożenie</t>
  </si>
  <si>
    <t>WYTŁOCZKA</t>
  </si>
  <si>
    <t>PŁASKIE</t>
  </si>
  <si>
    <t>CIĘCIE WSTĘPNE</t>
  </si>
  <si>
    <t>CIĘCIE</t>
  </si>
  <si>
    <t>ŁĄCZNIK WING</t>
  </si>
  <si>
    <t>FREZOWANIE ŁUKU</t>
  </si>
  <si>
    <t>FREZOWANIE KANAŁU</t>
  </si>
  <si>
    <t>ŁĄCZNIK KR</t>
  </si>
  <si>
    <t>MISA SŁUP</t>
  </si>
  <si>
    <t>KĄTOWNIK WTRYSKOWY</t>
  </si>
  <si>
    <t>FREZOWANIE NÓŻEK DO PODESTÓW</t>
  </si>
  <si>
    <t>TACKI FREZOWANIE FASOLKI 1PKT</t>
  </si>
  <si>
    <t>TACKI FREZOWANIE FASOLEK 2PKTY</t>
  </si>
  <si>
    <t>FRONT FREZOWANIE FASOLKI 1PKT</t>
  </si>
  <si>
    <t>ŁĄCZNIK PÓŁKA OKRĄGŁA</t>
  </si>
  <si>
    <t>FREZOWANIE ŁĄCZNIKA (2 STR.)</t>
  </si>
  <si>
    <t>ŁĄCZNIK ELIPSA MAŁA</t>
  </si>
  <si>
    <t>ŁĄCZNIK ELIPSA DUŻA</t>
  </si>
  <si>
    <t>ŁĄCZNIK PT</t>
  </si>
  <si>
    <t>frezowanie std</t>
  </si>
  <si>
    <t>DŁUGOŚĆ CIĘCIA [MM]</t>
  </si>
  <si>
    <t>RODZAJ ELEMENTU/ OBRÓBKI</t>
  </si>
  <si>
    <t>DŁUGOŚĆ CIĘCUIA</t>
  </si>
  <si>
    <t>PRĘDKOŚĆ</t>
  </si>
  <si>
    <t>ciecie</t>
  </si>
  <si>
    <t>frezowanie</t>
  </si>
  <si>
    <t>min ciecie</t>
  </si>
  <si>
    <t>stawkqa</t>
  </si>
  <si>
    <t>ciecie std</t>
  </si>
  <si>
    <t>CIĘCIE ŁĄCZNIKA</t>
  </si>
  <si>
    <t>CIĘCIE NÓŻEK</t>
  </si>
  <si>
    <t>CIĘCIE ŁĄCZNIKA TOPEROWEGO</t>
  </si>
  <si>
    <t>ŁĄCZNIK TRIANGLE</t>
  </si>
  <si>
    <t>RURA FI 32</t>
  </si>
  <si>
    <t>NACINANIE ŁĄCZNIKA</t>
  </si>
  <si>
    <t>NACINANIE NÓŻEK</t>
  </si>
  <si>
    <t>FREZ. ŁĄCZNIKA TOPEROWEGO POD GRAFIKĘ</t>
  </si>
  <si>
    <t>RURA FI 42</t>
  </si>
  <si>
    <t>ŁĄCZNIK HARDY (TRÓJKĄT) MAŁY</t>
  </si>
  <si>
    <t>ŁĄCZNIK HARDY (TRÓJKĄT) ŚREDNI</t>
  </si>
  <si>
    <t>ŁĄCZNIK HARDY (TRÓJKĄT) DUŻY</t>
  </si>
  <si>
    <t>ŁĄCZNIK GWIAZDA</t>
  </si>
  <si>
    <t>CENÓWKA</t>
  </si>
  <si>
    <t>SZYBKA (FRONT) ZWYKŁA (TRAY A,B,C,D,E,P)</t>
  </si>
  <si>
    <t>SZYBKA PT</t>
  </si>
  <si>
    <t>ŁĄCZNIK "ŁEZKA" KR</t>
  </si>
  <si>
    <t>RURKA ALUMINIOWA CIĘCIE</t>
  </si>
  <si>
    <t>PROFIL ALUMINIOWY CIĘCIE</t>
  </si>
  <si>
    <t>SCHODKI WTRYSKOWE</t>
  </si>
  <si>
    <t>CIĘCIE I NACINANIE</t>
  </si>
  <si>
    <t>PASKI Z TWORZYWA</t>
  </si>
  <si>
    <t>CIĘCIE ŁĄCZNIKA NA WYMIAR (2 STR.)</t>
  </si>
  <si>
    <t>KORYTKA ELEKTRYCZNE</t>
  </si>
  <si>
    <t>ELEMENT</t>
  </si>
  <si>
    <t>WYRÓB
OPERACJA</t>
  </si>
  <si>
    <t>CZAS NA 1SZT. RZECZYWISTY [s]</t>
  </si>
  <si>
    <t>NORMA [szt./godz.]</t>
  </si>
  <si>
    <t>CZAS 1 szt.</t>
  </si>
  <si>
    <t>CZAS NAKŁADU</t>
  </si>
  <si>
    <t>Nakład</t>
  </si>
  <si>
    <t>WYRÓB/ OPERACJA</t>
  </si>
  <si>
    <t>nakład</t>
  </si>
  <si>
    <t>ILOSĆ UŻYTKÓW NA FORMATCE/ ILOŚĆ Z FORMY</t>
  </si>
  <si>
    <t>DŁ FORMATKI</t>
  </si>
  <si>
    <t>TACKI</t>
  </si>
  <si>
    <t>POBRANIE WYTŁOCZKI</t>
  </si>
  <si>
    <t>NAŁOŻENIE PŁYTY</t>
  </si>
  <si>
    <t>UDEŻENIE PRASY</t>
  </si>
  <si>
    <t>ZDJĘCIE SPADU</t>
  </si>
  <si>
    <t>ilość uderzeń</t>
  </si>
  <si>
    <t>ZDJĘCIE PŁYTY</t>
  </si>
  <si>
    <t>WYJĘCIE 1 WYTŁOCZKI</t>
  </si>
  <si>
    <t>czas jednostkowy</t>
  </si>
  <si>
    <t>UKŁADANIE I SORTOWANIE</t>
  </si>
  <si>
    <t>OWIJANIE INDYWIDUALNE</t>
  </si>
  <si>
    <t>do 0,5m</t>
  </si>
  <si>
    <t>od 0,5m do 1m</t>
  </si>
  <si>
    <t>powyżej 1m</t>
  </si>
  <si>
    <t>RODZAJ ODKŁADANIA</t>
  </si>
  <si>
    <t>WILKOŚĆ WYTŁOCZKI</t>
  </si>
  <si>
    <t>ŁĄCZNA DŁUGOŚĆ ŚCIEŻEK [MM]</t>
  </si>
  <si>
    <t>ZADRUKOWANE?</t>
  </si>
  <si>
    <t>FOLIA</t>
  </si>
  <si>
    <t>Z DRUKIEM</t>
  </si>
  <si>
    <t>BEZ DRUKU</t>
  </si>
  <si>
    <t>ilosc formatek</t>
  </si>
  <si>
    <t>ilosc użytków</t>
  </si>
  <si>
    <t>długość cięcia</t>
  </si>
  <si>
    <t>czas zmiany scieżki</t>
  </si>
  <si>
    <t>pobranie wytłoczki</t>
  </si>
  <si>
    <t>operacja</t>
  </si>
  <si>
    <t>przezbrojenie</t>
  </si>
  <si>
    <t>koszt operacji</t>
  </si>
  <si>
    <t>z roli</t>
  </si>
  <si>
    <t>Frezowanie bez duplikatów</t>
  </si>
  <si>
    <t>Cięcie bez duplikatów</t>
  </si>
  <si>
    <t>?</t>
  </si>
  <si>
    <t>Alternatywna maszyna</t>
  </si>
  <si>
    <t>rolka</t>
  </si>
  <si>
    <t>Fala B dwust.bi 1200x600</t>
  </si>
  <si>
    <t>POTF3W2BI</t>
  </si>
  <si>
    <t>POTF3WSZ</t>
  </si>
  <si>
    <t>POTF5WSZ-BC</t>
  </si>
  <si>
    <t>POTF3WBI</t>
  </si>
  <si>
    <t>POTF2WSZ</t>
  </si>
  <si>
    <t>POTF5W2BI-EB</t>
  </si>
  <si>
    <t>POTF5WBI-EB</t>
  </si>
  <si>
    <t>POTF5WSZ-EB</t>
  </si>
  <si>
    <t>1*10*4</t>
  </si>
  <si>
    <t>Wymiary formatki</t>
  </si>
  <si>
    <t>dłuższa krawędź [mm]</t>
  </si>
  <si>
    <t>krótsza krawędź [mm]</t>
  </si>
  <si>
    <t>Czas 1 formatki dla 1 kolor</t>
  </si>
  <si>
    <t>inne</t>
  </si>
  <si>
    <t>Pokrycie - farba</t>
  </si>
  <si>
    <t>Powierzchnia nakładu</t>
  </si>
  <si>
    <t>Koszt farby</t>
  </si>
  <si>
    <t>szerokość (druk z roli) [mm]</t>
  </si>
  <si>
    <t>długość (druk z roli) [mm]</t>
  </si>
  <si>
    <t>do b1</t>
  </si>
  <si>
    <t>powyżej b0</t>
  </si>
  <si>
    <t>do b0</t>
  </si>
  <si>
    <t>Materiał&amp;Powierzchnia</t>
  </si>
  <si>
    <t>DrewnoDo B0</t>
  </si>
  <si>
    <t>DrewnoPowyżej B0</t>
  </si>
  <si>
    <t>InneDo B0</t>
  </si>
  <si>
    <t>InnePowyżej B0</t>
  </si>
  <si>
    <t>Do B0</t>
  </si>
  <si>
    <t>ilośc kolorów</t>
  </si>
  <si>
    <t>ilość kolorów</t>
  </si>
  <si>
    <t>Dł rakla</t>
  </si>
  <si>
    <t xml:space="preserve">Czas 1 formatki </t>
  </si>
  <si>
    <t>Koszt przezbr.</t>
  </si>
  <si>
    <t>Czas total</t>
  </si>
  <si>
    <t>Czas przezbr. total</t>
  </si>
  <si>
    <t>koszt farby</t>
  </si>
  <si>
    <t>koszt farby nakład</t>
  </si>
  <si>
    <t>Maszyna Aternatywna</t>
  </si>
  <si>
    <t>JAKOŚĆ WYDRUKU</t>
  </si>
  <si>
    <t>Inne</t>
  </si>
  <si>
    <t>Koszt total farby</t>
  </si>
  <si>
    <t>Offset</t>
  </si>
  <si>
    <t>Koszt farby (1 kolor)</t>
  </si>
  <si>
    <t>BLSTGW3-001</t>
  </si>
  <si>
    <t>Blacha st. gw. 3x1000x2000</t>
  </si>
  <si>
    <t>BLST-ZW-1,2x1x2</t>
  </si>
  <si>
    <t>Blacha st. zw. 1,2x1000x2000</t>
  </si>
  <si>
    <t>BLST-ZW-1,2x1,25x2,5</t>
  </si>
  <si>
    <t>Blacha st. zw. 1,2x1250x2500</t>
  </si>
  <si>
    <t>BLST-ZW-1,5x1x2</t>
  </si>
  <si>
    <t>Blacha st. zw. 1,5x1000x2000</t>
  </si>
  <si>
    <t>BLST-ZW-1,5x1,25x2,5</t>
  </si>
  <si>
    <t>Blacha st. zw. 1,5x1250x2500</t>
  </si>
  <si>
    <t>BLST-ZW-1x1x2</t>
  </si>
  <si>
    <t>Blacha st. zw. 1x1000x2000</t>
  </si>
  <si>
    <t>BLST-ZW-1x1,25x2,5</t>
  </si>
  <si>
    <t>Blacha st. zw. 1x1250x2500</t>
  </si>
  <si>
    <t>BLST-ZW-2x1x2</t>
  </si>
  <si>
    <t>Blacha st. zw. 2x1000x2000</t>
  </si>
  <si>
    <t>Blacha st. zw. 0,5x1500x3000</t>
  </si>
  <si>
    <t>Blacha st. gw. 4x1500x3000</t>
  </si>
  <si>
    <t>BLST-ZW-2x1,25x2,5</t>
  </si>
  <si>
    <t>Blacha st. zw. 2x1250x2500</t>
  </si>
  <si>
    <t>Blacha st. nierdz. 0,6x1250x2501 (gat. 430)</t>
  </si>
  <si>
    <t>Blacha st. nierdz. 0,6x1250x2501 (gat. 304)</t>
  </si>
  <si>
    <t>Blacha st. nierdz. 1,5x1250x2501 (gat. 430)</t>
  </si>
  <si>
    <t>LASER METAL</t>
  </si>
  <si>
    <t>NIERDZEWKA</t>
  </si>
  <si>
    <t>STAL</t>
  </si>
  <si>
    <t>ŁĄCZNA DŁUGOŚĆ</t>
  </si>
  <si>
    <t>NAKŁAD</t>
  </si>
  <si>
    <t>ILOŚĆ ŚCIEŻEK NA 1 FORMATCE</t>
  </si>
  <si>
    <t>Współczynnik</t>
  </si>
  <si>
    <t>średnia długość cięcia/1 ścieżkę</t>
  </si>
  <si>
    <t>Czas wycinania</t>
  </si>
  <si>
    <t>WYMIANA FORMATEK</t>
  </si>
  <si>
    <t>Gięcie</t>
  </si>
  <si>
    <t>KĄTOWE</t>
  </si>
  <si>
    <t>PROMIENIOWE</t>
  </si>
  <si>
    <t>ILOŚĆ GIĘĆ</t>
  </si>
  <si>
    <t>RODZAJ GIĘCIA</t>
  </si>
  <si>
    <t>KOSZT SPAWANIE</t>
  </si>
  <si>
    <t>CZAS SPAWANIE</t>
  </si>
  <si>
    <t>ILOŚĆ ELEMENTÓW W MODULE</t>
  </si>
  <si>
    <t>ILOŚĆ SPAWÓW PUNKTOWYCH</t>
  </si>
  <si>
    <t>ILOŚĆ SPAWÓW POWYŻEJ 20mm</t>
  </si>
  <si>
    <t>ŁĄCZNA DŁUGOŚĆ SPAWÓW POWYŻEJ 20mm</t>
  </si>
  <si>
    <t>NAKŁAD (KOMPLETNE KONSTRUKCJE)</t>
  </si>
  <si>
    <t>SZLIFOWANIE</t>
  </si>
  <si>
    <t>SPAWANIE</t>
  </si>
  <si>
    <t>POBIERANIE I ODKŁADANIE ELEMENTÓW</t>
  </si>
  <si>
    <t>CZAS 1 SPAWU PUNKTOWEGO</t>
  </si>
  <si>
    <t>czas inic. Spaw.</t>
  </si>
  <si>
    <t>CZAS SPAWANIA 100mm</t>
  </si>
  <si>
    <t>pobranie elementu</t>
  </si>
  <si>
    <t>szlifowanie 1pkt.</t>
  </si>
  <si>
    <t>szlifowanie 100mmb</t>
  </si>
  <si>
    <t>przejście do następnego spawu</t>
  </si>
  <si>
    <t>ILE SZLIFOWANIA</t>
  </si>
  <si>
    <t>ILOŚĆ SZLIFOWANIA PO SPAWANIU</t>
  </si>
  <si>
    <t>POWIERZCHNIA ELEMENTU [m^2]</t>
  </si>
  <si>
    <t>LAKIERNIA PROSZKOWA</t>
  </si>
  <si>
    <t>KOSZT SZLIFOWANIE PO SPAWANIU</t>
  </si>
  <si>
    <t>CZAS SZLIFOWANIE PO SPAWANIU</t>
  </si>
  <si>
    <t>SOYER</t>
  </si>
  <si>
    <t>Ilość trzpieni w detalu</t>
  </si>
  <si>
    <t>Norma</t>
  </si>
  <si>
    <t>Pobranie+odłożenie</t>
  </si>
  <si>
    <t>Przygotowanie</t>
  </si>
  <si>
    <t>ILOŚĆ TRZPIENI W DETALU</t>
  </si>
  <si>
    <t>FLOODRILL</t>
  </si>
  <si>
    <t>M4</t>
  </si>
  <si>
    <t>M5</t>
  </si>
  <si>
    <t>M6</t>
  </si>
  <si>
    <t>M8</t>
  </si>
  <si>
    <t>M10</t>
  </si>
  <si>
    <t>PŁST-20x4</t>
  </si>
  <si>
    <t xml:space="preserve">Płaskownik st. 20x4 </t>
  </si>
  <si>
    <t>PŁST-30x4</t>
  </si>
  <si>
    <t xml:space="preserve">Płaskownik st. 30x4 </t>
  </si>
  <si>
    <t>PŁST-30x6</t>
  </si>
  <si>
    <t>Płaskownik st. 30x6</t>
  </si>
  <si>
    <t>PŁST-40x6</t>
  </si>
  <si>
    <t>Płaskownik st. 40x6</t>
  </si>
  <si>
    <t>PŁST-60x6</t>
  </si>
  <si>
    <t>Płaskownik st. 60x6</t>
  </si>
  <si>
    <t>PRST-GW-20x20x2</t>
  </si>
  <si>
    <t>Profil st. gw. 20x20x2</t>
  </si>
  <si>
    <t>PRST-GW-30x20x2</t>
  </si>
  <si>
    <t>Profil st. gw. 30x20x2</t>
  </si>
  <si>
    <t>PRST-GW-30x30x2</t>
  </si>
  <si>
    <t>Profil st. gw. 30x30x2</t>
  </si>
  <si>
    <t>PRST-GW-30x30x3</t>
  </si>
  <si>
    <t>Profil st. gw. 30x30x3</t>
  </si>
  <si>
    <t>PRST-GW-40x20x2</t>
  </si>
  <si>
    <t>Profil st. gw. 40x20x2</t>
  </si>
  <si>
    <t>PRST-GW-40x30x2</t>
  </si>
  <si>
    <t>Profil st. gw. 40x30x2</t>
  </si>
  <si>
    <t>PRST-GW-40x40x2</t>
  </si>
  <si>
    <t>Profil st. gw. 40x40x2</t>
  </si>
  <si>
    <t>PRST-GW-40x40x3</t>
  </si>
  <si>
    <t>Profil st. gw. 40x40x3</t>
  </si>
  <si>
    <t>PRST-GW-50x20x2</t>
  </si>
  <si>
    <t>Profil st. gw. 50x20x2</t>
  </si>
  <si>
    <t>PRST-GW-50x30x2</t>
  </si>
  <si>
    <t>Profil st. gw. 50x30x2</t>
  </si>
  <si>
    <t>PRST-GW-60x40x2</t>
  </si>
  <si>
    <t>Profil st. gw. 60x40x2</t>
  </si>
  <si>
    <t>PRST-ZW-20x10x1,5</t>
  </si>
  <si>
    <t>Profil st. zw. 20x10x1,5</t>
  </si>
  <si>
    <t>PRST-ZW-20x20x1,5</t>
  </si>
  <si>
    <t>Profil st. zw. 20x20x1,5</t>
  </si>
  <si>
    <t>PRST-ZW-25x25x1,5</t>
  </si>
  <si>
    <t>Profil st. zw. 25x25x1,5</t>
  </si>
  <si>
    <t>PRST-ZW-30x20x1,5</t>
  </si>
  <si>
    <t>Profil st. zw. 30x20x1,5</t>
  </si>
  <si>
    <t>PRST-ZW-30x30x1,5</t>
  </si>
  <si>
    <t>Profil st. zw. 30x30x1,5</t>
  </si>
  <si>
    <t>PRST-ZW-40x20x1,5</t>
  </si>
  <si>
    <t>Profil st. zw. 40x20x1,5</t>
  </si>
  <si>
    <t>WIELKOŚĆ GWINTU</t>
  </si>
  <si>
    <t>ILOŚĆ FLOODRILLI W DETALU</t>
  </si>
  <si>
    <t>Grubość ścianki</t>
  </si>
  <si>
    <t>Stal0,5</t>
  </si>
  <si>
    <t>Stal1</t>
  </si>
  <si>
    <t>Stal1,3</t>
  </si>
  <si>
    <t>Stal1,5</t>
  </si>
  <si>
    <t>Stal2</t>
  </si>
  <si>
    <t>Stal3</t>
  </si>
  <si>
    <t>Stal4</t>
  </si>
  <si>
    <t>Stal10</t>
  </si>
  <si>
    <t>Nierdzewka1,5</t>
  </si>
  <si>
    <t>PRZETŁOCZENIA</t>
  </si>
  <si>
    <t>ILOŚĆ PRZETŁOCZEŃ W DETALU</t>
  </si>
  <si>
    <t>przebrojenie2</t>
  </si>
  <si>
    <t>przygotowanie</t>
  </si>
  <si>
    <t>pobrani+odlozenie</t>
  </si>
  <si>
    <t>naklad</t>
  </si>
  <si>
    <t>norma</t>
  </si>
  <si>
    <t>ILOŚĆ GWINTÓW W DETALU</t>
  </si>
  <si>
    <t>GWINTOWANIE WYGNIATAKIEM</t>
  </si>
  <si>
    <t>Ilość gwintów</t>
  </si>
  <si>
    <t>przezbrojenie2</t>
  </si>
  <si>
    <t>pobranie+odłożenie</t>
  </si>
  <si>
    <t>GWINTOWANIE MASZYNOWE OTWORÓW</t>
  </si>
  <si>
    <t>GRUBOŚĆ BLACHY / ŚCIANKI PROFILA [mm]</t>
  </si>
  <si>
    <t>NORMA</t>
  </si>
  <si>
    <t>GWINTOWANIE MASZYNOWE PRĘTÓW</t>
  </si>
  <si>
    <t>Przezbrojenie2</t>
  </si>
  <si>
    <t>uzbrojenie</t>
  </si>
  <si>
    <t>ILOŚĆ KOLORÓW</t>
  </si>
  <si>
    <t>Koszt siatki</t>
  </si>
  <si>
    <t>ilość przelotów</t>
  </si>
  <si>
    <t>zatowarowanie</t>
  </si>
  <si>
    <t>czas przezbrojenia</t>
  </si>
  <si>
    <t>Ilość przelotów</t>
  </si>
  <si>
    <t>1 KOLOR</t>
  </si>
  <si>
    <t>2 KOLOR</t>
  </si>
  <si>
    <t>3 KOLOR</t>
  </si>
  <si>
    <t>4 KOLOR</t>
  </si>
  <si>
    <t>5 KOLOR</t>
  </si>
  <si>
    <t>6 KOLOR</t>
  </si>
  <si>
    <t>7 KOLOR</t>
  </si>
  <si>
    <t>8 KOLOR</t>
  </si>
  <si>
    <t>9 KOLOR</t>
  </si>
  <si>
    <t>10 KOLOR</t>
  </si>
  <si>
    <t>11 KOLOR</t>
  </si>
  <si>
    <t>12 KOLOR</t>
  </si>
  <si>
    <t>13 KOLOR</t>
  </si>
  <si>
    <t>Czas przezbrojenia</t>
  </si>
  <si>
    <t>czas total</t>
  </si>
  <si>
    <t>ilość obrotów</t>
  </si>
  <si>
    <t>1 obrót</t>
  </si>
  <si>
    <t>2 obrót</t>
  </si>
  <si>
    <t>3 obrót</t>
  </si>
  <si>
    <t>4 obrót</t>
  </si>
  <si>
    <t>5 obrót</t>
  </si>
  <si>
    <t>maszyna</t>
  </si>
  <si>
    <t>SZEROKOŚĆ PAKIETU</t>
  </si>
  <si>
    <t>WYSOKOŚĆ PAKIETU</t>
  </si>
  <si>
    <t>CZAS/NORMA</t>
  </si>
  <si>
    <t>CZAS ZAŁADUNKU 1 SZTANGI</t>
  </si>
  <si>
    <t>długość sztangi</t>
  </si>
  <si>
    <t>ILOŚĆ UŻYTKÓW Z 1 SZTANGI</t>
  </si>
  <si>
    <t>ilość sztang</t>
  </si>
  <si>
    <t>ilość pakietów</t>
  </si>
  <si>
    <t>czas załadunku</t>
  </si>
  <si>
    <t>czas nakładu</t>
  </si>
  <si>
    <t>Wysokość profila</t>
  </si>
  <si>
    <t>Szerokość profila</t>
  </si>
  <si>
    <t>DŁUGOŚĆ CIĘCIA
[mm]</t>
  </si>
  <si>
    <t>DOKŁADNOŚĆ CIĘCIA</t>
  </si>
  <si>
    <t>WYMIAR DOCELOWY</t>
  </si>
  <si>
    <t>DO PÓŹNIEJSZEGO PRZYCIĘCIA</t>
  </si>
  <si>
    <t>WYSOKOŚĆ PROFILA
[mm]</t>
  </si>
  <si>
    <t>SZEROKOŚĆ PROFILA
[mm]</t>
  </si>
  <si>
    <t>Maks ilosc sztang w pakiecie</t>
  </si>
  <si>
    <t>CIĘCIE PROFILI BOMAR</t>
  </si>
  <si>
    <t>Blacha</t>
  </si>
  <si>
    <t>Płaskownik</t>
  </si>
  <si>
    <t>Profil</t>
  </si>
  <si>
    <t>Element</t>
  </si>
  <si>
    <t>Otworowanie, wiercenie</t>
  </si>
  <si>
    <t>ILOŚĆ OTWORÓW W DETALU</t>
  </si>
  <si>
    <t>ILOŚĆ PUNKTOWAŃ W DETALU</t>
  </si>
  <si>
    <t>Ilość otworów</t>
  </si>
  <si>
    <t>CZAS UZBROJENIA</t>
  </si>
  <si>
    <t>POBRANIE I ODŁOŻENIE EL.</t>
  </si>
  <si>
    <t>Czas operacji</t>
  </si>
  <si>
    <t>Punktowanie</t>
  </si>
  <si>
    <t>Ilość punktowań</t>
  </si>
  <si>
    <t>Długość</t>
  </si>
  <si>
    <t>Szerokość</t>
  </si>
  <si>
    <t>ILOŚĆ UKOSOWAŃ W DETALU</t>
  </si>
  <si>
    <t>ILOŚĆ DOCINANYCH KOŃCY W DETALU [1 lub 2]</t>
  </si>
  <si>
    <t>UKOSOWANIE</t>
  </si>
  <si>
    <t>DOCINANIE</t>
  </si>
  <si>
    <t>Pręt</t>
  </si>
  <si>
    <t>OKRAWANIE, WYKRAWANIE</t>
  </si>
  <si>
    <t>ILOŚĆ WYKRAWAŃ W DETALU</t>
  </si>
  <si>
    <t>WYMIAR CIĘCIA [mm]</t>
  </si>
  <si>
    <t>Wymiar cięcia</t>
  </si>
  <si>
    <t>Cięcie pręt, płaskownik</t>
  </si>
  <si>
    <t>Uzbrojenie</t>
  </si>
  <si>
    <t>Operacja łaczny czas</t>
  </si>
  <si>
    <t>RODZAJ FARBY</t>
  </si>
  <si>
    <t xml:space="preserve">koszt [m^2] - 1 kolor </t>
  </si>
  <si>
    <t>zwykła</t>
  </si>
  <si>
    <t>srebrna</t>
  </si>
  <si>
    <t>koszt [m^2]</t>
  </si>
  <si>
    <t>Frezowanie profili</t>
  </si>
  <si>
    <t>czas minimalny</t>
  </si>
  <si>
    <t>Czas operacji 1 frezowania</t>
  </si>
  <si>
    <t>ILOŚĆ PODFREZOWAŃ</t>
  </si>
  <si>
    <t>ILOŚĆ ŻEBER DO FREZOWANIA</t>
  </si>
  <si>
    <t>DO 1</t>
  </si>
  <si>
    <t>POWYŻEJ 1</t>
  </si>
  <si>
    <t>ILOŚĆ ELEMENTÓW</t>
  </si>
  <si>
    <t>ILOŚĆ ZGRZEWÓW</t>
  </si>
  <si>
    <t>Zgrzewanie</t>
  </si>
  <si>
    <t>Pobranie +odłożenie</t>
  </si>
  <si>
    <t>Zgrzew</t>
  </si>
  <si>
    <t>Płyta AXPET b/b 1250x2050 ≠1</t>
  </si>
  <si>
    <t>Płyta AXPET b/b 1250x2050 ≠1,5</t>
  </si>
  <si>
    <t>Płyta AXPET b/b 2050x3050 ≠1</t>
  </si>
  <si>
    <t>Płyta AXPET b/b 2050x3050 ≠1,5</t>
  </si>
  <si>
    <t>Płyta AXPET b/b 2050x3050 ≠2</t>
  </si>
  <si>
    <t>Płyta AXPET b/b 2050x3050 ≠3</t>
  </si>
  <si>
    <t>Płyta AXPET opal 2050x3050 ≠1</t>
  </si>
  <si>
    <t>Płyta AXPET opal 2050x3050 ≠1,5</t>
  </si>
  <si>
    <t>Płyta FOREX SMART biała 1220x3050 ≠5</t>
  </si>
  <si>
    <t>Płyta FOREX SMART biała 1220x3050 ≠10</t>
  </si>
  <si>
    <t>Płyta HIPS biała m/m 1000x2000 ≠0,2</t>
  </si>
  <si>
    <t>Płyta HIPS biała m/m 1000x2000 ≠0,5</t>
  </si>
  <si>
    <t>Płyta HIPS biała m/m 1000x2000 ≠0,8</t>
  </si>
  <si>
    <t>Płyta HIPS biała m/m 1000x2000 ≠1</t>
  </si>
  <si>
    <t>Płyta HIPS biała m/m 1000x2000 ≠1,5</t>
  </si>
  <si>
    <t>Płyta HIPS biała m/m 1000x2000 ≠2</t>
  </si>
  <si>
    <t>Płyta HIPS biała m/m 1000x2000 ≠3</t>
  </si>
  <si>
    <t>Płyta HIPS biała m/p 1000x2000 ≠1</t>
  </si>
  <si>
    <t>Płyta HIPS biała m/p 1000x2000 ≠1,5</t>
  </si>
  <si>
    <t>Płyta HIPS biała m/p 1000x2000 ≠2</t>
  </si>
  <si>
    <t>Płyta HIPS biała m/p 1000x2000 ≠3</t>
  </si>
  <si>
    <t>Płyta HIPS biała m/p 1000x2000 ≠4</t>
  </si>
  <si>
    <t>Płyta HIPS czarna m/p 1000x2000 ≠1</t>
  </si>
  <si>
    <t>Płyta HIPS czarna m/p 1000x2000 ≠1,5</t>
  </si>
  <si>
    <t>Płyta HIPS czarna m/p 1000x2000 ≠2</t>
  </si>
  <si>
    <t>Płyta HIPS czarna m/p 1000x2000 ≠3</t>
  </si>
  <si>
    <t>Płyta HIPS czerwona m/p 1000x2000 ≠2</t>
  </si>
  <si>
    <t>Płyta HIPS lustro srebrne 1000x2000 ≠1</t>
  </si>
  <si>
    <t>Płyta HIPS lustro srebrne 1000x2000 ≠1,5</t>
  </si>
  <si>
    <t>Płyta HIPS lustro srebrne 1000x2000 ≠2</t>
  </si>
  <si>
    <t>Płyta HIPS niebieska m/p 1000x2000 ≠2</t>
  </si>
  <si>
    <t>Płyta HIPS opal m/m 1000x2000 ≠1</t>
  </si>
  <si>
    <t>Płyta HIPS opal m/m 1000x2000 ≠1,5</t>
  </si>
  <si>
    <t>Płyta HIPS opal m/m 1000x2000 ≠2</t>
  </si>
  <si>
    <t>Płyta HIPS srebrna met. 1000x2000 ≠1</t>
  </si>
  <si>
    <t>Płyta HIPS srebrna met. 1000x2000 ≠1,5</t>
  </si>
  <si>
    <t>Płyta HIPS srebrna met. 1000x2000 ≠2</t>
  </si>
  <si>
    <t>Płyta HIPS srebrna met. 1000x2000 ≠3</t>
  </si>
  <si>
    <t>Płyta HIPS zielona m/p 1000x2000 ≠2</t>
  </si>
  <si>
    <t>Płyta HIPS żółta m/p 1000x2000 ≠2</t>
  </si>
  <si>
    <t>Płyta PLEXI b/b HI 25kJ 2050x3050 ≠2</t>
  </si>
  <si>
    <t>Płyta PLEXI b/b HI 25kJ 2050x3050 ≠3</t>
  </si>
  <si>
    <t>Płyta PLEXI b/b HI 60kJ 2050x3050 ≠2</t>
  </si>
  <si>
    <t>Płyta PLEXI b/b HI 60kJ 2050x3050 ≠3</t>
  </si>
  <si>
    <t>Płyta PLEXI CN b/b 2030x3050 ≠3</t>
  </si>
  <si>
    <t>Płyta PLEXI CN b/b 2030x3050 ≠4</t>
  </si>
  <si>
    <t>Płyta PLEXI CN b/b 2030x3050 ≠5</t>
  </si>
  <si>
    <t>Płyta PLEXI CN b/b 2030x3050 ≠6</t>
  </si>
  <si>
    <t>Płyta PLEXI CN b/b 2030x3050 ≠8</t>
  </si>
  <si>
    <t>Płyta PLEXI CN b/b 2030x3050 ≠10</t>
  </si>
  <si>
    <t>Płyta PLEXI EX b/b 2050x3050 ≠2</t>
  </si>
  <si>
    <t>Płyta PLEXI EX b/b 2050x3050 ≠3</t>
  </si>
  <si>
    <t>Płyta PLEXI EX b/b 2050x3050 ≠4</t>
  </si>
  <si>
    <t>Płyta PLEXI EX b/b 2050x3050 ≠5</t>
  </si>
  <si>
    <t>Płyta PLEXI EX b/b 2050x3050 ≠6</t>
  </si>
  <si>
    <t>Płyta PLEXI EX b/b 2050x3050 ≠8</t>
  </si>
  <si>
    <t>Płyta PLEXI EX b/b 2050x3050 ≠10</t>
  </si>
  <si>
    <t>Płyta PLEXI EX opal 2050x3050 ≠2</t>
  </si>
  <si>
    <t>Płyta PLEXI EX opal 2050x3050 ≠3</t>
  </si>
  <si>
    <t>Płyta PVC b/b 1000x2000 ≠1</t>
  </si>
  <si>
    <t>Płyta PVC b/b 1000x2000 ≠1,5</t>
  </si>
  <si>
    <t>Płyta PVC b/b 1000x2000 ≠2</t>
  </si>
  <si>
    <t>Płyta PVC b/b 1000x2000 ≠3</t>
  </si>
  <si>
    <t>Płyta PVC b/b p/p 1000x1400 ≠0,2</t>
  </si>
  <si>
    <t>Płyta PVC b/b p/p 1000x1400 ≠0,5</t>
  </si>
  <si>
    <t>Płyta PVC b/b p/p 1000x1400 ≠0,8</t>
  </si>
  <si>
    <t>Płyta PVC biała 1000x2000 ≠1</t>
  </si>
  <si>
    <t>Płyta PVC biała 1000x2000 ≠1,5</t>
  </si>
  <si>
    <t>Płyta PVC biała 1000x2000 ≠2</t>
  </si>
  <si>
    <t>Płyta PVC biała 1000x2000 ≠3</t>
  </si>
  <si>
    <t>Płyta PVC biała p/p 1000x1400 ≠0,2</t>
  </si>
  <si>
    <t>Płyta PVC biała p/p 1000x1400 ≠0,5</t>
  </si>
  <si>
    <t>Płyta PVC biała p/p 1000x1400 ≠0,8</t>
  </si>
  <si>
    <t>Płyta PVC spieniona biała 1000x2000 ≠1</t>
  </si>
  <si>
    <t>Płyta PVC spieniona biała 1000x2000 ≠2</t>
  </si>
  <si>
    <t>Płyta PVC spieniona biała 1000x2000 ≠3</t>
  </si>
  <si>
    <t>Płyta PVC spieniona biała 1000x2000 ≠4</t>
  </si>
  <si>
    <t>Płyta PVC spieniona biała 1000x2000 ≠5</t>
  </si>
  <si>
    <t>Płyta PVC spieniona biała 1000x2000 ≠6</t>
  </si>
  <si>
    <t>Płyta PVC spieniona biała 1000x2000 ≠8</t>
  </si>
  <si>
    <t>Płyta PVC spieniona biała 1000x2000 ≠10</t>
  </si>
  <si>
    <t>Płyta PVC spieniona biała 1400x3050 ≠19</t>
  </si>
  <si>
    <t>Płyta TUPET b/b 1250x2050 ≠0,5</t>
  </si>
  <si>
    <t>Płyta TUPET b/b 2050x3050 ≠1</t>
  </si>
  <si>
    <t>Płyta TUPET b/b 2050x3050 ≠1,5</t>
  </si>
  <si>
    <t>Płyta TUPET b/b 2050x3050 ≠2</t>
  </si>
  <si>
    <t>Płyta VIVAK b/b 1250x2050 ≠0,5</t>
  </si>
  <si>
    <t>Płyta VIVAK b/b 1250x2050 ≠1</t>
  </si>
  <si>
    <t>Płyta VIVAK b/b 1250x2050 ≠1,5</t>
  </si>
  <si>
    <t>Płyta VIVAK b/b 2050x3050 ≠1</t>
  </si>
  <si>
    <t>Płyta VIVAK b/b 2050x3050 ≠1,5</t>
  </si>
  <si>
    <t>Płyta VIVAK b/b 2050x3050 ≠2</t>
  </si>
  <si>
    <t>Płyta PLEXI EX opal 2050x3050 ≠5</t>
  </si>
  <si>
    <t>Płyta PLEXI CN biała 2050x3050 ≠3</t>
  </si>
  <si>
    <t>Płyta PLEXI CN biała 2050x3050 5mm ≠5</t>
  </si>
  <si>
    <t>Płyta PLEXI CN biała 2050x3050 10mm ≠10</t>
  </si>
  <si>
    <t>Płyta PLEXI ex czarna 2050x3050  ≠2</t>
  </si>
  <si>
    <t>Płyta PLEXI cn czarna 2050x3050 ≠5</t>
  </si>
  <si>
    <t>Płyta PLEXI lustro srebrne 2050x3050 ≠2</t>
  </si>
  <si>
    <t>Płyta PLEXI lustro srebrne 2050x3050 ≠3</t>
  </si>
  <si>
    <t>Płyta PLEXI lustro złote 2050x3050 ≠3</t>
  </si>
  <si>
    <t>indeks2</t>
  </si>
  <si>
    <t>OPERACJA NAKŁAD</t>
  </si>
  <si>
    <t>PRZEZBROJENIE  NAKŁAD</t>
  </si>
  <si>
    <t>PRZEZBROJENIE NAKŁAD</t>
  </si>
  <si>
    <t>OPERACJA NAKŁAD JAROMA</t>
  </si>
  <si>
    <t>PRZEZBROJENIE NAKŁAD JAROMA</t>
  </si>
  <si>
    <t>OPERACJA NAKŁAD HOMAG</t>
  </si>
  <si>
    <t>PRZEZBROJENIE NAKŁAD HOMAG</t>
  </si>
  <si>
    <t>CZAS NA 1 SZTUKĘ</t>
  </si>
  <si>
    <t>Ilość m2 do pomalowania</t>
  </si>
  <si>
    <t>zakładana wydajność[m2/h]</t>
  </si>
  <si>
    <t>Cel lakierni wg Rafała wynosi 48 m2/h. Cel został zmniejsozny ze względu na występujące przezbrojenia (udział przezbrojeń w całej produkcji wynosi 6%- o tyle został zmniejszony cel)</t>
  </si>
  <si>
    <t xml:space="preserve">Błona </t>
  </si>
  <si>
    <t>Błona + grafika</t>
  </si>
  <si>
    <t>Do 1mm</t>
  </si>
  <si>
    <t>Powyżej 1mm</t>
  </si>
  <si>
    <t>Czas dla kartonu</t>
  </si>
  <si>
    <t>Czas dla tworzywa</t>
  </si>
  <si>
    <t>SZTANCOWANIE wyr tworz</t>
  </si>
  <si>
    <t>Do podświetleń/wysoka jakość/bezbarwny</t>
  </si>
  <si>
    <t>Dane techniczne</t>
  </si>
  <si>
    <t>Szerokość Pasa</t>
  </si>
  <si>
    <t>Prędkość mb/min</t>
  </si>
  <si>
    <t>Czas pojedyńczego przejścia</t>
  </si>
  <si>
    <t>Ilość przejść</t>
  </si>
  <si>
    <t>Całkowita droga mb</t>
  </si>
  <si>
    <t>Czas przejścia</t>
  </si>
  <si>
    <t>czas konserwacji - mikroprzestojów -czyszczenie</t>
  </si>
  <si>
    <t>czas dojścia do pierwszej formatki</t>
  </si>
  <si>
    <t>czas przejścia między pierwszą a drugą</t>
  </si>
  <si>
    <t>czas przejscia do początku</t>
  </si>
  <si>
    <t>liczba formatek na stole</t>
  </si>
  <si>
    <t>Maksymalna pow zadruku stare UV</t>
  </si>
  <si>
    <t>express</t>
  </si>
  <si>
    <t>Layer</t>
  </si>
  <si>
    <t>Layer2</t>
  </si>
  <si>
    <t>Layer3</t>
  </si>
  <si>
    <t>Production</t>
  </si>
  <si>
    <t>Quality smooth</t>
  </si>
  <si>
    <t>Quality mat</t>
  </si>
  <si>
    <t>Quality layer 1w</t>
  </si>
  <si>
    <t>Quality layer 2w</t>
  </si>
  <si>
    <t>Quality layer</t>
  </si>
  <si>
    <t>W wycenie zostala zmieniona wydajnosc względem rozliczenia. Wartosc 33 m2/h odpowiada stawce 21 pln za m2 malowania w outsourcingu. 704pln/MH=33*21</t>
  </si>
  <si>
    <t>Wciskanie PEM</t>
  </si>
  <si>
    <t>M5, M6</t>
  </si>
  <si>
    <t>Pobranie/ odłożenie</t>
  </si>
  <si>
    <t>czas na 1 PEM</t>
  </si>
  <si>
    <t>Ilość PEM do wciśnięcia</t>
  </si>
  <si>
    <t>ILOŚĆ PEM DO WCIŚNIĘCIA</t>
  </si>
  <si>
    <t>Wielkość gwintu</t>
  </si>
  <si>
    <t>HDF SUROWA</t>
  </si>
  <si>
    <t>Czy HDF surowa</t>
  </si>
  <si>
    <t>POMDBA-1,27-30,5</t>
  </si>
  <si>
    <t>Backlight solvent 1,27x30,5</t>
  </si>
  <si>
    <t>PRST-C-OKR-FI10</t>
  </si>
  <si>
    <t>Pręt st. ciągniony fi 10 (0,617kg/mb)</t>
  </si>
  <si>
    <t>PRST-C-OKR-FI3</t>
  </si>
  <si>
    <t>PRST-C-OKR-FI4</t>
  </si>
  <si>
    <t>PRST-C-OKR-FI5</t>
  </si>
  <si>
    <t>PRST-C-OKR-FI6</t>
  </si>
  <si>
    <t>PRST-C-OKR-FI8</t>
  </si>
  <si>
    <t>Pręt st. ciągniony fi 3 (0,055kg/mb)</t>
  </si>
  <si>
    <t>Pręt st. ciągniony fi 4 (0,099kg/mb)</t>
  </si>
  <si>
    <t>Pręt st. ciągniony fi 5 (0,154kg/mb)</t>
  </si>
  <si>
    <t>Pręt st. ciągniony fi 6 (0,222kg/mb)</t>
  </si>
  <si>
    <t>Pręt st. ciągniony fi 8 (0,395kg/mb)</t>
  </si>
  <si>
    <t>0.5</t>
  </si>
  <si>
    <t>Płyta VIVAK b/b 2050x3050 ≠3</t>
  </si>
  <si>
    <t>PŁVKBB-3,02,05x3,05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</si>
</sst>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#,##0\ &quot;zł&quot;;[Red]\-#,##0\ &quot;zł&quot;"/>
    <numFmt numFmtId="44" formatCode="_-* #,##0.00\ &quot;zł&quot;_-;\-* #,##0.00\ &quot;zł&quot;_-;_-* &quot;-&quot;??\ &quot;zł&quot;_-;_-@_-"/>
    <numFmt numFmtId="164" formatCode="[h]:mm:ss;@"/>
    <numFmt numFmtId="165" formatCode="[$-F400]h:mm:ss\ AM/PM"/>
    <numFmt numFmtId="166" formatCode="0.00000"/>
    <numFmt numFmtId="167" formatCode="#,##0.00\ &quot;zł&quot;"/>
    <numFmt numFmtId="168" formatCode="mm:ss.0;@"/>
    <numFmt numFmtId="169" formatCode="mm:ss.00"/>
  </numFmts>
  <fonts count="53">
    <font>
      <sz val="11"/>
      <color theme="1"/>
      <name val="Calibri"/>
      <family val="2"/>
      <charset val="238"/>
      <scheme val="minor"/>
    </font>
    <font>
      <sz val="8"/>
      <color rgb="FF000000"/>
      <name val="Segoe UI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sz val="10"/>
      <name val="Tahoma"/>
      <family val="2"/>
      <charset val="238"/>
    </font>
    <font>
      <sz val="10"/>
      <name val="Czcionka tekstu podstawowego"/>
      <charset val="238"/>
    </font>
    <font>
      <sz val="10"/>
      <color theme="1"/>
      <name val="Czcionka tekstu podstawowego"/>
      <family val="2"/>
      <charset val="238"/>
    </font>
    <font>
      <sz val="10"/>
      <color rgb="FFFF0000"/>
      <name val="Tahoma"/>
      <family val="2"/>
      <charset val="238"/>
    </font>
    <font>
      <sz val="10"/>
      <color theme="1"/>
      <name val="Tahoma"/>
      <family val="2"/>
      <charset val="238"/>
    </font>
    <font>
      <sz val="10"/>
      <color indexed="8"/>
      <name val="Czcionka tekstu podstawowego"/>
      <charset val="238"/>
    </font>
    <font>
      <sz val="10"/>
      <color rgb="FF000000"/>
      <name val="Tahoma"/>
      <family val="2"/>
      <charset val="238"/>
    </font>
    <font>
      <b/>
      <sz val="10"/>
      <color theme="1"/>
      <name val="Calibri"/>
      <family val="2"/>
      <charset val="238"/>
      <scheme val="minor"/>
    </font>
    <font>
      <b/>
      <sz val="10"/>
      <color theme="5"/>
      <name val="Calibri"/>
      <family val="2"/>
      <charset val="238"/>
      <scheme val="minor"/>
    </font>
    <font>
      <b/>
      <sz val="10"/>
      <color rgb="FFFF0000"/>
      <name val="Czcionka tekstu podstawowego"/>
      <charset val="238"/>
    </font>
    <font>
      <b/>
      <sz val="1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8"/>
      <color rgb="FFFFFF00"/>
      <name val="Calibri"/>
      <family val="2"/>
      <charset val="238"/>
      <scheme val="minor"/>
    </font>
    <font>
      <sz val="8"/>
      <color rgb="FFFF0000"/>
      <name val="Calibri"/>
      <family val="2"/>
      <charset val="238"/>
      <scheme val="minor"/>
    </font>
    <font>
      <sz val="8"/>
      <name val="Czcionka tekstu podstawowego"/>
      <family val="2"/>
      <charset val="238"/>
    </font>
    <font>
      <sz val="10"/>
      <color theme="1"/>
      <name val="Calibri"/>
      <family val="2"/>
      <charset val="238"/>
      <scheme val="minor"/>
    </font>
    <font>
      <b/>
      <sz val="10"/>
      <color indexed="8"/>
      <name val="Czcionka tekstu podstawowego"/>
      <charset val="238"/>
    </font>
    <font>
      <sz val="10"/>
      <color rgb="FFFFFF00"/>
      <name val="Calibri"/>
      <family val="2"/>
      <charset val="238"/>
      <scheme val="minor"/>
    </font>
    <font>
      <b/>
      <sz val="10"/>
      <name val="Czcionka tekstu podstawowego"/>
      <charset val="238"/>
    </font>
    <font>
      <b/>
      <sz val="10"/>
      <name val="Czcionka tekstu podstawowego"/>
      <family val="2"/>
      <charset val="238"/>
    </font>
    <font>
      <sz val="10"/>
      <name val="Calibri"/>
      <family val="2"/>
      <charset val="238"/>
      <scheme val="minor"/>
    </font>
    <font>
      <b/>
      <sz val="12"/>
      <color indexed="10"/>
      <name val="Czcionka tekstu podstawowego"/>
      <family val="2"/>
      <charset val="238"/>
    </font>
    <font>
      <b/>
      <sz val="12"/>
      <color theme="1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8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9"/>
      <color rgb="FFFF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zcionka tekstu podstawowego"/>
      <family val="2"/>
      <charset val="238"/>
    </font>
    <font>
      <b/>
      <sz val="14"/>
      <color theme="1"/>
      <name val="Calibri"/>
      <family val="2"/>
      <charset val="238"/>
      <scheme val="minor"/>
    </font>
    <font>
      <b/>
      <sz val="10"/>
      <color rgb="FFFFFF00"/>
      <name val="Czcionka tekstu podstawowego"/>
      <charset val="238"/>
    </font>
    <font>
      <b/>
      <sz val="10"/>
      <color rgb="FFFFFF00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color theme="1"/>
      <name val="Czcionka tekstu podstawowego"/>
      <charset val="238"/>
    </font>
    <font>
      <b/>
      <sz val="11"/>
      <color theme="1"/>
      <name val="Czcionka tekstu podstawowego"/>
      <charset val="238"/>
    </font>
    <font>
      <b/>
      <sz val="16"/>
      <color theme="1"/>
      <name val="Czcionka tekstu podstawowego"/>
      <charset val="238"/>
    </font>
    <font>
      <b/>
      <sz val="9"/>
      <color theme="1"/>
      <name val="Czcionka tekstu podstawowego"/>
      <charset val="238"/>
    </font>
    <font>
      <b/>
      <sz val="10"/>
      <color theme="1"/>
      <name val="Czcionka tekstu podstawowego"/>
      <charset val="238"/>
    </font>
    <font>
      <b/>
      <sz val="11"/>
      <name val="Czcionka tekstu podstawowego"/>
      <charset val="238"/>
    </font>
    <font>
      <sz val="11"/>
      <color theme="1"/>
      <name val="Calibri"/>
      <family val="2"/>
      <charset val="238"/>
    </font>
    <font>
      <b/>
      <sz val="20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6"/>
      </patternFill>
    </fill>
    <fill>
      <patternFill patternType="solid">
        <fgColor rgb="FF99CC0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4" tint="0.39997558519241921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4" fillId="0" borderId="0"/>
    <xf numFmtId="44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526">
    <xf numFmtId="0" fontId="0" fillId="0" borderId="0" xfId="0"/>
    <xf numFmtId="0" fontId="5" fillId="0" borderId="25" xfId="0" applyFont="1" applyBorder="1" applyAlignment="1">
      <alignment horizontal="center" vertical="center"/>
    </xf>
    <xf numFmtId="0" fontId="5" fillId="0" borderId="23" xfId="0" applyFont="1" applyBorder="1" applyAlignment="1">
      <alignment horizontal="left" wrapText="1"/>
    </xf>
    <xf numFmtId="0" fontId="5" fillId="0" borderId="24" xfId="0" applyFont="1" applyBorder="1" applyAlignment="1">
      <alignment horizontal="left"/>
    </xf>
    <xf numFmtId="0" fontId="5" fillId="0" borderId="24" xfId="0" applyFont="1" applyBorder="1" applyAlignment="1">
      <alignment horizontal="center"/>
    </xf>
    <xf numFmtId="0" fontId="5" fillId="0" borderId="24" xfId="0" applyFont="1" applyBorder="1"/>
    <xf numFmtId="0" fontId="7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8" fillId="0" borderId="24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0" fillId="0" borderId="27" xfId="0" applyBorder="1" applyAlignment="1">
      <alignment wrapText="1"/>
    </xf>
    <xf numFmtId="0" fontId="8" fillId="0" borderId="23" xfId="0" applyFont="1" applyBorder="1" applyAlignment="1">
      <alignment horizontal="left" wrapText="1"/>
    </xf>
    <xf numFmtId="0" fontId="8" fillId="0" borderId="24" xfId="0" applyFont="1" applyBorder="1" applyAlignment="1">
      <alignment horizontal="center"/>
    </xf>
    <xf numFmtId="0" fontId="8" fillId="0" borderId="24" xfId="0" applyFont="1" applyBorder="1"/>
    <xf numFmtId="0" fontId="0" fillId="0" borderId="27" xfId="0" applyBorder="1"/>
    <xf numFmtId="0" fontId="5" fillId="0" borderId="23" xfId="0" applyFont="1" applyBorder="1"/>
    <xf numFmtId="0" fontId="9" fillId="0" borderId="23" xfId="0" applyFont="1" applyBorder="1" applyAlignment="1">
      <alignment horizontal="left"/>
    </xf>
    <xf numFmtId="0" fontId="9" fillId="0" borderId="24" xfId="0" applyFont="1" applyBorder="1" applyAlignment="1">
      <alignment horizontal="center"/>
    </xf>
    <xf numFmtId="0" fontId="11" fillId="0" borderId="23" xfId="0" applyFont="1" applyBorder="1"/>
    <xf numFmtId="0" fontId="9" fillId="0" borderId="24" xfId="0" applyFont="1" applyBorder="1"/>
    <xf numFmtId="0" fontId="5" fillId="0" borderId="25" xfId="0" applyFont="1" applyBorder="1" applyAlignment="1">
      <alignment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3" fillId="0" borderId="31" xfId="0" applyFont="1" applyBorder="1"/>
    <xf numFmtId="0" fontId="12" fillId="0" borderId="32" xfId="0" applyFont="1" applyBorder="1"/>
    <xf numFmtId="0" fontId="12" fillId="0" borderId="14" xfId="0" applyFont="1" applyBorder="1"/>
    <xf numFmtId="0" fontId="7" fillId="9" borderId="32" xfId="0" applyFont="1" applyFill="1" applyBorder="1"/>
    <xf numFmtId="0" fontId="7" fillId="0" borderId="32" xfId="0" applyFont="1" applyBorder="1"/>
    <xf numFmtId="0" fontId="7" fillId="0" borderId="32" xfId="0" applyFont="1" applyBorder="1" applyAlignment="1">
      <alignment wrapText="1"/>
    </xf>
    <xf numFmtId="0" fontId="7" fillId="3" borderId="32" xfId="0" applyFont="1" applyFill="1" applyBorder="1"/>
    <xf numFmtId="0" fontId="7" fillId="0" borderId="20" xfId="0" applyFont="1" applyBorder="1" applyAlignment="1">
      <alignment wrapText="1"/>
    </xf>
    <xf numFmtId="0" fontId="7" fillId="3" borderId="32" xfId="0" applyFont="1" applyFill="1" applyBorder="1" applyAlignment="1">
      <alignment wrapText="1"/>
    </xf>
    <xf numFmtId="0" fontId="7" fillId="0" borderId="20" xfId="0" applyFont="1" applyBorder="1"/>
    <xf numFmtId="0" fontId="7" fillId="0" borderId="14" xfId="0" applyFont="1" applyBorder="1"/>
    <xf numFmtId="0" fontId="7" fillId="9" borderId="32" xfId="0" applyFont="1" applyFill="1" applyBorder="1" applyAlignment="1">
      <alignment wrapText="1"/>
    </xf>
    <xf numFmtId="0" fontId="7" fillId="0" borderId="33" xfId="0" applyFont="1" applyBorder="1"/>
    <xf numFmtId="0" fontId="7" fillId="3" borderId="33" xfId="0" applyFont="1" applyFill="1" applyBorder="1" applyAlignment="1">
      <alignment wrapText="1"/>
    </xf>
    <xf numFmtId="0" fontId="7" fillId="0" borderId="21" xfId="0" applyFont="1" applyBorder="1"/>
    <xf numFmtId="0" fontId="7" fillId="0" borderId="22" xfId="0" applyFont="1" applyBorder="1"/>
    <xf numFmtId="0" fontId="5" fillId="0" borderId="24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14" fillId="0" borderId="32" xfId="0" applyFont="1" applyBorder="1"/>
    <xf numFmtId="0" fontId="14" fillId="3" borderId="32" xfId="0" applyFont="1" applyFill="1" applyBorder="1"/>
    <xf numFmtId="0" fontId="14" fillId="3" borderId="32" xfId="0" applyFont="1" applyFill="1" applyBorder="1" applyAlignment="1">
      <alignment wrapText="1"/>
    </xf>
    <xf numFmtId="0" fontId="8" fillId="0" borderId="24" xfId="0" applyFont="1" applyBorder="1" applyAlignment="1">
      <alignment wrapText="1"/>
    </xf>
    <xf numFmtId="0" fontId="15" fillId="8" borderId="31" xfId="0" applyFont="1" applyFill="1" applyBorder="1"/>
    <xf numFmtId="0" fontId="6" fillId="0" borderId="14" xfId="0" applyFont="1" applyBorder="1" applyAlignment="1">
      <alignment wrapText="1"/>
    </xf>
    <xf numFmtId="0" fontId="6" fillId="0" borderId="14" xfId="0" applyFont="1" applyBorder="1"/>
    <xf numFmtId="21" fontId="16" fillId="0" borderId="0" xfId="0" applyNumberFormat="1" applyFont="1" applyAlignment="1">
      <alignment horizontal="left" vertical="center"/>
    </xf>
    <xf numFmtId="0" fontId="16" fillId="0" borderId="0" xfId="0" applyFont="1"/>
    <xf numFmtId="0" fontId="16" fillId="2" borderId="0" xfId="0" applyFont="1" applyFill="1"/>
    <xf numFmtId="0" fontId="16" fillId="3" borderId="0" xfId="0" applyFont="1" applyFill="1"/>
    <xf numFmtId="0" fontId="18" fillId="3" borderId="0" xfId="0" applyFont="1" applyFill="1"/>
    <xf numFmtId="0" fontId="17" fillId="3" borderId="0" xfId="0" applyFont="1" applyFill="1" applyAlignment="1">
      <alignment horizontal="center" vertical="center"/>
    </xf>
    <xf numFmtId="0" fontId="17" fillId="3" borderId="0" xfId="0" applyFont="1" applyFill="1"/>
    <xf numFmtId="1" fontId="17" fillId="3" borderId="0" xfId="0" applyNumberFormat="1" applyFont="1" applyFill="1" applyAlignment="1">
      <alignment horizontal="left" vertical="center"/>
    </xf>
    <xf numFmtId="0" fontId="19" fillId="3" borderId="0" xfId="0" applyFont="1" applyFill="1"/>
    <xf numFmtId="21" fontId="16" fillId="3" borderId="0" xfId="0" applyNumberFormat="1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21" fillId="0" borderId="0" xfId="0" applyFont="1"/>
    <xf numFmtId="0" fontId="21" fillId="2" borderId="0" xfId="0" applyFont="1" applyFill="1"/>
    <xf numFmtId="0" fontId="21" fillId="3" borderId="0" xfId="0" applyFont="1" applyFill="1"/>
    <xf numFmtId="0" fontId="22" fillId="4" borderId="1" xfId="0" applyFont="1" applyFill="1" applyBorder="1" applyAlignment="1" applyProtection="1">
      <alignment horizontal="left" vertical="center" wrapText="1"/>
      <protection hidden="1"/>
    </xf>
    <xf numFmtId="0" fontId="23" fillId="3" borderId="0" xfId="0" applyFont="1" applyFill="1"/>
    <xf numFmtId="0" fontId="22" fillId="4" borderId="1" xfId="0" applyFont="1" applyFill="1" applyBorder="1" applyAlignment="1" applyProtection="1">
      <alignment horizontal="center" vertical="center" wrapText="1"/>
      <protection hidden="1"/>
    </xf>
    <xf numFmtId="0" fontId="22" fillId="4" borderId="15" xfId="0" applyFont="1" applyFill="1" applyBorder="1" applyAlignment="1" applyProtection="1">
      <alignment vertical="center" wrapText="1"/>
      <protection hidden="1"/>
    </xf>
    <xf numFmtId="0" fontId="22" fillId="4" borderId="0" xfId="0" applyFont="1" applyFill="1" applyAlignment="1" applyProtection="1">
      <alignment vertical="center" wrapText="1"/>
      <protection hidden="1"/>
    </xf>
    <xf numFmtId="0" fontId="22" fillId="3" borderId="0" xfId="0" applyFont="1" applyFill="1" applyAlignment="1" applyProtection="1">
      <alignment vertical="center" wrapText="1"/>
      <protection hidden="1"/>
    </xf>
    <xf numFmtId="0" fontId="12" fillId="9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 applyProtection="1">
      <alignment horizontal="center" vertical="center" wrapText="1"/>
      <protection hidden="1"/>
    </xf>
    <xf numFmtId="21" fontId="24" fillId="4" borderId="1" xfId="0" applyNumberFormat="1" applyFont="1" applyFill="1" applyBorder="1" applyAlignment="1" applyProtection="1">
      <alignment horizontal="center" vertical="center" wrapText="1"/>
      <protection hidden="1"/>
    </xf>
    <xf numFmtId="21" fontId="25" fillId="4" borderId="1" xfId="0" applyNumberFormat="1" applyFont="1" applyFill="1" applyBorder="1" applyAlignment="1" applyProtection="1">
      <alignment horizontal="center" vertical="center" wrapText="1"/>
      <protection hidden="1"/>
    </xf>
    <xf numFmtId="21" fontId="25" fillId="4" borderId="2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20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14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18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19" xfId="0" applyNumberFormat="1" applyFont="1" applyFill="1" applyBorder="1" applyAlignment="1" applyProtection="1">
      <alignment horizontal="center" vertical="center" wrapText="1"/>
      <protection hidden="1"/>
    </xf>
    <xf numFmtId="0" fontId="26" fillId="3" borderId="0" xfId="0" applyFont="1" applyFill="1"/>
    <xf numFmtId="164" fontId="27" fillId="10" borderId="21" xfId="0" applyNumberFormat="1" applyFont="1" applyFill="1" applyBorder="1" applyAlignment="1" applyProtection="1">
      <alignment horizontal="center" vertical="center" wrapText="1"/>
      <protection hidden="1"/>
    </xf>
    <xf numFmtId="164" fontId="27" fillId="10" borderId="22" xfId="0" applyNumberFormat="1" applyFont="1" applyFill="1" applyBorder="1" applyAlignment="1" applyProtection="1">
      <alignment horizontal="center" vertical="center" wrapText="1"/>
      <protection hidden="1"/>
    </xf>
    <xf numFmtId="0" fontId="12" fillId="3" borderId="0" xfId="0" applyFont="1" applyFill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12" xfId="0" applyBorder="1"/>
    <xf numFmtId="0" fontId="0" fillId="0" borderId="10" xfId="0" applyBorder="1"/>
    <xf numFmtId="0" fontId="0" fillId="0" borderId="5" xfId="0" applyBorder="1"/>
    <xf numFmtId="0" fontId="0" fillId="0" borderId="7" xfId="0" applyBorder="1"/>
    <xf numFmtId="165" fontId="0" fillId="0" borderId="10" xfId="0" applyNumberFormat="1" applyBorder="1"/>
    <xf numFmtId="0" fontId="0" fillId="0" borderId="6" xfId="0" applyBorder="1"/>
    <xf numFmtId="0" fontId="19" fillId="3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left" vertical="center"/>
    </xf>
    <xf numFmtId="0" fontId="0" fillId="0" borderId="14" xfId="0" applyBorder="1"/>
    <xf numFmtId="0" fontId="0" fillId="0" borderId="35" xfId="0" applyBorder="1"/>
    <xf numFmtId="0" fontId="0" fillId="0" borderId="22" xfId="0" applyBorder="1"/>
    <xf numFmtId="0" fontId="0" fillId="0" borderId="14" xfId="0" applyBorder="1" applyAlignment="1">
      <alignment horizontal="center" vertical="center"/>
    </xf>
    <xf numFmtId="21" fontId="0" fillId="0" borderId="0" xfId="0" applyNumberFormat="1"/>
    <xf numFmtId="165" fontId="0" fillId="0" borderId="12" xfId="0" applyNumberFormat="1" applyBorder="1"/>
    <xf numFmtId="0" fontId="33" fillId="0" borderId="0" xfId="0" applyFont="1"/>
    <xf numFmtId="44" fontId="0" fillId="0" borderId="10" xfId="4" applyFont="1" applyBorder="1"/>
    <xf numFmtId="44" fontId="33" fillId="0" borderId="10" xfId="4" applyFont="1" applyBorder="1"/>
    <xf numFmtId="0" fontId="0" fillId="0" borderId="12" xfId="0" applyBorder="1" applyAlignment="1">
      <alignment vertical="center"/>
    </xf>
    <xf numFmtId="164" fontId="20" fillId="3" borderId="0" xfId="0" applyNumberFormat="1" applyFont="1" applyFill="1" applyAlignment="1">
      <alignment horizontal="left" vertical="center"/>
    </xf>
    <xf numFmtId="44" fontId="27" fillId="10" borderId="21" xfId="4" applyFont="1" applyFill="1" applyBorder="1" applyAlignment="1" applyProtection="1">
      <alignment horizontal="center" vertical="center" wrapText="1"/>
      <protection hidden="1"/>
    </xf>
    <xf numFmtId="21" fontId="0" fillId="0" borderId="12" xfId="0" applyNumberFormat="1" applyBorder="1"/>
    <xf numFmtId="165" fontId="31" fillId="0" borderId="0" xfId="0" applyNumberFormat="1" applyFont="1"/>
    <xf numFmtId="1" fontId="0" fillId="0" borderId="0" xfId="0" applyNumberFormat="1"/>
    <xf numFmtId="0" fontId="0" fillId="3" borderId="0" xfId="0" applyFill="1"/>
    <xf numFmtId="165" fontId="33" fillId="0" borderId="0" xfId="0" applyNumberFormat="1" applyFont="1"/>
    <xf numFmtId="21" fontId="33" fillId="0" borderId="0" xfId="0" applyNumberFormat="1" applyFont="1"/>
    <xf numFmtId="0" fontId="16" fillId="3" borderId="0" xfId="0" applyFont="1" applyFill="1" applyAlignment="1">
      <alignment horizontal="center"/>
    </xf>
    <xf numFmtId="0" fontId="0" fillId="0" borderId="3" xfId="0" applyBorder="1"/>
    <xf numFmtId="164" fontId="0" fillId="0" borderId="0" xfId="0" applyNumberFormat="1"/>
    <xf numFmtId="164" fontId="31" fillId="0" borderId="0" xfId="0" applyNumberFormat="1" applyFont="1"/>
    <xf numFmtId="164" fontId="33" fillId="0" borderId="0" xfId="0" applyNumberFormat="1" applyFont="1"/>
    <xf numFmtId="0" fontId="22" fillId="0" borderId="0" xfId="0" applyFont="1" applyAlignment="1" applyProtection="1">
      <alignment horizontal="center" vertical="center" wrapText="1"/>
      <protection hidden="1"/>
    </xf>
    <xf numFmtId="0" fontId="34" fillId="7" borderId="12" xfId="0" applyFont="1" applyFill="1" applyBorder="1"/>
    <xf numFmtId="0" fontId="0" fillId="7" borderId="0" xfId="0" applyFill="1"/>
    <xf numFmtId="0" fontId="0" fillId="0" borderId="0" xfId="0" applyAlignment="1">
      <alignment horizontal="left"/>
    </xf>
    <xf numFmtId="21" fontId="21" fillId="0" borderId="0" xfId="0" applyNumberFormat="1" applyFont="1"/>
    <xf numFmtId="0" fontId="35" fillId="0" borderId="0" xfId="0" applyFont="1"/>
    <xf numFmtId="0" fontId="21" fillId="0" borderId="12" xfId="0" applyFont="1" applyBorder="1"/>
    <xf numFmtId="0" fontId="21" fillId="0" borderId="10" xfId="0" applyFont="1" applyBorder="1"/>
    <xf numFmtId="165" fontId="21" fillId="0" borderId="0" xfId="0" applyNumberFormat="1" applyFont="1"/>
    <xf numFmtId="165" fontId="21" fillId="0" borderId="12" xfId="0" applyNumberFormat="1" applyFont="1" applyBorder="1"/>
    <xf numFmtId="21" fontId="21" fillId="0" borderId="12" xfId="0" applyNumberFormat="1" applyFont="1" applyBorder="1"/>
    <xf numFmtId="9" fontId="21" fillId="0" borderId="0" xfId="1" applyFont="1"/>
    <xf numFmtId="0" fontId="21" fillId="0" borderId="1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5" xfId="0" applyFont="1" applyBorder="1"/>
    <xf numFmtId="0" fontId="21" fillId="0" borderId="6" xfId="0" applyFont="1" applyBorder="1"/>
    <xf numFmtId="44" fontId="21" fillId="0" borderId="10" xfId="4" applyFont="1" applyBorder="1"/>
    <xf numFmtId="0" fontId="36" fillId="3" borderId="0" xfId="0" applyFont="1" applyFill="1"/>
    <xf numFmtId="44" fontId="27" fillId="10" borderId="22" xfId="4" applyFont="1" applyFill="1" applyBorder="1" applyAlignment="1" applyProtection="1">
      <alignment horizontal="center" vertical="center" wrapText="1"/>
      <protection hidden="1"/>
    </xf>
    <xf numFmtId="0" fontId="12" fillId="3" borderId="1" xfId="0" applyFont="1" applyFill="1" applyBorder="1" applyAlignment="1">
      <alignment vertical="center" wrapText="1"/>
    </xf>
    <xf numFmtId="164" fontId="27" fillId="3" borderId="6" xfId="0" applyNumberFormat="1" applyFont="1" applyFill="1" applyBorder="1" applyAlignment="1" applyProtection="1">
      <alignment horizontal="center" vertical="center" wrapText="1"/>
      <protection hidden="1"/>
    </xf>
    <xf numFmtId="164" fontId="27" fillId="3" borderId="0" xfId="0" applyNumberFormat="1" applyFont="1" applyFill="1" applyAlignment="1" applyProtection="1">
      <alignment horizontal="center" vertical="center" wrapText="1"/>
      <protection hidden="1"/>
    </xf>
    <xf numFmtId="164" fontId="27" fillId="3" borderId="8" xfId="0" applyNumberFormat="1" applyFont="1" applyFill="1" applyBorder="1" applyAlignment="1" applyProtection="1">
      <alignment horizontal="center" vertical="center" wrapText="1"/>
      <protection hidden="1"/>
    </xf>
    <xf numFmtId="44" fontId="0" fillId="0" borderId="4" xfId="4" applyFont="1" applyBorder="1"/>
    <xf numFmtId="44" fontId="0" fillId="0" borderId="0" xfId="4" applyFont="1"/>
    <xf numFmtId="165" fontId="29" fillId="0" borderId="0" xfId="0" applyNumberFormat="1" applyFont="1"/>
    <xf numFmtId="21" fontId="29" fillId="0" borderId="0" xfId="0" applyNumberFormat="1" applyFont="1"/>
    <xf numFmtId="44" fontId="29" fillId="0" borderId="10" xfId="4" applyFont="1" applyBorder="1"/>
    <xf numFmtId="44" fontId="27" fillId="3" borderId="0" xfId="4" applyFont="1" applyFill="1" applyAlignment="1" applyProtection="1">
      <alignment horizontal="center" vertical="center" wrapText="1"/>
      <protection hidden="1"/>
    </xf>
    <xf numFmtId="164" fontId="25" fillId="10" borderId="36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37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38" xfId="0" applyNumberFormat="1" applyFont="1" applyFill="1" applyBorder="1" applyAlignment="1" applyProtection="1">
      <alignment vertical="center" wrapText="1"/>
      <protection hidden="1"/>
    </xf>
    <xf numFmtId="164" fontId="25" fillId="10" borderId="39" xfId="0" applyNumberFormat="1" applyFont="1" applyFill="1" applyBorder="1" applyAlignment="1" applyProtection="1">
      <alignment vertical="center" wrapText="1"/>
      <protection hidden="1"/>
    </xf>
    <xf numFmtId="0" fontId="37" fillId="0" borderId="12" xfId="0" applyFont="1" applyBorder="1"/>
    <xf numFmtId="21" fontId="37" fillId="0" borderId="0" xfId="0" applyNumberFormat="1" applyFont="1"/>
    <xf numFmtId="21" fontId="34" fillId="0" borderId="0" xfId="0" applyNumberFormat="1" applyFont="1"/>
    <xf numFmtId="0" fontId="0" fillId="0" borderId="41" xfId="0" applyBorder="1"/>
    <xf numFmtId="0" fontId="0" fillId="0" borderId="42" xfId="0" applyBorder="1"/>
    <xf numFmtId="44" fontId="0" fillId="0" borderId="12" xfId="4" applyFont="1" applyBorder="1"/>
    <xf numFmtId="44" fontId="0" fillId="0" borderId="0" xfId="4" applyFont="1" applyAlignment="1">
      <alignment horizontal="left" vertical="top"/>
    </xf>
    <xf numFmtId="1" fontId="0" fillId="0" borderId="0" xfId="4" applyNumberFormat="1" applyFont="1" applyAlignment="1">
      <alignment horizontal="center" vertical="center"/>
    </xf>
    <xf numFmtId="2" fontId="33" fillId="0" borderId="0" xfId="4" applyNumberFormat="1" applyFont="1"/>
    <xf numFmtId="165" fontId="33" fillId="0" borderId="0" xfId="4" applyNumberFormat="1" applyFont="1"/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33" fillId="0" borderId="10" xfId="0" applyFont="1" applyBorder="1"/>
    <xf numFmtId="46" fontId="0" fillId="0" borderId="0" xfId="0" applyNumberFormat="1"/>
    <xf numFmtId="46" fontId="33" fillId="0" borderId="10" xfId="0" applyNumberFormat="1" applyFont="1" applyBorder="1"/>
    <xf numFmtId="165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wrapText="1"/>
    </xf>
    <xf numFmtId="0" fontId="14" fillId="3" borderId="12" xfId="0" applyFont="1" applyFill="1" applyBorder="1" applyAlignment="1" applyProtection="1">
      <alignment horizontal="center" vertical="center" wrapText="1"/>
      <protection hidden="1"/>
    </xf>
    <xf numFmtId="0" fontId="29" fillId="3" borderId="12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21" fontId="33" fillId="0" borderId="10" xfId="0" applyNumberFormat="1" applyFont="1" applyBorder="1"/>
    <xf numFmtId="0" fontId="21" fillId="0" borderId="18" xfId="0" applyFont="1" applyBorder="1"/>
    <xf numFmtId="0" fontId="21" fillId="0" borderId="19" xfId="0" applyFont="1" applyBorder="1"/>
    <xf numFmtId="0" fontId="21" fillId="0" borderId="20" xfId="0" applyFont="1" applyBorder="1"/>
    <xf numFmtId="0" fontId="21" fillId="0" borderId="14" xfId="0" applyFont="1" applyBorder="1"/>
    <xf numFmtId="0" fontId="21" fillId="0" borderId="21" xfId="0" applyFont="1" applyBorder="1"/>
    <xf numFmtId="0" fontId="21" fillId="0" borderId="22" xfId="0" applyFont="1" applyBorder="1"/>
    <xf numFmtId="0" fontId="38" fillId="9" borderId="1" xfId="0" applyFont="1" applyFill="1" applyBorder="1" applyAlignment="1">
      <alignment horizontal="center" vertical="center"/>
    </xf>
    <xf numFmtId="44" fontId="33" fillId="0" borderId="0" xfId="4" applyFont="1"/>
    <xf numFmtId="0" fontId="0" fillId="0" borderId="0" xfId="0" applyAlignment="1">
      <alignment horizontal="right"/>
    </xf>
    <xf numFmtId="0" fontId="22" fillId="3" borderId="12" xfId="0" applyFont="1" applyFill="1" applyBorder="1" applyAlignment="1" applyProtection="1">
      <alignment horizontal="center" vertical="center" wrapText="1"/>
      <protection hidden="1"/>
    </xf>
    <xf numFmtId="0" fontId="38" fillId="3" borderId="12" xfId="0" applyFont="1" applyFill="1" applyBorder="1" applyAlignment="1">
      <alignment horizontal="center" vertical="center"/>
    </xf>
    <xf numFmtId="21" fontId="0" fillId="7" borderId="0" xfId="0" applyNumberFormat="1" applyFill="1"/>
    <xf numFmtId="0" fontId="38" fillId="3" borderId="0" xfId="0" applyFont="1" applyFill="1" applyAlignment="1">
      <alignment horizontal="center" vertical="center"/>
    </xf>
    <xf numFmtId="0" fontId="0" fillId="6" borderId="0" xfId="0" applyFill="1"/>
    <xf numFmtId="0" fontId="28" fillId="3" borderId="0" xfId="0" applyFont="1" applyFill="1" applyAlignment="1">
      <alignment horizontal="center" vertical="center"/>
    </xf>
    <xf numFmtId="0" fontId="31" fillId="0" borderId="0" xfId="0" applyFont="1"/>
    <xf numFmtId="44" fontId="29" fillId="0" borderId="0" xfId="4" applyFont="1"/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44" fontId="21" fillId="0" borderId="0" xfId="4" applyFont="1"/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46" fontId="12" fillId="0" borderId="0" xfId="0" applyNumberFormat="1" applyFont="1"/>
    <xf numFmtId="0" fontId="21" fillId="0" borderId="10" xfId="0" applyFont="1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21" fontId="21" fillId="0" borderId="6" xfId="0" applyNumberFormat="1" applyFont="1" applyBorder="1"/>
    <xf numFmtId="21" fontId="21" fillId="0" borderId="7" xfId="0" applyNumberFormat="1" applyFont="1" applyBorder="1"/>
    <xf numFmtId="21" fontId="0" fillId="0" borderId="0" xfId="0" applyNumberFormat="1" applyAlignment="1">
      <alignment horizontal="left" vertical="top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46" fontId="33" fillId="0" borderId="0" xfId="0" applyNumberFormat="1" applyFont="1"/>
    <xf numFmtId="44" fontId="0" fillId="0" borderId="3" xfId="4" applyFont="1" applyBorder="1"/>
    <xf numFmtId="0" fontId="16" fillId="0" borderId="0" xfId="0" applyFont="1" applyAlignment="1">
      <alignment vertical="top"/>
    </xf>
    <xf numFmtId="0" fontId="36" fillId="0" borderId="0" xfId="0" applyFont="1" applyAlignment="1">
      <alignment horizontal="center"/>
    </xf>
    <xf numFmtId="164" fontId="25" fillId="3" borderId="0" xfId="0" applyNumberFormat="1" applyFont="1" applyFill="1" applyAlignment="1" applyProtection="1">
      <alignment horizontal="center" vertical="center" wrapText="1"/>
      <protection hidden="1"/>
    </xf>
    <xf numFmtId="164" fontId="25" fillId="3" borderId="0" xfId="0" applyNumberFormat="1" applyFont="1" applyFill="1" applyAlignment="1" applyProtection="1">
      <alignment vertical="center" wrapText="1"/>
      <protection hidden="1"/>
    </xf>
    <xf numFmtId="44" fontId="36" fillId="0" borderId="10" xfId="4" applyFont="1" applyBorder="1"/>
    <xf numFmtId="0" fontId="17" fillId="0" borderId="0" xfId="0" applyFont="1" applyAlignment="1">
      <alignment horizontal="right"/>
    </xf>
    <xf numFmtId="0" fontId="33" fillId="0" borderId="0" xfId="0" applyFont="1" applyAlignment="1">
      <alignment horizontal="center" vertical="center"/>
    </xf>
    <xf numFmtId="44" fontId="0" fillId="0" borderId="0" xfId="0" applyNumberFormat="1"/>
    <xf numFmtId="2" fontId="0" fillId="0" borderId="0" xfId="4" applyNumberFormat="1" applyFont="1"/>
    <xf numFmtId="0" fontId="31" fillId="0" borderId="0" xfId="0" applyFont="1" applyAlignment="1">
      <alignment wrapText="1"/>
    </xf>
    <xf numFmtId="164" fontId="25" fillId="10" borderId="1" xfId="0" applyNumberFormat="1" applyFont="1" applyFill="1" applyBorder="1" applyAlignment="1" applyProtection="1">
      <alignment horizontal="center" vertical="center" wrapText="1"/>
      <protection hidden="1"/>
    </xf>
    <xf numFmtId="0" fontId="15" fillId="9" borderId="1" xfId="0" applyFont="1" applyFill="1" applyBorder="1" applyAlignment="1">
      <alignment horizontal="center" vertical="center"/>
    </xf>
    <xf numFmtId="21" fontId="17" fillId="2" borderId="0" xfId="0" applyNumberFormat="1" applyFont="1" applyFill="1"/>
    <xf numFmtId="0" fontId="32" fillId="0" borderId="13" xfId="0" applyFont="1" applyBorder="1" applyAlignment="1">
      <alignment vertical="center"/>
    </xf>
    <xf numFmtId="0" fontId="16" fillId="2" borderId="13" xfId="0" applyFont="1" applyFill="1" applyBorder="1"/>
    <xf numFmtId="0" fontId="21" fillId="2" borderId="8" xfId="0" applyFont="1" applyFill="1" applyBorder="1"/>
    <xf numFmtId="0" fontId="16" fillId="2" borderId="8" xfId="0" applyFont="1" applyFill="1" applyBorder="1"/>
    <xf numFmtId="165" fontId="34" fillId="0" borderId="0" xfId="0" applyNumberFormat="1" applyFont="1" applyAlignment="1">
      <alignment horizontal="left" vertical="center"/>
    </xf>
    <xf numFmtId="0" fontId="39" fillId="3" borderId="12" xfId="0" applyFont="1" applyFill="1" applyBorder="1" applyAlignment="1" applyProtection="1">
      <alignment horizontal="center" vertical="center" wrapText="1"/>
      <protection hidden="1"/>
    </xf>
    <xf numFmtId="0" fontId="40" fillId="3" borderId="12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left" vertical="center"/>
    </xf>
    <xf numFmtId="44" fontId="0" fillId="0" borderId="0" xfId="4" applyFont="1" applyAlignment="1">
      <alignment horizontal="center" vertical="center"/>
    </xf>
    <xf numFmtId="164" fontId="25" fillId="3" borderId="3" xfId="0" applyNumberFormat="1" applyFont="1" applyFill="1" applyBorder="1" applyAlignment="1" applyProtection="1">
      <alignment vertical="center" wrapText="1"/>
      <protection hidden="1"/>
    </xf>
    <xf numFmtId="44" fontId="21" fillId="0" borderId="0" xfId="4" applyFont="1" applyAlignment="1">
      <alignment horizontal="center" vertical="center"/>
    </xf>
    <xf numFmtId="164" fontId="25" fillId="0" borderId="0" xfId="0" applyNumberFormat="1" applyFont="1" applyAlignment="1" applyProtection="1">
      <alignment horizontal="center" vertical="center" wrapText="1"/>
      <protection hidden="1"/>
    </xf>
    <xf numFmtId="164" fontId="27" fillId="0" borderId="0" xfId="0" applyNumberFormat="1" applyFont="1" applyAlignment="1" applyProtection="1">
      <alignment horizontal="center" vertical="center" wrapText="1"/>
      <protection hidden="1"/>
    </xf>
    <xf numFmtId="164" fontId="25" fillId="0" borderId="0" xfId="0" applyNumberFormat="1" applyFont="1" applyAlignment="1" applyProtection="1">
      <alignment vertical="center" wrapText="1"/>
      <protection hidden="1"/>
    </xf>
    <xf numFmtId="0" fontId="31" fillId="0" borderId="1" xfId="0" applyFont="1" applyBorder="1" applyAlignment="1">
      <alignment horizontal="center" vertical="center"/>
    </xf>
    <xf numFmtId="9" fontId="0" fillId="0" borderId="5" xfId="0" applyNumberFormat="1" applyBorder="1"/>
    <xf numFmtId="0" fontId="42" fillId="0" borderId="0" xfId="0" applyFont="1" applyAlignment="1">
      <alignment horizontal="center"/>
    </xf>
    <xf numFmtId="0" fontId="36" fillId="0" borderId="0" xfId="0" applyFont="1"/>
    <xf numFmtId="44" fontId="36" fillId="0" borderId="0" xfId="4" applyFont="1" applyAlignment="1">
      <alignment horizontal="center" vertical="center"/>
    </xf>
    <xf numFmtId="44" fontId="0" fillId="0" borderId="10" xfId="0" applyNumberFormat="1" applyBorder="1"/>
    <xf numFmtId="9" fontId="0" fillId="0" borderId="0" xfId="0" applyNumberFormat="1"/>
    <xf numFmtId="166" fontId="0" fillId="0" borderId="0" xfId="0" applyNumberFormat="1"/>
    <xf numFmtId="0" fontId="0" fillId="3" borderId="3" xfId="0" applyFill="1" applyBorder="1"/>
    <xf numFmtId="44" fontId="28" fillId="9" borderId="1" xfId="0" applyNumberFormat="1" applyFont="1" applyFill="1" applyBorder="1" applyAlignment="1">
      <alignment horizontal="center" vertical="center"/>
    </xf>
    <xf numFmtId="0" fontId="22" fillId="4" borderId="13" xfId="0" applyFont="1" applyFill="1" applyBorder="1" applyAlignment="1" applyProtection="1">
      <alignment horizontal="center" vertical="center" wrapText="1"/>
      <protection hidden="1"/>
    </xf>
    <xf numFmtId="0" fontId="12" fillId="5" borderId="13" xfId="0" applyFont="1" applyFill="1" applyBorder="1" applyAlignment="1">
      <alignment horizontal="center" vertical="center"/>
    </xf>
    <xf numFmtId="0" fontId="0" fillId="5" borderId="0" xfId="0" applyFill="1"/>
    <xf numFmtId="0" fontId="36" fillId="0" borderId="0" xfId="0" applyFont="1" applyProtection="1">
      <protection hidden="1"/>
    </xf>
    <xf numFmtId="0" fontId="0" fillId="0" borderId="0" xfId="0" applyProtection="1">
      <protection hidden="1"/>
    </xf>
    <xf numFmtId="165" fontId="36" fillId="0" borderId="0" xfId="0" applyNumberFormat="1" applyFont="1"/>
    <xf numFmtId="21" fontId="36" fillId="0" borderId="0" xfId="0" applyNumberFormat="1" applyFont="1"/>
    <xf numFmtId="0" fontId="36" fillId="0" borderId="12" xfId="0" applyFont="1" applyBorder="1" applyProtection="1">
      <protection hidden="1"/>
    </xf>
    <xf numFmtId="0" fontId="34" fillId="0" borderId="12" xfId="0" applyFont="1" applyBorder="1" applyProtection="1">
      <protection hidden="1"/>
    </xf>
    <xf numFmtId="164" fontId="36" fillId="0" borderId="0" xfId="0" applyNumberFormat="1" applyFont="1"/>
    <xf numFmtId="0" fontId="45" fillId="0" borderId="16" xfId="0" applyFont="1" applyBorder="1" applyAlignment="1" applyProtection="1">
      <alignment horizontal="center" vertical="center" wrapText="1"/>
      <protection locked="0"/>
    </xf>
    <xf numFmtId="9" fontId="12" fillId="9" borderId="1" xfId="1" applyFont="1" applyFill="1" applyBorder="1" applyAlignment="1">
      <alignment horizontal="center" vertical="center" wrapText="1"/>
    </xf>
    <xf numFmtId="9" fontId="0" fillId="0" borderId="12" xfId="0" applyNumberFormat="1" applyBorder="1"/>
    <xf numFmtId="0" fontId="45" fillId="0" borderId="16" xfId="0" applyFont="1" applyBorder="1" applyAlignment="1" applyProtection="1">
      <alignment horizontal="center" vertical="center"/>
      <protection locked="0"/>
    </xf>
    <xf numFmtId="0" fontId="44" fillId="3" borderId="1" xfId="0" applyFont="1" applyFill="1" applyBorder="1" applyAlignment="1" applyProtection="1">
      <alignment horizontal="center" vertical="center" wrapText="1"/>
      <protection hidden="1"/>
    </xf>
    <xf numFmtId="0" fontId="46" fillId="3" borderId="1" xfId="0" applyFont="1" applyFill="1" applyBorder="1" applyAlignment="1">
      <alignment horizontal="center" vertical="center" wrapText="1"/>
    </xf>
    <xf numFmtId="0" fontId="47" fillId="3" borderId="15" xfId="0" applyFont="1" applyFill="1" applyBorder="1" applyAlignment="1">
      <alignment horizontal="center" vertical="center" wrapText="1"/>
    </xf>
    <xf numFmtId="0" fontId="45" fillId="0" borderId="16" xfId="0" applyFont="1" applyBorder="1" applyAlignment="1">
      <alignment horizontal="center" vertical="center" wrapText="1"/>
    </xf>
    <xf numFmtId="44" fontId="27" fillId="10" borderId="42" xfId="4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Alignment="1">
      <alignment horizontal="left"/>
    </xf>
    <xf numFmtId="0" fontId="45" fillId="9" borderId="16" xfId="0" applyFont="1" applyFill="1" applyBorder="1" applyAlignment="1">
      <alignment horizontal="center" vertical="center"/>
    </xf>
    <xf numFmtId="0" fontId="0" fillId="0" borderId="0" xfId="0" quotePrefix="1"/>
    <xf numFmtId="0" fontId="45" fillId="0" borderId="1" xfId="0" applyFont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 wrapText="1"/>
    </xf>
    <xf numFmtId="21" fontId="0" fillId="0" borderId="6" xfId="0" applyNumberFormat="1" applyBorder="1"/>
    <xf numFmtId="0" fontId="44" fillId="3" borderId="1" xfId="0" applyFont="1" applyFill="1" applyBorder="1" applyAlignment="1">
      <alignment horizontal="center" vertical="center" wrapText="1"/>
    </xf>
    <xf numFmtId="47" fontId="0" fillId="0" borderId="0" xfId="0" applyNumberFormat="1"/>
    <xf numFmtId="0" fontId="0" fillId="0" borderId="10" xfId="0" applyBorder="1" applyProtection="1">
      <protection hidden="1"/>
    </xf>
    <xf numFmtId="0" fontId="22" fillId="4" borderId="0" xfId="0" applyFont="1" applyFill="1" applyAlignment="1" applyProtection="1">
      <alignment horizontal="center" vertical="center" wrapText="1"/>
      <protection hidden="1"/>
    </xf>
    <xf numFmtId="0" fontId="31" fillId="5" borderId="8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165" fontId="0" fillId="0" borderId="9" xfId="0" applyNumberFormat="1" applyBorder="1"/>
    <xf numFmtId="164" fontId="0" fillId="0" borderId="49" xfId="0" applyNumberFormat="1" applyBorder="1"/>
    <xf numFmtId="165" fontId="0" fillId="0" borderId="16" xfId="0" applyNumberFormat="1" applyBorder="1"/>
    <xf numFmtId="0" fontId="0" fillId="0" borderId="13" xfId="0" applyBorder="1" applyAlignment="1">
      <alignment horizontal="center" vertical="center"/>
    </xf>
    <xf numFmtId="164" fontId="0" fillId="0" borderId="1" xfId="0" applyNumberFormat="1" applyBorder="1"/>
    <xf numFmtId="0" fontId="33" fillId="0" borderId="12" xfId="0" applyFont="1" applyBorder="1"/>
    <xf numFmtId="0" fontId="34" fillId="0" borderId="12" xfId="0" applyFont="1" applyBorder="1" applyAlignment="1">
      <alignment horizontal="center"/>
    </xf>
    <xf numFmtId="0" fontId="34" fillId="0" borderId="0" xfId="0" applyFont="1" applyAlignment="1">
      <alignment horizontal="center"/>
    </xf>
    <xf numFmtId="165" fontId="33" fillId="0" borderId="0" xfId="0" applyNumberFormat="1" applyFont="1" applyAlignment="1">
      <alignment horizontal="center" vertical="center"/>
    </xf>
    <xf numFmtId="44" fontId="33" fillId="0" borderId="0" xfId="4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5" fontId="34" fillId="0" borderId="12" xfId="0" applyNumberFormat="1" applyFont="1" applyBorder="1" applyAlignment="1">
      <alignment horizontal="center" vertical="center"/>
    </xf>
    <xf numFmtId="44" fontId="34" fillId="0" borderId="12" xfId="4" applyFont="1" applyBorder="1" applyAlignment="1">
      <alignment horizontal="center" vertical="center"/>
    </xf>
    <xf numFmtId="0" fontId="34" fillId="0" borderId="12" xfId="0" applyFont="1" applyBorder="1"/>
    <xf numFmtId="44" fontId="34" fillId="0" borderId="12" xfId="4" applyFont="1" applyBorder="1" applyAlignment="1">
      <alignment horizontal="left" vertical="center"/>
    </xf>
    <xf numFmtId="164" fontId="34" fillId="0" borderId="10" xfId="4" applyNumberFormat="1" applyFont="1" applyBorder="1" applyAlignment="1">
      <alignment horizontal="right"/>
    </xf>
    <xf numFmtId="164" fontId="0" fillId="0" borderId="7" xfId="0" applyNumberFormat="1" applyBorder="1"/>
    <xf numFmtId="0" fontId="34" fillId="0" borderId="5" xfId="0" applyFont="1" applyBorder="1"/>
    <xf numFmtId="0" fontId="33" fillId="0" borderId="2" xfId="0" applyFont="1" applyBorder="1"/>
    <xf numFmtId="0" fontId="33" fillId="0" borderId="5" xfId="0" applyFont="1" applyBorder="1"/>
    <xf numFmtId="44" fontId="33" fillId="0" borderId="7" xfId="0" applyNumberFormat="1" applyFont="1" applyBorder="1"/>
    <xf numFmtId="164" fontId="33" fillId="0" borderId="4" xfId="0" applyNumberFormat="1" applyFont="1" applyBorder="1"/>
    <xf numFmtId="0" fontId="0" fillId="0" borderId="10" xfId="0" applyBorder="1" applyAlignment="1">
      <alignment horizontal="center" vertical="center"/>
    </xf>
    <xf numFmtId="6" fontId="0" fillId="0" borderId="10" xfId="0" applyNumberForma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44" fontId="33" fillId="0" borderId="4" xfId="0" applyNumberFormat="1" applyFont="1" applyBorder="1"/>
    <xf numFmtId="44" fontId="33" fillId="0" borderId="10" xfId="0" applyNumberFormat="1" applyFont="1" applyBorder="1"/>
    <xf numFmtId="0" fontId="0" fillId="0" borderId="0" xfId="4" applyNumberFormat="1" applyFont="1"/>
    <xf numFmtId="164" fontId="0" fillId="0" borderId="10" xfId="0" applyNumberFormat="1" applyBorder="1"/>
    <xf numFmtId="44" fontId="33" fillId="0" borderId="10" xfId="4" applyFont="1" applyBorder="1" applyAlignment="1">
      <alignment horizontal="center" vertical="center"/>
    </xf>
    <xf numFmtId="167" fontId="33" fillId="0" borderId="10" xfId="0" applyNumberFormat="1" applyFont="1" applyBorder="1"/>
    <xf numFmtId="21" fontId="0" fillId="0" borderId="4" xfId="0" applyNumberFormat="1" applyBorder="1"/>
    <xf numFmtId="21" fontId="0" fillId="0" borderId="10" xfId="0" applyNumberFormat="1" applyBorder="1"/>
    <xf numFmtId="21" fontId="0" fillId="0" borderId="7" xfId="0" applyNumberFormat="1" applyBorder="1"/>
    <xf numFmtId="44" fontId="34" fillId="0" borderId="15" xfId="4" applyFont="1" applyBorder="1" applyAlignment="1">
      <alignment horizontal="center" vertical="center"/>
    </xf>
    <xf numFmtId="164" fontId="34" fillId="0" borderId="49" xfId="4" applyNumberFormat="1" applyFont="1" applyBorder="1" applyAlignment="1">
      <alignment horizontal="right" vertical="center"/>
    </xf>
    <xf numFmtId="165" fontId="0" fillId="0" borderId="49" xfId="0" applyNumberFormat="1" applyBorder="1"/>
    <xf numFmtId="164" fontId="33" fillId="0" borderId="7" xfId="0" applyNumberFormat="1" applyFont="1" applyBorder="1"/>
    <xf numFmtId="44" fontId="33" fillId="0" borderId="10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6" xfId="0" applyBorder="1"/>
    <xf numFmtId="164" fontId="34" fillId="0" borderId="6" xfId="0" applyNumberFormat="1" applyFont="1" applyBorder="1"/>
    <xf numFmtId="0" fontId="0" fillId="0" borderId="49" xfId="0" applyBorder="1"/>
    <xf numFmtId="0" fontId="0" fillId="0" borderId="15" xfId="0" applyBorder="1"/>
    <xf numFmtId="164" fontId="34" fillId="0" borderId="0" xfId="0" applyNumberFormat="1" applyFont="1"/>
    <xf numFmtId="0" fontId="0" fillId="0" borderId="0" xfId="0" applyAlignment="1">
      <alignment horizontal="center" wrapText="1"/>
    </xf>
    <xf numFmtId="0" fontId="34" fillId="0" borderId="3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164" fontId="0" fillId="0" borderId="9" xfId="0" applyNumberFormat="1" applyBorder="1"/>
    <xf numFmtId="44" fontId="33" fillId="0" borderId="4" xfId="4" applyFont="1" applyBorder="1" applyAlignment="1">
      <alignment horizontal="center" vertical="center"/>
    </xf>
    <xf numFmtId="44" fontId="0" fillId="0" borderId="6" xfId="0" applyNumberFormat="1" applyBorder="1"/>
    <xf numFmtId="44" fontId="0" fillId="0" borderId="7" xfId="0" applyNumberFormat="1" applyBorder="1"/>
    <xf numFmtId="44" fontId="34" fillId="0" borderId="2" xfId="4" applyFont="1" applyBorder="1" applyAlignment="1">
      <alignment vertical="center"/>
    </xf>
    <xf numFmtId="44" fontId="34" fillId="0" borderId="4" xfId="4" applyFont="1" applyBorder="1" applyAlignment="1">
      <alignment vertical="center"/>
    </xf>
    <xf numFmtId="44" fontId="42" fillId="6" borderId="2" xfId="0" applyNumberFormat="1" applyFont="1" applyFill="1" applyBorder="1" applyAlignment="1">
      <alignment vertical="center"/>
    </xf>
    <xf numFmtId="44" fontId="42" fillId="6" borderId="3" xfId="0" applyNumberFormat="1" applyFont="1" applyFill="1" applyBorder="1" applyAlignment="1">
      <alignment vertical="center"/>
    </xf>
    <xf numFmtId="44" fontId="42" fillId="6" borderId="4" xfId="0" applyNumberFormat="1" applyFont="1" applyFill="1" applyBorder="1" applyAlignment="1">
      <alignment vertical="center"/>
    </xf>
    <xf numFmtId="44" fontId="42" fillId="6" borderId="13" xfId="0" applyNumberFormat="1" applyFont="1" applyFill="1" applyBorder="1" applyAlignment="1">
      <alignment vertical="center"/>
    </xf>
    <xf numFmtId="44" fontId="42" fillId="6" borderId="8" xfId="0" applyNumberFormat="1" applyFont="1" applyFill="1" applyBorder="1" applyAlignment="1">
      <alignment vertical="center"/>
    </xf>
    <xf numFmtId="44" fontId="42" fillId="6" borderId="9" xfId="0" applyNumberFormat="1" applyFont="1" applyFill="1" applyBorder="1" applyAlignment="1">
      <alignment vertical="center"/>
    </xf>
    <xf numFmtId="0" fontId="42" fillId="0" borderId="2" xfId="0" applyFont="1" applyBorder="1"/>
    <xf numFmtId="164" fontId="42" fillId="0" borderId="3" xfId="0" applyNumberFormat="1" applyFont="1" applyBorder="1"/>
    <xf numFmtId="0" fontId="42" fillId="0" borderId="12" xfId="0" applyFont="1" applyBorder="1"/>
    <xf numFmtId="164" fontId="42" fillId="0" borderId="0" xfId="0" applyNumberFormat="1" applyFont="1"/>
    <xf numFmtId="0" fontId="34" fillId="0" borderId="0" xfId="0" applyFont="1"/>
    <xf numFmtId="44" fontId="42" fillId="0" borderId="0" xfId="0" applyNumberFormat="1" applyFont="1"/>
    <xf numFmtId="0" fontId="42" fillId="0" borderId="5" xfId="0" applyFont="1" applyBorder="1"/>
    <xf numFmtId="44" fontId="42" fillId="0" borderId="6" xfId="0" applyNumberFormat="1" applyFont="1" applyBorder="1"/>
    <xf numFmtId="0" fontId="31" fillId="0" borderId="3" xfId="0" applyFont="1" applyBorder="1"/>
    <xf numFmtId="0" fontId="31" fillId="0" borderId="4" xfId="0" applyFont="1" applyBorder="1"/>
    <xf numFmtId="44" fontId="31" fillId="0" borderId="0" xfId="4" applyFont="1"/>
    <xf numFmtId="44" fontId="31" fillId="0" borderId="10" xfId="4" applyFont="1" applyBorder="1"/>
    <xf numFmtId="0" fontId="33" fillId="0" borderId="0" xfId="4" applyNumberFormat="1" applyFont="1" applyAlignment="1">
      <alignment horizontal="left" vertical="center"/>
    </xf>
    <xf numFmtId="0" fontId="33" fillId="0" borderId="3" xfId="4" applyNumberFormat="1" applyFont="1" applyBorder="1" applyAlignment="1">
      <alignment horizontal="left" vertical="center"/>
    </xf>
    <xf numFmtId="165" fontId="34" fillId="0" borderId="12" xfId="0" applyNumberFormat="1" applyFont="1" applyBorder="1" applyAlignment="1">
      <alignment horizontal="left" vertical="center"/>
    </xf>
    <xf numFmtId="168" fontId="0" fillId="0" borderId="0" xfId="0" applyNumberFormat="1"/>
    <xf numFmtId="0" fontId="24" fillId="3" borderId="15" xfId="0" applyFont="1" applyFill="1" applyBorder="1" applyAlignment="1" applyProtection="1">
      <alignment horizontal="center" vertical="center" wrapText="1"/>
      <protection hidden="1"/>
    </xf>
    <xf numFmtId="0" fontId="24" fillId="11" borderId="15" xfId="0" applyFont="1" applyFill="1" applyBorder="1" applyAlignment="1" applyProtection="1">
      <alignment horizontal="center" vertical="center" wrapText="1"/>
      <protection hidden="1"/>
    </xf>
    <xf numFmtId="0" fontId="7" fillId="12" borderId="16" xfId="0" applyFont="1" applyFill="1" applyBorder="1" applyAlignment="1" applyProtection="1">
      <alignment horizontal="center" vertical="center" wrapText="1"/>
      <protection locked="0"/>
    </xf>
    <xf numFmtId="0" fontId="48" fillId="3" borderId="15" xfId="0" applyFont="1" applyFill="1" applyBorder="1" applyAlignment="1">
      <alignment horizontal="center" vertical="center" wrapText="1"/>
    </xf>
    <xf numFmtId="168" fontId="34" fillId="0" borderId="0" xfId="0" applyNumberFormat="1" applyFont="1" applyAlignment="1">
      <alignment horizontal="center"/>
    </xf>
    <xf numFmtId="21" fontId="3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8" fontId="34" fillId="0" borderId="6" xfId="0" applyNumberFormat="1" applyFont="1" applyBorder="1" applyAlignment="1">
      <alignment horizontal="center"/>
    </xf>
    <xf numFmtId="21" fontId="34" fillId="0" borderId="6" xfId="0" applyNumberFormat="1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6" xfId="0" applyNumberFormat="1" applyBorder="1"/>
    <xf numFmtId="168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47" fillId="3" borderId="15" xfId="0" applyFont="1" applyFill="1" applyBorder="1" applyAlignment="1" applyProtection="1">
      <alignment horizontal="center" vertical="center" wrapText="1"/>
      <protection locked="0" hidden="1"/>
    </xf>
    <xf numFmtId="168" fontId="0" fillId="13" borderId="50" xfId="0" applyNumberFormat="1" applyFill="1" applyBorder="1" applyAlignment="1" applyProtection="1">
      <alignment horizontal="center"/>
      <protection hidden="1"/>
    </xf>
    <xf numFmtId="20" fontId="0" fillId="0" borderId="0" xfId="0" applyNumberFormat="1" applyAlignment="1" applyProtection="1">
      <alignment horizontal="center"/>
      <protection hidden="1"/>
    </xf>
    <xf numFmtId="164" fontId="0" fillId="0" borderId="0" xfId="0" applyNumberFormat="1" applyAlignment="1" applyProtection="1">
      <alignment horizontal="center"/>
      <protection hidden="1"/>
    </xf>
    <xf numFmtId="168" fontId="0" fillId="13" borderId="51" xfId="0" applyNumberFormat="1" applyFill="1" applyBorder="1" applyAlignment="1" applyProtection="1">
      <alignment horizontal="center"/>
      <protection hidden="1"/>
    </xf>
    <xf numFmtId="20" fontId="0" fillId="0" borderId="6" xfId="0" applyNumberFormat="1" applyBorder="1" applyAlignment="1" applyProtection="1">
      <alignment horizontal="center"/>
      <protection hidden="1"/>
    </xf>
    <xf numFmtId="164" fontId="0" fillId="0" borderId="6" xfId="0" applyNumberFormat="1" applyBorder="1" applyAlignment="1" applyProtection="1">
      <alignment horizontal="center"/>
      <protection hidden="1"/>
    </xf>
    <xf numFmtId="165" fontId="0" fillId="0" borderId="6" xfId="0" applyNumberFormat="1" applyBorder="1"/>
    <xf numFmtId="21" fontId="0" fillId="13" borderId="52" xfId="0" applyNumberFormat="1" applyFill="1" applyBorder="1" applyAlignment="1" applyProtection="1">
      <alignment horizontal="center"/>
      <protection hidden="1"/>
    </xf>
    <xf numFmtId="0" fontId="22" fillId="4" borderId="9" xfId="0" applyFont="1" applyFill="1" applyBorder="1" applyAlignment="1" applyProtection="1">
      <alignment horizontal="center" vertical="center" wrapText="1"/>
      <protection hidden="1"/>
    </xf>
    <xf numFmtId="0" fontId="12" fillId="5" borderId="9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0" fontId="22" fillId="4" borderId="53" xfId="0" applyFont="1" applyFill="1" applyBorder="1" applyAlignment="1" applyProtection="1">
      <alignment horizontal="center" vertical="center" wrapText="1"/>
      <protection hidden="1"/>
    </xf>
    <xf numFmtId="0" fontId="12" fillId="5" borderId="54" xfId="0" applyFont="1" applyFill="1" applyBorder="1" applyAlignment="1">
      <alignment horizontal="center" vertical="center"/>
    </xf>
    <xf numFmtId="0" fontId="22" fillId="4" borderId="31" xfId="0" applyFont="1" applyFill="1" applyBorder="1" applyAlignment="1" applyProtection="1">
      <alignment horizontal="center" vertical="center" wrapText="1"/>
      <protection hidden="1"/>
    </xf>
    <xf numFmtId="0" fontId="44" fillId="3" borderId="15" xfId="0" applyFont="1" applyFill="1" applyBorder="1" applyAlignment="1" applyProtection="1">
      <alignment horizontal="center" vertical="center" wrapText="1"/>
      <protection locked="0" hidden="1"/>
    </xf>
    <xf numFmtId="0" fontId="0" fillId="0" borderId="12" xfId="0" applyBorder="1" applyAlignment="1">
      <alignment wrapText="1"/>
    </xf>
    <xf numFmtId="168" fontId="0" fillId="13" borderId="56" xfId="0" applyNumberFormat="1" applyFill="1" applyBorder="1" applyAlignment="1" applyProtection="1">
      <alignment horizontal="center"/>
      <protection hidden="1"/>
    </xf>
    <xf numFmtId="21" fontId="0" fillId="13" borderId="57" xfId="0" applyNumberFormat="1" applyFill="1" applyBorder="1" applyAlignment="1" applyProtection="1">
      <alignment horizontal="center"/>
      <protection hidden="1"/>
    </xf>
    <xf numFmtId="168" fontId="0" fillId="13" borderId="0" xfId="0" applyNumberFormat="1" applyFill="1" applyAlignment="1" applyProtection="1">
      <alignment horizontal="center"/>
      <protection hidden="1"/>
    </xf>
    <xf numFmtId="47" fontId="0" fillId="0" borderId="6" xfId="0" applyNumberFormat="1" applyBorder="1"/>
    <xf numFmtId="21" fontId="0" fillId="3" borderId="0" xfId="0" applyNumberFormat="1" applyFill="1"/>
    <xf numFmtId="21" fontId="34" fillId="3" borderId="0" xfId="0" applyNumberFormat="1" applyFont="1" applyFill="1"/>
    <xf numFmtId="21" fontId="33" fillId="3" borderId="0" xfId="0" applyNumberFormat="1" applyFont="1" applyFill="1"/>
    <xf numFmtId="46" fontId="0" fillId="3" borderId="0" xfId="0" applyNumberFormat="1" applyFill="1"/>
    <xf numFmtId="0" fontId="0" fillId="0" borderId="3" xfId="0" applyBorder="1" applyAlignment="1">
      <alignment horizontal="left" vertical="center"/>
    </xf>
    <xf numFmtId="44" fontId="0" fillId="0" borderId="6" xfId="0" applyNumberFormat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1" fontId="42" fillId="0" borderId="1" xfId="0" applyNumberFormat="1" applyFont="1" applyBorder="1" applyAlignment="1">
      <alignment horizontal="center" vertical="center"/>
    </xf>
    <xf numFmtId="44" fontId="0" fillId="0" borderId="9" xfId="0" applyNumberFormat="1" applyBorder="1"/>
    <xf numFmtId="44" fontId="0" fillId="0" borderId="15" xfId="0" applyNumberFormat="1" applyBorder="1"/>
    <xf numFmtId="44" fontId="0" fillId="0" borderId="16" xfId="0" applyNumberFormat="1" applyBorder="1"/>
    <xf numFmtId="1" fontId="0" fillId="0" borderId="0" xfId="4" applyNumberFormat="1" applyFont="1"/>
    <xf numFmtId="0" fontId="44" fillId="3" borderId="0" xfId="0" applyFont="1" applyFill="1" applyAlignment="1" applyProtection="1">
      <alignment horizontal="center" vertical="center" wrapText="1"/>
      <protection locked="0" hidden="1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49" fillId="0" borderId="0" xfId="0" applyFont="1"/>
    <xf numFmtId="0" fontId="31" fillId="5" borderId="33" xfId="0" applyFont="1" applyFill="1" applyBorder="1" applyAlignment="1">
      <alignment horizontal="center" vertical="center"/>
    </xf>
    <xf numFmtId="0" fontId="31" fillId="5" borderId="16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 wrapText="1"/>
    </xf>
    <xf numFmtId="0" fontId="41" fillId="2" borderId="13" xfId="0" applyFont="1" applyFill="1" applyBorder="1" applyAlignment="1">
      <alignment vertical="center" wrapText="1"/>
    </xf>
    <xf numFmtId="0" fontId="0" fillId="2" borderId="11" xfId="0" applyFill="1" applyBorder="1"/>
    <xf numFmtId="0" fontId="21" fillId="2" borderId="3" xfId="0" applyFont="1" applyFill="1" applyBorder="1"/>
    <xf numFmtId="0" fontId="21" fillId="2" borderId="46" xfId="0" applyFont="1" applyFill="1" applyBorder="1"/>
    <xf numFmtId="164" fontId="27" fillId="3" borderId="3" xfId="0" applyNumberFormat="1" applyFont="1" applyFill="1" applyBorder="1" applyAlignment="1" applyProtection="1">
      <alignment horizontal="center" vertical="center" wrapText="1"/>
      <protection hidden="1"/>
    </xf>
    <xf numFmtId="165" fontId="21" fillId="0" borderId="6" xfId="0" applyNumberFormat="1" applyFont="1" applyBorder="1"/>
    <xf numFmtId="164" fontId="21" fillId="0" borderId="0" xfId="0" applyNumberFormat="1" applyFont="1"/>
    <xf numFmtId="9" fontId="21" fillId="0" borderId="10" xfId="1" applyFont="1" applyBorder="1"/>
    <xf numFmtId="164" fontId="21" fillId="0" borderId="10" xfId="0" applyNumberFormat="1" applyFont="1" applyBorder="1"/>
    <xf numFmtId="0" fontId="29" fillId="3" borderId="0" xfId="0" applyFont="1" applyFill="1" applyAlignment="1">
      <alignment horizontal="center" vertical="center"/>
    </xf>
    <xf numFmtId="165" fontId="21" fillId="0" borderId="10" xfId="0" applyNumberFormat="1" applyFont="1" applyBorder="1"/>
    <xf numFmtId="165" fontId="21" fillId="0" borderId="7" xfId="0" applyNumberFormat="1" applyFont="1" applyBorder="1"/>
    <xf numFmtId="0" fontId="21" fillId="0" borderId="2" xfId="0" applyFont="1" applyBorder="1"/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/>
    <xf numFmtId="44" fontId="21" fillId="0" borderId="4" xfId="4" applyFont="1" applyBorder="1"/>
    <xf numFmtId="0" fontId="3" fillId="0" borderId="12" xfId="2" applyBorder="1"/>
    <xf numFmtId="0" fontId="3" fillId="0" borderId="0" xfId="2"/>
    <xf numFmtId="169" fontId="3" fillId="0" borderId="0" xfId="2" applyNumberFormat="1"/>
    <xf numFmtId="1" fontId="3" fillId="0" borderId="0" xfId="2" applyNumberFormat="1"/>
    <xf numFmtId="0" fontId="2" fillId="0" borderId="0" xfId="2" applyFont="1"/>
    <xf numFmtId="9" fontId="3" fillId="0" borderId="0" xfId="2" applyNumberFormat="1"/>
    <xf numFmtId="21" fontId="3" fillId="0" borderId="0" xfId="2" applyNumberFormat="1"/>
    <xf numFmtId="0" fontId="3" fillId="0" borderId="10" xfId="2" applyBorder="1"/>
    <xf numFmtId="0" fontId="0" fillId="6" borderId="13" xfId="0" applyFill="1" applyBorder="1"/>
    <xf numFmtId="0" fontId="0" fillId="6" borderId="8" xfId="0" applyFill="1" applyBorder="1"/>
    <xf numFmtId="0" fontId="0" fillId="6" borderId="9" xfId="0" applyFill="1" applyBorder="1"/>
    <xf numFmtId="164" fontId="27" fillId="10" borderId="35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58" xfId="0" applyNumberFormat="1" applyFont="1" applyFill="1" applyBorder="1" applyAlignment="1" applyProtection="1">
      <alignment horizontal="center" vertical="center" wrapText="1"/>
      <protection hidden="1"/>
    </xf>
    <xf numFmtId="0" fontId="44" fillId="3" borderId="45" xfId="0" applyFont="1" applyFill="1" applyBorder="1" applyAlignment="1" applyProtection="1">
      <alignment horizontal="center" vertical="center" wrapText="1"/>
      <protection locked="0" hidden="1"/>
    </xf>
    <xf numFmtId="0" fontId="45" fillId="0" borderId="54" xfId="0" applyFont="1" applyBorder="1" applyAlignment="1" applyProtection="1">
      <alignment horizontal="center" vertical="center" wrapText="1"/>
      <protection locked="0"/>
    </xf>
    <xf numFmtId="0" fontId="44" fillId="3" borderId="31" xfId="0" applyFont="1" applyFill="1" applyBorder="1" applyAlignment="1" applyProtection="1">
      <alignment horizontal="center" vertical="center" wrapText="1"/>
      <protection locked="0" hidden="1"/>
    </xf>
    <xf numFmtId="0" fontId="7" fillId="12" borderId="33" xfId="0" applyFont="1" applyFill="1" applyBorder="1" applyAlignment="1" applyProtection="1">
      <alignment horizontal="center" vertical="center" wrapText="1"/>
      <protection locked="0"/>
    </xf>
    <xf numFmtId="0" fontId="21" fillId="0" borderId="10" xfId="0" applyFont="1" applyBorder="1" applyAlignment="1"/>
    <xf numFmtId="0" fontId="0" fillId="14" borderId="0" xfId="0" applyFill="1"/>
    <xf numFmtId="6" fontId="0" fillId="14" borderId="0" xfId="0" applyNumberFormat="1" applyFill="1"/>
    <xf numFmtId="0" fontId="12" fillId="9" borderId="7" xfId="0" applyFont="1" applyFill="1" applyBorder="1" applyAlignment="1">
      <alignment horizontal="center" vertical="center" wrapText="1"/>
    </xf>
    <xf numFmtId="164" fontId="0" fillId="14" borderId="0" xfId="0" applyNumberFormat="1" applyFill="1"/>
    <xf numFmtId="0" fontId="9" fillId="0" borderId="23" xfId="0" applyFont="1" applyFill="1" applyBorder="1" applyAlignment="1">
      <alignment horizontal="left"/>
    </xf>
    <xf numFmtId="0" fontId="0" fillId="0" borderId="0" xfId="0" applyFill="1"/>
    <xf numFmtId="0" fontId="9" fillId="0" borderId="24" xfId="0" applyFont="1" applyFill="1" applyBorder="1" applyAlignment="1">
      <alignment horizontal="center"/>
    </xf>
    <xf numFmtId="0" fontId="5" fillId="0" borderId="24" xfId="0" applyFont="1" applyFill="1" applyBorder="1"/>
    <xf numFmtId="0" fontId="5" fillId="0" borderId="24" xfId="0" applyNumberFormat="1" applyFont="1" applyFill="1" applyBorder="1"/>
    <xf numFmtId="165" fontId="0" fillId="15" borderId="11" xfId="0" applyNumberFormat="1" applyFill="1" applyBorder="1" applyAlignment="1">
      <alignment horizontal="center" vertical="center"/>
    </xf>
    <xf numFmtId="0" fontId="9" fillId="0" borderId="0" xfId="0" applyFont="1" applyFill="1"/>
    <xf numFmtId="0" fontId="0" fillId="0" borderId="0" xfId="0" applyNumberFormat="1"/>
    <xf numFmtId="0" fontId="0" fillId="0" borderId="0" xfId="0"/>
    <xf numFmtId="164" fontId="25" fillId="10" borderId="13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8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9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46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47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30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2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4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5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7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15" xfId="0" applyNumberFormat="1" applyFont="1" applyFill="1" applyBorder="1" applyAlignment="1" applyProtection="1">
      <alignment horizontal="center" vertical="center" wrapText="1"/>
      <protection hidden="1"/>
    </xf>
    <xf numFmtId="164" fontId="25" fillId="10" borderId="16" xfId="0" applyNumberFormat="1" applyFont="1" applyFill="1" applyBorder="1" applyAlignment="1" applyProtection="1">
      <alignment horizontal="center" vertical="center" wrapText="1"/>
      <protection hidden="1"/>
    </xf>
    <xf numFmtId="44" fontId="25" fillId="10" borderId="44" xfId="0" applyNumberFormat="1" applyFont="1" applyFill="1" applyBorder="1" applyAlignment="1" applyProtection="1">
      <alignment horizontal="center" vertical="center" wrapText="1"/>
      <protection hidden="1"/>
    </xf>
    <xf numFmtId="0" fontId="25" fillId="10" borderId="45" xfId="0" applyFont="1" applyFill="1" applyBorder="1" applyAlignment="1" applyProtection="1">
      <alignment horizontal="center" vertical="center" wrapText="1"/>
      <protection hidden="1"/>
    </xf>
    <xf numFmtId="0" fontId="22" fillId="4" borderId="31" xfId="0" applyFont="1" applyFill="1" applyBorder="1" applyAlignment="1" applyProtection="1">
      <alignment horizontal="center" vertical="center" wrapText="1"/>
      <protection hidden="1"/>
    </xf>
    <xf numFmtId="0" fontId="22" fillId="4" borderId="32" xfId="0" applyFont="1" applyFill="1" applyBorder="1" applyAlignment="1" applyProtection="1">
      <alignment horizontal="center" vertical="center" wrapText="1"/>
      <protection hidden="1"/>
    </xf>
    <xf numFmtId="0" fontId="22" fillId="4" borderId="4" xfId="0" applyFont="1" applyFill="1" applyBorder="1" applyAlignment="1" applyProtection="1">
      <alignment horizontal="left" vertical="center" wrapText="1"/>
      <protection hidden="1"/>
    </xf>
    <xf numFmtId="0" fontId="22" fillId="4" borderId="7" xfId="0" applyFont="1" applyFill="1" applyBorder="1" applyAlignment="1" applyProtection="1">
      <alignment horizontal="left" vertical="center" wrapText="1"/>
      <protection hidden="1"/>
    </xf>
    <xf numFmtId="0" fontId="22" fillId="4" borderId="44" xfId="0" applyFont="1" applyFill="1" applyBorder="1" applyAlignment="1" applyProtection="1">
      <alignment horizontal="center" vertical="center" wrapText="1"/>
      <protection hidden="1"/>
    </xf>
    <xf numFmtId="0" fontId="22" fillId="4" borderId="48" xfId="0" applyFont="1" applyFill="1" applyBorder="1" applyAlignment="1" applyProtection="1">
      <alignment horizontal="center" vertical="center" wrapText="1"/>
      <protection hidden="1"/>
    </xf>
    <xf numFmtId="0" fontId="50" fillId="9" borderId="13" xfId="0" applyFont="1" applyFill="1" applyBorder="1" applyAlignment="1">
      <alignment horizontal="center" vertical="center" wrapText="1"/>
    </xf>
    <xf numFmtId="0" fontId="50" fillId="9" borderId="8" xfId="0" applyFont="1" applyFill="1" applyBorder="1" applyAlignment="1">
      <alignment horizontal="center" vertical="center" wrapText="1"/>
    </xf>
    <xf numFmtId="164" fontId="25" fillId="10" borderId="43" xfId="0" applyNumberFormat="1" applyFont="1" applyFill="1" applyBorder="1" applyAlignment="1" applyProtection="1">
      <alignment horizontal="center" vertical="center" wrapText="1"/>
      <protection hidden="1"/>
    </xf>
    <xf numFmtId="0" fontId="31" fillId="3" borderId="55" xfId="0" applyFont="1" applyFill="1" applyBorder="1" applyAlignment="1">
      <alignment horizontal="center" vertical="center"/>
    </xf>
    <xf numFmtId="0" fontId="31" fillId="3" borderId="19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2" fillId="4" borderId="46" xfId="0" applyFont="1" applyFill="1" applyBorder="1" applyAlignment="1" applyProtection="1">
      <alignment horizontal="center" vertical="center" wrapText="1"/>
      <protection hidden="1"/>
    </xf>
    <xf numFmtId="0" fontId="22" fillId="4" borderId="47" xfId="0" applyFont="1" applyFill="1" applyBorder="1" applyAlignment="1" applyProtection="1">
      <alignment horizontal="center" vertical="center" wrapText="1"/>
      <protection hidden="1"/>
    </xf>
    <xf numFmtId="0" fontId="22" fillId="4" borderId="15" xfId="0" applyFont="1" applyFill="1" applyBorder="1" applyAlignment="1" applyProtection="1">
      <alignment horizontal="center" vertical="center" wrapText="1"/>
      <protection hidden="1"/>
    </xf>
    <xf numFmtId="0" fontId="22" fillId="4" borderId="16" xfId="0" applyFont="1" applyFill="1" applyBorder="1" applyAlignment="1" applyProtection="1">
      <alignment horizontal="center" vertical="center" wrapText="1"/>
      <protection hidden="1"/>
    </xf>
    <xf numFmtId="164" fontId="25" fillId="10" borderId="59" xfId="0" applyNumberFormat="1" applyFont="1" applyFill="1" applyBorder="1" applyAlignment="1" applyProtection="1">
      <alignment horizontal="center" vertical="center" wrapText="1"/>
      <protection hidden="1"/>
    </xf>
    <xf numFmtId="0" fontId="0" fillId="6" borderId="13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3" fillId="5" borderId="0" xfId="0" applyFont="1" applyFill="1" applyAlignment="1">
      <alignment horizontal="center" vertical="center" wrapText="1"/>
    </xf>
    <xf numFmtId="0" fontId="12" fillId="0" borderId="1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</cellXfs>
  <cellStyles count="8">
    <cellStyle name="Normalny" xfId="0" builtinId="0"/>
    <cellStyle name="Normalny 2" xfId="2"/>
    <cellStyle name="Normalny 2 2" xfId="3"/>
    <cellStyle name="Normalny 2 2 2" xfId="6"/>
    <cellStyle name="Procentowy" xfId="1" builtinId="5"/>
    <cellStyle name="Procentowy 2" xfId="5"/>
    <cellStyle name="Walutowy" xfId="4" builtinId="4"/>
    <cellStyle name="Walutowy 2" xfId="7"/>
  </cellStyles>
  <dxfs count="192"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right style="thin">
          <color theme="4" tint="0.39997558519241921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ont>
        <color rgb="FFFFFF00"/>
      </font>
      <fill>
        <patternFill>
          <bgColor rgb="FFFFFF00"/>
        </patternFill>
      </fill>
      <border>
        <right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right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right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FFFF00"/>
      </font>
      <fill>
        <patternFill>
          <bgColor rgb="FFFFFF0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fmlaLink="$A$5" lockText="1" noThreeD="1"/>
</file>

<file path=xl/ctrlProps/ctrlProp2.xml><?xml version="1.0" encoding="utf-8"?>
<formControlPr xmlns="http://schemas.microsoft.com/office/spreadsheetml/2009/9/main" objectType="CheckBox" checked="Checked" fmlaLink="$A$10" lockText="1" noThreeD="1"/>
</file>

<file path=xl/ctrlProps/ctrlProp3.xml><?xml version="1.0" encoding="utf-8"?>
<formControlPr xmlns="http://schemas.microsoft.com/office/spreadsheetml/2009/9/main" objectType="CheckBox" checked="Checked" fmlaLink="$A$14" lockText="1" noThreeD="1"/>
</file>

<file path=xl/ctrlProps/ctrlProp4.xml><?xml version="1.0" encoding="utf-8"?>
<formControlPr xmlns="http://schemas.microsoft.com/office/spreadsheetml/2009/9/main" objectType="CheckBox" checked="Checked" fmlaLink="$A$18" lockText="1" noThreeD="1"/>
</file>

<file path=xl/ctrlProps/ctrlProp5.xml><?xml version="1.0" encoding="utf-8"?>
<formControlPr xmlns="http://schemas.microsoft.com/office/spreadsheetml/2009/9/main" objectType="Spin" dx="22" fmlaLink="$E$19" max="4" min="1" page="10" val="3"/>
</file>

<file path=xl/ctrlProps/ctrlProp6.xml><?xml version="1.0" encoding="utf-8"?>
<formControlPr xmlns="http://schemas.microsoft.com/office/spreadsheetml/2009/9/main" objectType="CheckBox" checked="Checked" fmlaLink="$A$23" lockText="1" noThreeD="1"/>
</file>

<file path=xl/ctrlProps/ctrlProp7.xml><?xml version="1.0" encoding="utf-8"?>
<formControlPr xmlns="http://schemas.microsoft.com/office/spreadsheetml/2009/9/main" objectType="CheckBox" checked="Checked" fmlaLink="$A$28" lockText="1" noThreeD="1"/>
</file>

<file path=xl/ctrlProps/ctrlProp8.xml><?xml version="1.0" encoding="utf-8"?>
<formControlPr xmlns="http://schemas.microsoft.com/office/spreadsheetml/2009/9/main" objectType="CheckBox" checked="Checked" fmlaLink="$A$33" lockText="1" noThreeD="1"/>
</file>

<file path=xl/ctrlProps/ctrlProp9.xml><?xml version="1.0" encoding="utf-8"?>
<formControlPr xmlns="http://schemas.microsoft.com/office/spreadsheetml/2009/9/main" objectType="CheckBox" checked="Checked" fmlaLink="$A$41" lockText="1" noThreeD="1"/>
</file>

<file path=xl/ctrlProps/ctrlProp10.xml><?xml version="1.0" encoding="utf-8"?>
<formControlPr xmlns="http://schemas.microsoft.com/office/spreadsheetml/2009/9/main" objectType="CheckBox" checked="Checked" fmlaLink="$A$47" lockText="1" noThreeD="1"/>
</file>

<file path=xl/ctrlProps/ctrlProp11.xml><?xml version="1.0" encoding="utf-8"?>
<formControlPr xmlns="http://schemas.microsoft.com/office/spreadsheetml/2009/9/main" objectType="CheckBox" checked="Checked" fmlaLink="$A$51" lockText="1" noThreeD="1"/>
</file>

<file path=xl/ctrlProps/ctrlProp12.xml><?xml version="1.0" encoding="utf-8"?>
<formControlPr xmlns="http://schemas.microsoft.com/office/spreadsheetml/2009/9/main" objectType="CheckBox" checked="Checked" fmlaLink="$A$56" lockText="1" noThreeD="1"/>
</file>

<file path=xl/ctrlProps/ctrlProp13.xml><?xml version="1.0" encoding="utf-8"?>
<formControlPr xmlns="http://schemas.microsoft.com/office/spreadsheetml/2009/9/main" objectType="CheckBox" checked="Checked" fmlaLink="$A$64" lockText="1" noThreeD="1"/>
</file>

<file path=xl/ctrlProps/ctrlProp14.xml><?xml version="1.0" encoding="utf-8"?>
<formControlPr xmlns="http://schemas.microsoft.com/office/spreadsheetml/2009/9/main" objectType="CheckBox" checked="Checked" fmlaLink="$A$69" lockText="1" noThreeD="1"/>
</file>

<file path=xl/ctrlProps/ctrlProp15.xml><?xml version="1.0" encoding="utf-8"?>
<formControlPr xmlns="http://schemas.microsoft.com/office/spreadsheetml/2009/9/main" objectType="CheckBox" checked="Checked" fmlaLink="$A$59" lockText="1" noThreeD="1"/>
</file>

<file path=xl/ctrlProps/ctrlProp16.xml><?xml version="1.0" encoding="utf-8"?>
<formControlPr xmlns="http://schemas.microsoft.com/office/spreadsheetml/2009/9/main" objectType="CheckBox" checked="Checked" fmlaLink="$A$75" lockText="1" noThreeD="1"/>
</file>

<file path=xl/ctrlProps/ctrlProp17.xml><?xml version="1.0" encoding="utf-8"?>
<formControlPr xmlns="http://schemas.microsoft.com/office/spreadsheetml/2009/9/main" objectType="CheckBox" checked="Checked" fmlaLink="$A$80" lockText="1" noThreeD="1"/>
</file>

<file path=xl/ctrlProps/ctrlProp18.xml><?xml version="1.0" encoding="utf-8"?>
<formControlPr xmlns="http://schemas.microsoft.com/office/spreadsheetml/2009/9/main" objectType="CheckBox" checked="Checked" fmlaLink="$A$84" lockText="1" noThreeD="1"/>
</file>

<file path=xl/ctrlProps/ctrlProp19.xml><?xml version="1.0" encoding="utf-8"?>
<formControlPr xmlns="http://schemas.microsoft.com/office/spreadsheetml/2009/9/main" objectType="CheckBox" checked="Checked" fmlaLink="$A$88" lockText="1" noThreeD="1"/>
</file>

<file path=xl/ctrlProps/ctrlProp20.xml><?xml version="1.0" encoding="utf-8"?>
<formControlPr xmlns="http://schemas.microsoft.com/office/spreadsheetml/2009/9/main" objectType="CheckBox" checked="Checked" fmlaLink="$A$94" lockText="1" noThreeD="1"/>
</file>

<file path=xl/ctrlProps/ctrlProp21.xml><?xml version="1.0" encoding="utf-8"?>
<formControlPr xmlns="http://schemas.microsoft.com/office/spreadsheetml/2009/9/main" objectType="CheckBox" checked="Checked" fmlaLink="$A$100" lockText="1" noThreeD="1"/>
</file>

<file path=xl/ctrlProps/ctrlProp22.xml><?xml version="1.0" encoding="utf-8"?>
<formControlPr xmlns="http://schemas.microsoft.com/office/spreadsheetml/2009/9/main" objectType="CheckBox" checked="Checked" fmlaLink="$A$107" lockText="1" noThreeD="1"/>
</file>

<file path=xl/ctrlProps/ctrlProp23.xml><?xml version="1.0" encoding="utf-8"?>
<formControlPr xmlns="http://schemas.microsoft.com/office/spreadsheetml/2009/9/main" objectType="CheckBox" checked="Checked" fmlaLink="$A$111" lockText="1" noThreeD="1"/>
</file>

<file path=xl/ctrlProps/ctrlProp24.xml><?xml version="1.0" encoding="utf-8"?>
<formControlPr xmlns="http://schemas.microsoft.com/office/spreadsheetml/2009/9/main" objectType="CheckBox" checked="Checked" fmlaLink="$A$116" lockText="1" noThreeD="1"/>
</file>

<file path=xl/ctrlProps/ctrlProp25.xml><?xml version="1.0" encoding="utf-8"?>
<formControlPr xmlns="http://schemas.microsoft.com/office/spreadsheetml/2009/9/main" objectType="CheckBox" checked="Checked" fmlaLink="$A$120" lockText="1" noThreeD="1"/>
</file>

<file path=xl/ctrlProps/ctrlProp26.xml><?xml version="1.0" encoding="utf-8"?>
<formControlPr xmlns="http://schemas.microsoft.com/office/spreadsheetml/2009/9/main" objectType="CheckBox" checked="Checked" fmlaLink="$A$123" lockText="1" noThreeD="1"/>
</file>

<file path=xl/ctrlProps/ctrlProp27.xml><?xml version="1.0" encoding="utf-8"?>
<formControlPr xmlns="http://schemas.microsoft.com/office/spreadsheetml/2009/9/main" objectType="CheckBox" checked="Checked" fmlaLink="$A$128" lockText="1" noThreeD="1"/>
</file>

<file path=xl/ctrlProps/ctrlProp28.xml><?xml version="1.0" encoding="utf-8"?>
<formControlPr xmlns="http://schemas.microsoft.com/office/spreadsheetml/2009/9/main" objectType="CheckBox" checked="Checked" fmlaLink="$A$132" lockText="1" noThreeD="1"/>
</file>

<file path=xl/ctrlProps/ctrlProp29.xml><?xml version="1.0" encoding="utf-8"?>
<formControlPr xmlns="http://schemas.microsoft.com/office/spreadsheetml/2009/9/main" objectType="CheckBox" checked="Checked" fmlaLink="$A$138" lockText="1" noThreeD="1"/>
</file>

<file path=xl/ctrlProps/ctrlProp30.xml><?xml version="1.0" encoding="utf-8"?>
<formControlPr xmlns="http://schemas.microsoft.com/office/spreadsheetml/2009/9/main" objectType="CheckBox" checked="Checked" fmlaLink="$A$142" lockText="1" noThreeD="1"/>
</file>

<file path=xl/ctrlProps/ctrlProp31.xml><?xml version="1.0" encoding="utf-8"?>
<formControlPr xmlns="http://schemas.microsoft.com/office/spreadsheetml/2009/9/main" objectType="CheckBox" checked="Checked" fmlaLink="$A$146" lockText="1" noThreeD="1"/>
</file>

<file path=xl/ctrlProps/ctrlProp32.xml><?xml version="1.0" encoding="utf-8"?>
<formControlPr xmlns="http://schemas.microsoft.com/office/spreadsheetml/2009/9/main" objectType="CheckBox" checked="Checked" fmlaLink="$A$150" lockText="1" noThreeD="1"/>
</file>

<file path=xl/ctrlProps/ctrlProp33.xml><?xml version="1.0" encoding="utf-8"?>
<formControlPr xmlns="http://schemas.microsoft.com/office/spreadsheetml/2009/9/main" objectType="CheckBox" checked="Checked" fmlaLink="$A$154" lockText="1" noThreeD="1"/>
</file>

<file path=xl/ctrlProps/ctrlProp34.xml><?xml version="1.0" encoding="utf-8"?>
<formControlPr xmlns="http://schemas.microsoft.com/office/spreadsheetml/2009/9/main" objectType="CheckBox" checked="Checked" fmlaLink="$A$158" lockText="1" noThreeD="1"/>
</file>

<file path=xl/ctrlProps/ctrlProp35.xml><?xml version="1.0" encoding="utf-8"?>
<formControlPr xmlns="http://schemas.microsoft.com/office/spreadsheetml/2009/9/main" objectType="CheckBox" checked="Checked" fmlaLink="$A$162" lockText="1" noThreeD="1"/>
</file>

<file path=xl/ctrlProps/ctrlProp36.xml><?xml version="1.0" encoding="utf-8"?>
<formControlPr xmlns="http://schemas.microsoft.com/office/spreadsheetml/2009/9/main" objectType="Spin" dx="16" fmlaLink="$G$6" max="15" min="1" page="10" val="5"/>
</file>

<file path=xl/ctrlProps/ctrlProp37.xml><?xml version="1.0" encoding="utf-8"?>
<formControlPr xmlns="http://schemas.microsoft.com/office/spreadsheetml/2009/9/main" objectType="Spin" dx="16" fmlaLink="$F$6" max="15" min="1" page="10" val="5"/>
</file>

<file path=xl/ctrlProps/ctrlProp38.xml><?xml version="1.0" encoding="utf-8"?>
<formControlPr xmlns="http://schemas.microsoft.com/office/spreadsheetml/2009/9/main" objectType="CheckBox" checked="Checked" fmlaLink="$A$166" lockText="1" noThreeD="1"/>
</file>

<file path=xl/ctrlProps/ctrlProp39.xml><?xml version="1.0" encoding="utf-8"?>
<formControlPr xmlns="http://schemas.microsoft.com/office/spreadsheetml/2009/9/main" objectType="CheckBox" checked="Checked" fmlaLink="$A$170" lockText="1" noThreeD="1"/>
</file>

<file path=xl/ctrlProps/ctrlProp40.xml><?xml version="1.0" encoding="utf-8"?>
<formControlPr xmlns="http://schemas.microsoft.com/office/spreadsheetml/2009/9/main" objectType="CheckBox" checked="Checked" fmlaLink="$A$174" lockText="1" noThreeD="1"/>
</file>

<file path=xl/ctrlProps/ctrlProp41.xml><?xml version="1.0" encoding="utf-8"?>
<formControlPr xmlns="http://schemas.microsoft.com/office/spreadsheetml/2009/9/main" objectType="CheckBox" checked="Checked" fmlaLink="$A$178" lockText="1" noThreeD="1"/>
</file>

<file path=xl/ctrlProps/ctrlProp42.xml><?xml version="1.0" encoding="utf-8"?>
<formControlPr xmlns="http://schemas.microsoft.com/office/spreadsheetml/2009/9/main" objectType="CheckBox" checked="Checked" fmlaLink="$A$182" lockText="1" noThreeD="1"/>
</file>

<file path=xl/ctrlProps/ctrlProp43.xml><?xml version="1.0" encoding="utf-8"?>
<formControlPr xmlns="http://schemas.microsoft.com/office/spreadsheetml/2009/9/main" objectType="CheckBox" checked="Checked" fmlaLink="$A$186" lockText="1" noThreeD="1"/>
</file>

<file path=xl/ctrlProps/ctrlProp44.xml><?xml version="1.0" encoding="utf-8"?>
<formControlPr xmlns="http://schemas.microsoft.com/office/spreadsheetml/2009/9/main" objectType="CheckBox" checked="Checked" fmlaLink="$A$190" lockText="1" noThreeD="1"/>
</file>

<file path=xl/ctrlProps/ctrlProp45.xml><?xml version="1.0" encoding="utf-8"?>
<formControlPr xmlns="http://schemas.microsoft.com/office/spreadsheetml/2009/9/main" objectType="CheckBox" checked="Checked" fmlaLink="$A$194" lockText="1" noThreeD="1"/>
</file>

<file path=xl/ctrlProps/ctrlProp46.xml><?xml version="1.0" encoding="utf-8"?>
<formControlPr xmlns="http://schemas.microsoft.com/office/spreadsheetml/2009/9/main" objectType="CheckBox" checked="Checked" fmlaLink="$A$198" lockText="1" noThreeD="1"/>
</file>

<file path=xl/ctrlProps/ctrlProp47.xml><?xml version="1.0" encoding="utf-8"?>
<formControlPr xmlns="http://schemas.microsoft.com/office/spreadsheetml/2009/9/main" objectType="CheckBox" checked="Checked" fmlaLink="$A$202" lockText="1" noThreeD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</xdr:row>
          <xdr:rowOff>19050</xdr:rowOff>
        </xdr:from>
        <xdr:to>
          <xdr:col>1</xdr:col>
          <xdr:colOff>895350</xdr:colOff>
          <xdr:row>5</xdr:row>
          <xdr:rowOff>219075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DRUK SITODRUK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9</xdr:row>
          <xdr:rowOff>219075</xdr:rowOff>
        </xdr:from>
        <xdr:to>
          <xdr:col>1</xdr:col>
          <xdr:colOff>981075</xdr:colOff>
          <xdr:row>10</xdr:row>
          <xdr:rowOff>361950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DRUK UV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13</xdr:row>
          <xdr:rowOff>161925</xdr:rowOff>
        </xdr:from>
        <xdr:to>
          <xdr:col>1</xdr:col>
          <xdr:colOff>895350</xdr:colOff>
          <xdr:row>14</xdr:row>
          <xdr:rowOff>238125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DRUK SOLWENT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17</xdr:row>
          <xdr:rowOff>123825</xdr:rowOff>
        </xdr:from>
        <xdr:to>
          <xdr:col>1</xdr:col>
          <xdr:colOff>895350</xdr:colOff>
          <xdr:row>18</xdr:row>
          <xdr:rowOff>171450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TAMPODRUK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885825</xdr:colOff>
          <xdr:row>18</xdr:row>
          <xdr:rowOff>19050</xdr:rowOff>
        </xdr:from>
        <xdr:to>
          <xdr:col>4</xdr:col>
          <xdr:colOff>1162050</xdr:colOff>
          <xdr:row>18</xdr:row>
          <xdr:rowOff>638175</xdr:rowOff>
        </xdr:to>
        <xdr:sp macro="" textlink="">
          <xdr:nvSpPr>
            <xdr:cNvPr id="1044" name="Spinner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22</xdr:row>
          <xdr:rowOff>95250</xdr:rowOff>
        </xdr:from>
        <xdr:to>
          <xdr:col>1</xdr:col>
          <xdr:colOff>914400</xdr:colOff>
          <xdr:row>23</xdr:row>
          <xdr:rowOff>85725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LAMINATOR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27</xdr:row>
          <xdr:rowOff>304800</xdr:rowOff>
        </xdr:from>
        <xdr:to>
          <xdr:col>1</xdr:col>
          <xdr:colOff>1047750</xdr:colOff>
          <xdr:row>28</xdr:row>
          <xdr:rowOff>438150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RĘCZNE WYKLEJANIE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114300</xdr:rowOff>
        </xdr:from>
        <xdr:to>
          <xdr:col>1</xdr:col>
          <xdr:colOff>933450</xdr:colOff>
          <xdr:row>33</xdr:row>
          <xdr:rowOff>476250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CIĘCIE PLOTER ROLAND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40</xdr:row>
          <xdr:rowOff>209550</xdr:rowOff>
        </xdr:from>
        <xdr:to>
          <xdr:col>1</xdr:col>
          <xdr:colOff>1200150</xdr:colOff>
          <xdr:row>41</xdr:row>
          <xdr:rowOff>390525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SZTANCOWANIE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45</xdr:row>
          <xdr:rowOff>142875</xdr:rowOff>
        </xdr:from>
        <xdr:to>
          <xdr:col>1</xdr:col>
          <xdr:colOff>1095375</xdr:colOff>
          <xdr:row>46</xdr:row>
          <xdr:rowOff>600075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KASZEROWANIE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49</xdr:row>
          <xdr:rowOff>133350</xdr:rowOff>
        </xdr:from>
        <xdr:to>
          <xdr:col>1</xdr:col>
          <xdr:colOff>600075</xdr:colOff>
          <xdr:row>50</xdr:row>
          <xdr:rowOff>466725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CIĘCIE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54</xdr:row>
          <xdr:rowOff>352425</xdr:rowOff>
        </xdr:from>
        <xdr:to>
          <xdr:col>1</xdr:col>
          <xdr:colOff>847725</xdr:colOff>
          <xdr:row>55</xdr:row>
          <xdr:rowOff>200025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WIERCENIE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63</xdr:row>
          <xdr:rowOff>276225</xdr:rowOff>
        </xdr:from>
        <xdr:to>
          <xdr:col>1</xdr:col>
          <xdr:colOff>1057275</xdr:colOff>
          <xdr:row>64</xdr:row>
          <xdr:rowOff>123825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FORMATOWANIE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68</xdr:row>
          <xdr:rowOff>171450</xdr:rowOff>
        </xdr:from>
        <xdr:to>
          <xdr:col>1</xdr:col>
          <xdr:colOff>1057275</xdr:colOff>
          <xdr:row>69</xdr:row>
          <xdr:rowOff>142875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OKLEJANIE PROSTOLINIOWE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58</xdr:row>
          <xdr:rowOff>314325</xdr:rowOff>
        </xdr:from>
        <xdr:to>
          <xdr:col>1</xdr:col>
          <xdr:colOff>1381125</xdr:colOff>
          <xdr:row>59</xdr:row>
          <xdr:rowOff>104775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WIERCENIE WIELOWRZECIONOWA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74</xdr:row>
          <xdr:rowOff>133350</xdr:rowOff>
        </xdr:from>
        <xdr:to>
          <xdr:col>1</xdr:col>
          <xdr:colOff>1076325</xdr:colOff>
          <xdr:row>75</xdr:row>
          <xdr:rowOff>9525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OKLEJANIE KRZYWOLINIOWE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79</xdr:row>
          <xdr:rowOff>400050</xdr:rowOff>
        </xdr:from>
        <xdr:to>
          <xdr:col>1</xdr:col>
          <xdr:colOff>1085850</xdr:colOff>
          <xdr:row>80</xdr:row>
          <xdr:rowOff>247650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FREZOWANIE CENTRUM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</xdr:row>
          <xdr:rowOff>381000</xdr:rowOff>
        </xdr:from>
        <xdr:to>
          <xdr:col>1</xdr:col>
          <xdr:colOff>1028700</xdr:colOff>
          <xdr:row>84</xdr:row>
          <xdr:rowOff>180975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FREZOWANIE NA PLOTERZE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</xdr:row>
          <xdr:rowOff>381000</xdr:rowOff>
        </xdr:from>
        <xdr:to>
          <xdr:col>1</xdr:col>
          <xdr:colOff>1028700</xdr:colOff>
          <xdr:row>88</xdr:row>
          <xdr:rowOff>171450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FREZOWANIE INFOTEC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</xdr:row>
          <xdr:rowOff>381000</xdr:rowOff>
        </xdr:from>
        <xdr:to>
          <xdr:col>1</xdr:col>
          <xdr:colOff>1028700</xdr:colOff>
          <xdr:row>93</xdr:row>
          <xdr:rowOff>314325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CIĘCIE LASER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361950</xdr:rowOff>
        </xdr:from>
        <xdr:to>
          <xdr:col>1</xdr:col>
          <xdr:colOff>1171575</xdr:colOff>
          <xdr:row>100</xdr:row>
          <xdr:rowOff>200025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TERMOFORMOWANIE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</xdr:row>
          <xdr:rowOff>314325</xdr:rowOff>
        </xdr:from>
        <xdr:to>
          <xdr:col>1</xdr:col>
          <xdr:colOff>1181100</xdr:colOff>
          <xdr:row>107</xdr:row>
          <xdr:rowOff>266700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FREZOWANIE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110</xdr:row>
          <xdr:rowOff>361950</xdr:rowOff>
        </xdr:from>
        <xdr:to>
          <xdr:col>1</xdr:col>
          <xdr:colOff>1266825</xdr:colOff>
          <xdr:row>111</xdr:row>
          <xdr:rowOff>180975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CIĘCIE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114</xdr:row>
          <xdr:rowOff>381000</xdr:rowOff>
        </xdr:from>
        <xdr:to>
          <xdr:col>1</xdr:col>
          <xdr:colOff>1190625</xdr:colOff>
          <xdr:row>115</xdr:row>
          <xdr:rowOff>266700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FREZOWANIE STANDARD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</xdr:row>
          <xdr:rowOff>333375</xdr:rowOff>
        </xdr:from>
        <xdr:to>
          <xdr:col>1</xdr:col>
          <xdr:colOff>1181100</xdr:colOff>
          <xdr:row>119</xdr:row>
          <xdr:rowOff>219075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CIĘCIE STANDARD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381000</xdr:rowOff>
        </xdr:from>
        <xdr:to>
          <xdr:col>1</xdr:col>
          <xdr:colOff>1190625</xdr:colOff>
          <xdr:row>123</xdr:row>
          <xdr:rowOff>219075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LASER METAL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126</xdr:row>
          <xdr:rowOff>571500</xdr:rowOff>
        </xdr:from>
        <xdr:to>
          <xdr:col>1</xdr:col>
          <xdr:colOff>1028700</xdr:colOff>
          <xdr:row>127</xdr:row>
          <xdr:rowOff>266700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GIĘCIE METAL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131</xdr:row>
          <xdr:rowOff>581025</xdr:rowOff>
        </xdr:from>
        <xdr:to>
          <xdr:col>1</xdr:col>
          <xdr:colOff>1285875</xdr:colOff>
          <xdr:row>133</xdr:row>
          <xdr:rowOff>57150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SPAWANIE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137</xdr:row>
          <xdr:rowOff>419100</xdr:rowOff>
        </xdr:from>
        <xdr:to>
          <xdr:col>1</xdr:col>
          <xdr:colOff>1314450</xdr:colOff>
          <xdr:row>138</xdr:row>
          <xdr:rowOff>276225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LAKIERNIA PROSZKOWA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</xdr:row>
          <xdr:rowOff>457200</xdr:rowOff>
        </xdr:from>
        <xdr:to>
          <xdr:col>1</xdr:col>
          <xdr:colOff>1371600</xdr:colOff>
          <xdr:row>142</xdr:row>
          <xdr:rowOff>123825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SOYER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145</xdr:row>
          <xdr:rowOff>438150</xdr:rowOff>
        </xdr:from>
        <xdr:to>
          <xdr:col>1</xdr:col>
          <xdr:colOff>1390650</xdr:colOff>
          <xdr:row>146</xdr:row>
          <xdr:rowOff>228600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FLOODRILL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409575</xdr:rowOff>
        </xdr:from>
        <xdr:to>
          <xdr:col>1</xdr:col>
          <xdr:colOff>1409700</xdr:colOff>
          <xdr:row>150</xdr:row>
          <xdr:rowOff>133350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PRZETŁOCZENIA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247650</xdr:rowOff>
        </xdr:from>
        <xdr:to>
          <xdr:col>1</xdr:col>
          <xdr:colOff>1476375</xdr:colOff>
          <xdr:row>154</xdr:row>
          <xdr:rowOff>142875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GWINTOWANIE WYGNIATAKIEM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156</xdr:row>
          <xdr:rowOff>161925</xdr:rowOff>
        </xdr:from>
        <xdr:to>
          <xdr:col>1</xdr:col>
          <xdr:colOff>1390650</xdr:colOff>
          <xdr:row>158</xdr:row>
          <xdr:rowOff>123825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GWINTOWANIE MASZYNOWE OTWORÓW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161925</xdr:rowOff>
        </xdr:from>
        <xdr:to>
          <xdr:col>1</xdr:col>
          <xdr:colOff>1390650</xdr:colOff>
          <xdr:row>162</xdr:row>
          <xdr:rowOff>419100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GWINTOWANIE MASZYNOWE PRĘTÓW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819150</xdr:colOff>
          <xdr:row>4</xdr:row>
          <xdr:rowOff>352425</xdr:rowOff>
        </xdr:from>
        <xdr:to>
          <xdr:col>6</xdr:col>
          <xdr:colOff>1066800</xdr:colOff>
          <xdr:row>5</xdr:row>
          <xdr:rowOff>561975</xdr:rowOff>
        </xdr:to>
        <xdr:sp macro="" textlink="">
          <xdr:nvSpPr>
            <xdr:cNvPr id="1121" name="Spinner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1247775</xdr:colOff>
          <xdr:row>5</xdr:row>
          <xdr:rowOff>9525</xdr:rowOff>
        </xdr:from>
        <xdr:to>
          <xdr:col>5</xdr:col>
          <xdr:colOff>1485900</xdr:colOff>
          <xdr:row>5</xdr:row>
          <xdr:rowOff>561975</xdr:rowOff>
        </xdr:to>
        <xdr:sp macro="" textlink="">
          <xdr:nvSpPr>
            <xdr:cNvPr id="1122" name="Spinner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</xdr:row>
          <xdr:rowOff>200025</xdr:rowOff>
        </xdr:from>
        <xdr:to>
          <xdr:col>1</xdr:col>
          <xdr:colOff>1409700</xdr:colOff>
          <xdr:row>166</xdr:row>
          <xdr:rowOff>219075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CIĘCIE PROFILI BOMAR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</xdr:row>
          <xdr:rowOff>371475</xdr:rowOff>
        </xdr:from>
        <xdr:to>
          <xdr:col>1</xdr:col>
          <xdr:colOff>1295400</xdr:colOff>
          <xdr:row>170</xdr:row>
          <xdr:rowOff>171450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OTWOROWANIE/ WIERCENIE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173</xdr:row>
          <xdr:rowOff>381000</xdr:rowOff>
        </xdr:from>
        <xdr:to>
          <xdr:col>1</xdr:col>
          <xdr:colOff>1438275</xdr:colOff>
          <xdr:row>174</xdr:row>
          <xdr:rowOff>142875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PUNKTOWANIE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177</xdr:row>
          <xdr:rowOff>476250</xdr:rowOff>
        </xdr:from>
        <xdr:to>
          <xdr:col>1</xdr:col>
          <xdr:colOff>1428750</xdr:colOff>
          <xdr:row>178</xdr:row>
          <xdr:rowOff>180975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UKOSOWANIE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181</xdr:row>
          <xdr:rowOff>409575</xdr:rowOff>
        </xdr:from>
        <xdr:to>
          <xdr:col>1</xdr:col>
          <xdr:colOff>1428750</xdr:colOff>
          <xdr:row>182</xdr:row>
          <xdr:rowOff>85725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DOCINANIE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185</xdr:row>
          <xdr:rowOff>523875</xdr:rowOff>
        </xdr:from>
        <xdr:to>
          <xdr:col>1</xdr:col>
          <xdr:colOff>1333500</xdr:colOff>
          <xdr:row>186</xdr:row>
          <xdr:rowOff>200025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OKRAWANIE, WYKRAWANIE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189</xdr:row>
          <xdr:rowOff>381000</xdr:rowOff>
        </xdr:from>
        <xdr:to>
          <xdr:col>2</xdr:col>
          <xdr:colOff>28575</xdr:colOff>
          <xdr:row>190</xdr:row>
          <xdr:rowOff>85725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CIĘCIE PRĘT, PŁASKOWNIK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192</xdr:row>
          <xdr:rowOff>85725</xdr:rowOff>
        </xdr:from>
        <xdr:to>
          <xdr:col>1</xdr:col>
          <xdr:colOff>1476375</xdr:colOff>
          <xdr:row>193</xdr:row>
          <xdr:rowOff>333375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Frezowanie profili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196</xdr:row>
          <xdr:rowOff>85725</xdr:rowOff>
        </xdr:from>
        <xdr:to>
          <xdr:col>1</xdr:col>
          <xdr:colOff>1476375</xdr:colOff>
          <xdr:row>197</xdr:row>
          <xdr:rowOff>314325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Zgrzewanie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200</xdr:row>
          <xdr:rowOff>85725</xdr:rowOff>
        </xdr:from>
        <xdr:to>
          <xdr:col>1</xdr:col>
          <xdr:colOff>1476375</xdr:colOff>
          <xdr:row>201</xdr:row>
          <xdr:rowOff>228600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l-P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Wciskanie PEM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6</xdr:col>
      <xdr:colOff>53414</xdr:colOff>
      <xdr:row>18</xdr:row>
      <xdr:rowOff>8477</xdr:rowOff>
    </xdr:to>
    <xdr:pic>
      <xdr:nvPicPr>
        <xdr:cNvPr id="2" name="Obraz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"/>
          <a:ext cx="4168214" cy="321840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21</xdr:row>
      <xdr:rowOff>9525</xdr:rowOff>
    </xdr:from>
    <xdr:to>
      <xdr:col>5</xdr:col>
      <xdr:colOff>582455</xdr:colOff>
      <xdr:row>37</xdr:row>
      <xdr:rowOff>151445</xdr:rowOff>
    </xdr:to>
    <xdr:pic>
      <xdr:nvPicPr>
        <xdr:cNvPr id="3" name="Obraz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1" y="3829050"/>
          <a:ext cx="3916204" cy="3037520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590551</xdr:colOff>
      <xdr:row>4</xdr:row>
      <xdr:rowOff>76200</xdr:rowOff>
    </xdr:from>
    <xdr:to>
      <xdr:col>12</xdr:col>
      <xdr:colOff>538345</xdr:colOff>
      <xdr:row>12</xdr:row>
      <xdr:rowOff>133064</xdr:rowOff>
    </xdr:to>
    <xdr:pic>
      <xdr:nvPicPr>
        <xdr:cNvPr id="4" name="Obraz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5351" y="800100"/>
          <a:ext cx="4062594" cy="1504664"/>
        </a:xfrm>
        <a:prstGeom prst="rect">
          <a:avLst/>
        </a:prstGeom>
      </xdr:spPr>
    </xdr:pic>
    <xdr:clientData/>
  </xdr:twoCellAnchor>
  <xdr:twoCellAnchor>
    <xdr:from>
      <xdr:col>5</xdr:col>
      <xdr:colOff>314329</xdr:colOff>
      <xdr:row>13</xdr:row>
      <xdr:rowOff>133352</xdr:rowOff>
    </xdr:from>
    <xdr:to>
      <xdr:col>8</xdr:col>
      <xdr:colOff>47625</xdr:colOff>
      <xdr:row>19</xdr:row>
      <xdr:rowOff>161925</xdr:rowOff>
    </xdr:to>
    <xdr:cxnSp macro="">
      <xdr:nvCxnSpPr>
        <xdr:cNvPr id="5" name="Łącznik prosty ze strzałką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CxnSpPr/>
      </xdr:nvCxnSpPr>
      <xdr:spPr>
        <a:xfrm flipH="1" flipV="1">
          <a:off x="3743329" y="2486027"/>
          <a:ext cx="1790696" cy="1114423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9531</xdr:colOff>
      <xdr:row>11</xdr:row>
      <xdr:rowOff>76202</xdr:rowOff>
    </xdr:from>
    <xdr:to>
      <xdr:col>8</xdr:col>
      <xdr:colOff>47625</xdr:colOff>
      <xdr:row>19</xdr:row>
      <xdr:rowOff>161925</xdr:rowOff>
    </xdr:to>
    <xdr:cxnSp macro="">
      <xdr:nvCxnSpPr>
        <xdr:cNvPr id="6" name="Łącznik prosty ze strzałką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CxnSpPr/>
      </xdr:nvCxnSpPr>
      <xdr:spPr>
        <a:xfrm flipH="1" flipV="1">
          <a:off x="5495931" y="2066927"/>
          <a:ext cx="38094" cy="1533523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495302</xdr:colOff>
      <xdr:row>19</xdr:row>
      <xdr:rowOff>152400</xdr:rowOff>
    </xdr:from>
    <xdr:to>
      <xdr:col>8</xdr:col>
      <xdr:colOff>57150</xdr:colOff>
      <xdr:row>21</xdr:row>
      <xdr:rowOff>57150</xdr:rowOff>
    </xdr:to>
    <xdr:cxnSp macro="">
      <xdr:nvCxnSpPr>
        <xdr:cNvPr id="7" name="Łącznik prosty ze strzałką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CxnSpPr/>
      </xdr:nvCxnSpPr>
      <xdr:spPr>
        <a:xfrm flipH="1">
          <a:off x="3924302" y="3590925"/>
          <a:ext cx="1619248" cy="28575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19</xdr:row>
      <xdr:rowOff>104774</xdr:rowOff>
    </xdr:from>
    <xdr:to>
      <xdr:col>11</xdr:col>
      <xdr:colOff>447675</xdr:colOff>
      <xdr:row>27</xdr:row>
      <xdr:rowOff>171449</xdr:rowOff>
    </xdr:to>
    <xdr:sp macro="" textlink="">
      <xdr:nvSpPr>
        <xdr:cNvPr id="8" name="Prostokąt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>
        <a:xfrm>
          <a:off x="5553075" y="3543299"/>
          <a:ext cx="2438400" cy="15335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l-PL" sz="1600" b="1" i="0"/>
            <a:t>SITODRUK</a:t>
          </a:r>
          <a:r>
            <a:rPr lang="pl-PL" sz="1400" b="1"/>
            <a:t>:</a:t>
          </a:r>
        </a:p>
        <a:p>
          <a:pPr algn="ctr"/>
          <a:r>
            <a:rPr lang="pl-PL" sz="1400" b="1"/>
            <a:t>Przykłady</a:t>
          </a:r>
          <a:r>
            <a:rPr lang="pl-PL" sz="1400" b="1" baseline="0"/>
            <a:t> grafik drukowanych po jednym użytku na formatce, ze względu na trudny druk, pasowanie</a:t>
          </a:r>
          <a:endParaRPr lang="pl-PL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omasz Lisiewicz" refreshedDate="43752.589518749999" createdVersion="6" refreshedVersion="5" minRefreshableVersion="3" recordCount="247">
  <cacheSource type="worksheet">
    <worksheetSource name="Tabela1"/>
  </cacheSource>
  <cacheFields count="33">
    <cacheField name="Indeks" numFmtId="0">
      <sharedItems containsBlank="1"/>
    </cacheField>
    <cacheField name="Nazwa" numFmtId="0">
      <sharedItems containsBlank="1" count="239">
        <s v="Fala B dwust.bi 1200x600"/>
        <s v="Fala B jedn.bi"/>
        <s v="Fala B szara"/>
        <s v="Fala BC"/>
        <s v="Fala E dwust.bi"/>
        <s v="Fala E jedn.bi"/>
        <s v="Fala E szara "/>
        <s v="Fala EB dwust.bi"/>
        <s v="Fala EB jedn.bi"/>
        <s v="Fala EB szara"/>
        <s v="Fala BC szara"/>
        <s v="Folia AVERY 4500 translucent"/>
        <s v="Folia AVERY 500 biała i czarna ( ekonimiczna)"/>
        <s v="Folia AVERY 500 kolory ( ekonomiczna)"/>
        <s v="Folia G-PET b/b p/p 1,0x700"/>
        <s v="Folia sito b/b błysk 1000x1400"/>
        <s v="Folia sito b/b błysk 700x1000"/>
        <s v="Folia sito biała błysk 1000x1400"/>
        <s v="Folia sito biała błysk 700x1000"/>
        <s v="Folia solvent. Profiflex Pro poł 1,05x50"/>
        <s v="Folia transportowa 1,0x50"/>
        <s v="HDF 3mm biała"/>
        <s v="HDF 3mm czarna"/>
        <s v="HDF 3mm drewnopodobna"/>
        <s v="HDF 3mm surowa"/>
        <s v="Karton Alaska 230g 700x1000"/>
        <s v="Karton GD2 gr 230 1000x1400"/>
        <s v="HDF 6m biała Alaska 8681SM"/>
        <s v="HDF 6mm czarna U190 PE"/>
        <s v="MDF lam. 1 str. 16x2070x2800 mm"/>
        <s v="MDF lam. 1 str. 18x2070x2800 mm"/>
        <s v="MDF lam. 1 str. 19x2070x2800 mm"/>
        <s v="MDF lam. 2 str. 16x2070x2800 mm"/>
        <s v="MDF lam. 2 str. 18x2070x2800 mm"/>
        <s v="MDF lam. 2 str. 19x2070x2800 mm"/>
        <s v="MDF surowa 10x2070x2800 mm"/>
        <s v="MDF surowa 12x2070x2800 mm"/>
        <s v="MDF surowa 16x2070x2800 mm"/>
        <s v="MDF surowa 18x2070x2800 mm"/>
        <s v="MDF surowa 19x2070x2800 mm"/>
        <s v="MDF surowa 22x2070x2800 mm"/>
        <s v="MDF surowa 25x2070x2800 mm"/>
        <s v="MDF surowa 28x2070x2800 mm"/>
        <s v="MDF surowa 30x2070x2800 mm"/>
        <s v="MDF surowa 32x2070x2800 mm"/>
        <s v="MDF surowa 38x2070x2800 mm"/>
        <s v="MDF surowa 6x2070x2800 mm"/>
        <s v="MDF surowa 8x2070x2800 mm"/>
        <s v="Płyta AXPET b/b 1250x2050 ≠1"/>
        <s v="Płyta AXPET b/b 1250x2050 ≠1,5"/>
        <s v="Płyta AXPET b/b 2050x3050 ≠1"/>
        <s v="Płyta AXPET b/b 2050x3050 ≠1,5"/>
        <s v="Płyta AXPET b/b 2050x3050 ≠2"/>
        <s v="Płyta AXPET b/b 2050x3050 ≠3"/>
        <s v="Płyta AXPET opal 2050x3050 ≠1"/>
        <s v="Płyta AXPET opal 2050x3050 ≠1,5"/>
        <s v="Płyta FOREX SMART biała 1220x3050 ≠5"/>
        <s v="Płyta FOREX SMART biała 1220x3050 ≠10"/>
        <s v="Płyta HIPS biała m/m 1000x2000 ≠0,2"/>
        <s v="Płyta HIPS biała m/m 1000x2000 ≠0,5"/>
        <s v="Płyta HIPS biała m/m 1000x2000 ≠0,8"/>
        <s v="Płyta HIPS biała m/m 1000x2000 ≠1"/>
        <s v="Płyta HIPS biała m/m 1000x2000 ≠1,5"/>
        <s v="Płyta HIPS biała m/m 1000x2000 ≠2"/>
        <s v="Płyta HIPS biała m/m 1000x2000 ≠3"/>
        <s v="Płyta HIPS biała m/p 1000x2000 ≠1"/>
        <s v="Płyta HIPS biała m/p 1000x2000 ≠1,5"/>
        <s v="Płyta HIPS biała m/p 1000x2000 ≠2"/>
        <s v="Płyta HIPS biała m/p 1000x2000 ≠3"/>
        <s v="Płyta HIPS biała m/p 1000x2000 ≠4"/>
        <s v="Płyta HIPS czarna m/p 1000x2000 ≠1"/>
        <s v="Płyta HIPS czarna m/p 1000x2000 ≠1,5"/>
        <s v="Płyta HIPS czarna m/p 1000x2000 ≠2"/>
        <s v="Płyta HIPS czarna m/p 1000x2000 ≠3"/>
        <s v="Płyta HIPS czerwona m/p 1000x2000 ≠2"/>
        <s v="Płyta HIPS lustro srebrne 1000x2000 ≠1"/>
        <s v="Płyta HIPS lustro srebrne 1000x2000 ≠1,5"/>
        <s v="Płyta HIPS lustro srebrne 1000x2000 ≠2"/>
        <s v="Płyta HIPS niebieska m/p 1000x2000 ≠2"/>
        <s v="Płyta HIPS opal m/m 1000x2000 ≠1"/>
        <s v="Płyta HIPS opal m/m 1000x2000 ≠1,5"/>
        <s v="Płyta HIPS opal m/m 1000x2000 ≠2"/>
        <s v="Płyta HIPS srebrna met. 1000x2000 ≠1"/>
        <s v="Płyta HIPS srebrna met. 1000x2000 ≠1,5"/>
        <s v="Płyta HIPS srebrna met. 1000x2000 ≠2"/>
        <s v="Płyta HIPS srebrna met. 1000x2000 ≠3"/>
        <s v="Płyta HIPS zielona m/p 1000x2000 ≠2"/>
        <s v="Płyta HIPS żółta m/p 1000x2000 ≠2"/>
        <s v="Płyta lam. biała gł. 10x2070x2800 mm"/>
        <s v="Płyta lam. biała gł. 12x2070x2800 mm"/>
        <s v="Płyta lam. biała gł. 16x2070x2800 mm"/>
        <s v="Płyta lam. biała gł. 18x2070x2800 mm"/>
        <s v="Płyta lam. biała per. 10x2070x2800 mm"/>
        <s v="Płyta lam. biała per. 12x2070x2800 mm"/>
        <s v="Płyta lam. biała per. 16x2070x2800 mm"/>
        <s v="Płyta lam. biała per. 18x2070x2800 mm"/>
        <s v="Płyta lam. biała2 gł. 10x2070x2800 mm"/>
        <s v="Płyta lam. biała2 gł. 12x2070x2800 mm"/>
        <s v="Płyta lam. biała2 gł. 16x2070x2800 mm"/>
        <s v="Płyta lam. biała2 gł. 18x2070x2800 mm"/>
        <s v="Płyta lam. czarna per. 10x2070x2800 mm"/>
        <s v="Płyta lam. czarna per. 12x2070x2800 mm"/>
        <s v="Płyta lam. czarna per. 16x2070x2800 mm"/>
        <s v="Płyta lam. czarna per. 18x2070x2800 mm"/>
        <s v="Płyta lam. jasno szara per. 10x2070x2800"/>
        <s v="Płyta lam. jasno szara per. 16x2070x2802"/>
        <s v="Płyta lam. jasno szara per. 18x2070x2803"/>
        <s v="Płyta lam. metalik per. 10x2070x2800"/>
        <s v="Płyta lam. metalik per. 10x2070x2802"/>
        <s v="Płyta lam. metalik per. 18x2070x2800"/>
        <s v="Płyta PLEXI b/b HI 25kJ 2050x3050 ≠2"/>
        <s v="Płyta PLEXI b/b HI 25kJ 2050x3050 ≠3"/>
        <s v="Płyta PLEXI b/b HI 60kJ 2050x3050 ≠2"/>
        <s v="Płyta PLEXI b/b HI 60kJ 2050x3050 ≠3"/>
        <s v="Płyta PLEXI CN b/b 2030x3050 ≠3"/>
        <s v="Płyta PLEXI CN b/b 2030x3050 ≠4"/>
        <s v="Płyta PLEXI CN b/b 2030x3050 ≠5"/>
        <s v="Płyta PLEXI CN b/b 2030x3050 ≠6"/>
        <s v="Płyta PLEXI CN b/b 2030x3050 ≠8"/>
        <s v="Płyta PLEXI CN b/b 2030x3050 ≠10"/>
        <s v="Płyta PLEXI EX b/b 2050x3050 ≠2"/>
        <s v="Płyta PLEXI EX b/b 2050x3050 ≠3"/>
        <s v="Płyta PLEXI EX b/b 2050x3050 ≠4"/>
        <s v="Płyta PLEXI EX b/b 2050x3050 ≠5"/>
        <s v="Płyta PLEXI EX b/b 2050x3050 ≠6"/>
        <s v="Płyta PLEXI EX b/b 2050x3050 ≠8"/>
        <s v="Płyta PLEXI EX b/b 2050x3050 ≠10"/>
        <s v="Płyta PLEXI EX opal 2050x3050 ≠2"/>
        <s v="Płyta PLEXI EX opal 2050x3050 ≠3"/>
        <s v="Płyta PVC b/b 1000x2000 ≠1"/>
        <s v="Płyta PVC b/b 1000x2000 ≠1,5"/>
        <s v="Płyta PVC b/b 1000x2000 ≠2"/>
        <s v="Płyta PVC b/b 1000x2000 ≠3"/>
        <s v="Płyta PVC b/b p/p 1000x1400 ≠0,2"/>
        <s v="Płyta PVC b/b p/p 1000x1400 ≠0,5"/>
        <s v="Płyta PVC b/b p/p 1000x1400 ≠0,8"/>
        <s v="Płyta PVC biała 1000x2000 ≠1"/>
        <s v="Płyta PVC biała 1000x2000 ≠1,5"/>
        <s v="Płyta PVC biała 1000x2000 ≠2"/>
        <s v="Płyta PVC biała 1000x2000 ≠3"/>
        <s v="Płyta PVC biała p/p 1000x1400 ≠0,2"/>
        <s v="Płyta PVC biała p/p 1000x1400 ≠0,5"/>
        <s v="Płyta PVC biała p/p 1000x1400 ≠0,8"/>
        <s v="Płyta PVC spieniona biała 1000x2000 ≠1"/>
        <s v="Płyta PVC spieniona biała 1000x2000 ≠2"/>
        <s v="Płyta PVC spieniona biała 1000x2000 ≠3"/>
        <s v="Płyta PVC spieniona biała 1000x2000 ≠4"/>
        <s v="Płyta PVC spieniona biała 1000x2000 ≠5"/>
        <s v="Płyta PVC spieniona biała 1000x2000 ≠6"/>
        <s v="Płyta PVC spieniona biała 1000x2000 ≠8"/>
        <s v="Płyta PVC spieniona biała 1000x2000 ≠10"/>
        <s v="Płyta PVC spieniona biała 1400x3050 ≠19"/>
        <s v="Płyta TUPET b/b 1250x2050 ≠0,5"/>
        <s v="Płyta TUPET b/b 2050x3050 ≠1"/>
        <s v="Płyta TUPET b/b 2050x3050 ≠1,5"/>
        <s v="Płyta TUPET b/b 2050x3050 ≠2"/>
        <s v="Płyta VIVAK b/b 1250x2050 ≠0,5"/>
        <s v="Płyta VIVAK b/b 1250x2050 ≠1"/>
        <s v="Płyta VIVAK b/b 1250x2050 ≠1,5"/>
        <s v="Płyta VIVAK b/b 2050x3050 ≠1"/>
        <s v="Płyta VIVAK b/b 2050x3050 ≠1,5"/>
        <s v="Płyta VIVAK b/b 2050x3050 ≠2"/>
        <s v="Płyta wiórowa surowa 10x2070x2800mm"/>
        <s v="Płyta wiórowa surowa 12x2070x2800mm"/>
        <s v="Płyta wiórowa surowa 16x2070x2800mm"/>
        <s v="Płyta wiórowa surowa 18x2070x2800mm"/>
        <s v="Płyta wiórowa surowa 22x2070x2800mm"/>
        <s v="Płyta wiórowa surowa 25x2070x2800mm"/>
        <s v="Płyta wiórowa surowa 28x2070x2800mm"/>
        <s v="Płyta wiórowa surowa 38x2070x2800mm"/>
        <s v="Płyta wiórowa surowa 8x2070x2800mm"/>
        <s v="Sklejka gięta poprzecznie 3x1220x2440"/>
        <s v="Sklejka gięta poprzecznie 5x1220x2440"/>
        <s v="Sklejka gięta poprzecznie 8x1220x2440"/>
        <s v="Sklejka gięta wzdłużnie 3x1220x2440"/>
        <s v="Sklejka gięta wzdłużnie 5x1525x1525"/>
        <s v="Sklejka gięta wzdłużnie 8x1220x2440"/>
        <s v="Tektura lita 1230gr 700x1000"/>
        <s v="Folia G-PET b/b p/p 1,0x500"/>
        <s v="Płyta PLEXI EX opal 2050x3050 ≠5"/>
        <s v="Płyta PLEXI CN biała 2050x3050 ≠3"/>
        <s v="Płyta PLEXI CN biała 2050x3050 5mm ≠5"/>
        <s v="Płyta PLEXI CN biała 2050x3050 10mm ≠10"/>
        <s v="Płyta PLEXI ex czarna 2050x3050  ≠2"/>
        <s v="Płyta PLEXI cn czarna 2050x3050 ≠5"/>
        <s v="Płyta PLEXI lustro srebrne 2050x3050 ≠2"/>
        <s v="Płyta PLEXI lustro srebrne 2050x3050 ≠3"/>
        <s v="Płyta PLEXI lustro złote 2050x3050 ≠3"/>
        <s v="Folia hips czarny 1,0x500"/>
        <s v="Folia hips czarny 1,5x700"/>
        <s v="Folia hips czarny 1,5x500"/>
        <s v="Folia magnetyczna 0,6mm z białą okleiną "/>
        <s v="Folia magnetyczna 0,6mm brązowa"/>
        <s v="Blacha st. gw. 3x1000x2000"/>
        <s v="Blacha st. zw. 1,2x1000x2000"/>
        <s v="Blacha st. zw. 1,2x1250x2500"/>
        <s v="Blacha st. zw. 1,5x1000x2000"/>
        <s v="Blacha st. zw. 1,5x1250x2500"/>
        <s v="Blacha st. zw. 1x1000x2000"/>
        <s v="Blacha st. zw. 1x1250x2500"/>
        <s v="Blacha st. zw. 2x1000x2000"/>
        <s v="Blacha st. zw. 0,5x1500x3000"/>
        <s v="Blacha st. gw. 4x1500x3000"/>
        <s v="Blacha st. zw. 2x1250x2500"/>
        <s v="Blacha st. nierdz. 0,6x1250x2501 (gat. 430)"/>
        <s v="Blacha st. nierdz. 0,6x1250x2501 (gat. 304)"/>
        <s v="Blacha st. nierdz. 1,5x1250x2501 (gat. 430)"/>
        <s v="Płaskownik st. 20x4 "/>
        <s v="Płaskownik st. 30x4 "/>
        <s v="Płaskownik st. 30x6"/>
        <s v="Płaskownik st. 40x6"/>
        <s v="Płaskownik st. 60x6"/>
        <s v="Profil st. gw. 20x20x2"/>
        <s v="Profil st. gw. 30x20x2"/>
        <s v="Profil st. gw. 30x30x2"/>
        <s v="Profil st. gw. 30x30x3"/>
        <s v="Profil st. gw. 40x20x2"/>
        <s v="Profil st. gw. 40x30x2"/>
        <s v="Profil st. gw. 40x40x2"/>
        <s v="Profil st. gw. 40x40x3"/>
        <s v="Profil st. gw. 50x20x2"/>
        <s v="Profil st. gw. 50x30x2"/>
        <s v="Profil st. gw. 60x40x2"/>
        <s v="Profil st. zw. 20x10x1,5"/>
        <s v="Profil st. zw. 20x20x1,5"/>
        <s v="Profil st. zw. 25x25x1,5"/>
        <s v="Profil st. zw. 30x20x1,5"/>
        <s v="Profil st. zw. 30x30x1,5"/>
        <s v="Profil st. zw. 40x20x1,5"/>
        <s v="Backlight solvent 1,27x30,5"/>
        <s v="Pręt st. ciągniony fi 10 (0,617kg/mb)"/>
        <s v="Pręt st. ciągniony fi 3 (0,055kg/mb)"/>
        <s v="Pręt st. ciągniony fi 4 (0,099kg/mb)"/>
        <s v="Pręt st. ciągniony fi 5 (0,154kg/mb)"/>
        <s v="Pręt st. ciągniony fi 6 (0,222kg/mb)"/>
        <s v="Pręt st. ciągniony fi 8 (0,395kg/mb)"/>
        <s v="Płyta VIVAK b/b 2050x3050 ≠3"/>
        <m u="1"/>
        <s v="VIVAK b/b #3x2050x3050" u="1"/>
      </sharedItems>
    </cacheField>
    <cacheField name="Nazwa rozwinięta" numFmtId="0">
      <sharedItems containsBlank="1"/>
    </cacheField>
    <cacheField name="Jednostka miary" numFmtId="0">
      <sharedItems containsBlank="1"/>
    </cacheField>
    <cacheField name="FREZARKI" numFmtId="0">
      <sharedItems containsBlank="1"/>
    </cacheField>
    <cacheField name="PLOTER DRUKUJĄCY ROLAND" numFmtId="0">
      <sharedItems containsBlank="1"/>
    </cacheField>
    <cacheField name="PLOTER TNĄCY" numFmtId="0">
      <sharedItems containsNonDate="0" containsString="0" containsBlank="1"/>
    </cacheField>
    <cacheField name="FORMATYZERKA" numFmtId="0">
      <sharedItems containsBlank="1"/>
    </cacheField>
    <cacheField name="GILOTYNA" numFmtId="0">
      <sharedItems containsBlank="1"/>
    </cacheField>
    <cacheField name="GILOTYNA2" numFmtId="0">
      <sharedItems containsBlank="1"/>
    </cacheField>
    <cacheField name="GILOTYNA3" numFmtId="0">
      <sharedItems containsBlank="1"/>
    </cacheField>
    <cacheField name="GILOTYNA4" numFmtId="0">
      <sharedItems containsBlank="1"/>
    </cacheField>
    <cacheField name="INFOTEC" numFmtId="0">
      <sharedItems containsBlank="1"/>
    </cacheField>
    <cacheField name="KASZEROWANIE" numFmtId="0">
      <sharedItems containsBlank="1"/>
    </cacheField>
    <cacheField name="LASER" numFmtId="0">
      <sharedItems containsBlank="1"/>
    </cacheField>
    <cacheField name="PLOTERY FREZUJĄCE" numFmtId="0">
      <sharedItems containsBlank="1"/>
    </cacheField>
    <cacheField name="DRUK SITO" numFmtId="0">
      <sharedItems containsBlank="1"/>
    </cacheField>
    <cacheField name="SZTANCOWANIE wyr tworz" numFmtId="0">
      <sharedItems containsBlank="1"/>
    </cacheField>
    <cacheField name="TERMOFORMOWANIE" numFmtId="0">
      <sharedItems containsBlank="1"/>
    </cacheField>
    <cacheField name="PIŁA POZIOMA" numFmtId="0">
      <sharedItems containsBlank="1"/>
    </cacheField>
    <cacheField name="GRUBOŚĆ" numFmtId="0">
      <sharedItems containsBlank="1" containsMixedTypes="1" containsNumber="1" minValue="0.2" maxValue="38"/>
    </cacheField>
    <cacheField name="Metaliczne perłowe do termoformowania" numFmtId="0">
      <sharedItems containsNonDate="0" containsString="0" containsBlank="1"/>
    </cacheField>
    <cacheField name="Centrum HOMAG" numFmtId="0">
      <sharedItems containsNonDate="0" containsString="0" containsBlank="1"/>
    </cacheField>
    <cacheField name="Primer do UV" numFmtId="0">
      <sharedItems containsNonDate="0" containsString="0" containsBlank="1"/>
    </cacheField>
    <cacheField name="Termoformowanie-rolowa" numFmtId="0">
      <sharedItems containsBlank="1"/>
    </cacheField>
    <cacheField name="Offset" numFmtId="0">
      <sharedItems containsNonDate="0" containsString="0" containsBlank="1"/>
    </cacheField>
    <cacheField name="LASER METAL" numFmtId="0">
      <sharedItems containsBlank="1"/>
    </cacheField>
    <cacheField name="Wysokość profila" numFmtId="0">
      <sharedItems containsString="0" containsBlank="1" containsNumber="1" containsInteger="1" minValue="20" maxValue="60"/>
    </cacheField>
    <cacheField name="Szerokość profila" numFmtId="0">
      <sharedItems containsString="0" containsBlank="1" containsNumber="1" containsInteger="1" minValue="10" maxValue="40"/>
    </cacheField>
    <cacheField name="Materiał" numFmtId="0">
      <sharedItems containsBlank="1"/>
    </cacheField>
    <cacheField name="Długość" numFmtId="0">
      <sharedItems containsString="0" containsBlank="1" containsNumber="1" containsInteger="1" minValue="2000" maxValue="3000"/>
    </cacheField>
    <cacheField name="Szerokość" numFmtId="0">
      <sharedItems containsString="0" containsBlank="1" containsNumber="1" containsInteger="1" minValue="1000" maxValue="1500"/>
    </cacheField>
    <cacheField name="indeks2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7">
  <r>
    <s v="POTF3W2BI"/>
    <x v="0"/>
    <s v="gr. 430"/>
    <s v="m²"/>
    <m/>
    <m/>
    <m/>
    <m/>
    <m/>
    <s v="DRUK SITO (folia, papier) [≠0,2]"/>
    <s v="KASZEROWANY"/>
    <s v="TEKTURA FAL. [3W, 5W]"/>
    <m/>
    <s v="T. FALA [B]"/>
    <m/>
    <m/>
    <s v="Papier, Folia"/>
    <s v="TEKTURA / PAPIER / FOLIA"/>
    <m/>
    <m/>
    <m/>
    <m/>
    <m/>
    <m/>
    <m/>
    <m/>
    <m/>
    <m/>
    <m/>
    <m/>
    <m/>
    <m/>
    <s v="POTF3W2BI"/>
  </r>
  <r>
    <s v="POTF3W2BI"/>
    <x v="1"/>
    <s v="gr. 430"/>
    <s v="m²"/>
    <m/>
    <m/>
    <m/>
    <m/>
    <m/>
    <s v="DRUK SITO (folia, papier) [≠0,2]"/>
    <s v="KASZEROWANY"/>
    <s v="TEKTURA FAL. [3W, 5W]"/>
    <m/>
    <s v="T. FALA [B]"/>
    <m/>
    <m/>
    <s v="Papier, Folia"/>
    <s v="TEKTURA / PAPIER / FOLIA"/>
    <m/>
    <m/>
    <m/>
    <m/>
    <m/>
    <m/>
    <m/>
    <m/>
    <m/>
    <m/>
    <m/>
    <m/>
    <m/>
    <m/>
    <s v="POTF3W2BI"/>
  </r>
  <r>
    <s v="POTF3WSZ"/>
    <x v="2"/>
    <s v="gr. 422"/>
    <s v="m²"/>
    <m/>
    <m/>
    <m/>
    <m/>
    <m/>
    <s v="DRUK SITO (folia, papier) [≠0,2]"/>
    <s v="KASZEROWANY"/>
    <s v="TEKTURA FAL. [3W, 5W]"/>
    <m/>
    <s v="T. FALA [B]"/>
    <m/>
    <m/>
    <s v="Papier, Folia"/>
    <s v="TEKTURA / PAPIER / FOLIA"/>
    <m/>
    <m/>
    <m/>
    <m/>
    <m/>
    <m/>
    <m/>
    <m/>
    <m/>
    <m/>
    <m/>
    <m/>
    <m/>
    <m/>
    <s v="POTF3WSZ"/>
  </r>
  <r>
    <s v="POTF5WSZ-BC"/>
    <x v="3"/>
    <s v="gr.650"/>
    <s v="m²"/>
    <m/>
    <m/>
    <m/>
    <m/>
    <m/>
    <s v="DRUK SITO (folia, papier) [≠0,2]"/>
    <s v="KASZEROWANY"/>
    <s v="TEKTURA FAL. [3W, 5W]"/>
    <m/>
    <m/>
    <m/>
    <m/>
    <s v="Papier, Folia"/>
    <s v="TEKTURA / PAPIER / FOLIA"/>
    <m/>
    <m/>
    <m/>
    <m/>
    <m/>
    <m/>
    <m/>
    <m/>
    <m/>
    <m/>
    <m/>
    <m/>
    <m/>
    <m/>
    <s v="POTF5WSZ-BC"/>
  </r>
  <r>
    <s v="POTF3W2BI"/>
    <x v="4"/>
    <s v="gr. 400"/>
    <s v="m²"/>
    <m/>
    <m/>
    <m/>
    <m/>
    <m/>
    <s v="DRUK SITO (folia, papier) [≠0,2]"/>
    <s v="KASZEROWANY"/>
    <s v="TEKTURA FAL. [3W, 5W]"/>
    <m/>
    <s v="T. FALA [E]"/>
    <m/>
    <m/>
    <s v="Papier, Folia"/>
    <s v="TEKTURA / PAPIER / FOLIA"/>
    <m/>
    <m/>
    <m/>
    <m/>
    <m/>
    <m/>
    <m/>
    <m/>
    <m/>
    <m/>
    <m/>
    <m/>
    <m/>
    <m/>
    <s v="POTF3W2BI"/>
  </r>
  <r>
    <s v="POTF3WBI"/>
    <x v="5"/>
    <s v="gr. 400"/>
    <s v="m²"/>
    <m/>
    <m/>
    <m/>
    <m/>
    <m/>
    <s v="DRUK SITO (folia, papier) [≠0,2]"/>
    <s v="KASZEROWANY"/>
    <s v="TEKTURA FAL. [3W, 5W]"/>
    <m/>
    <s v="T. FALA [E]"/>
    <m/>
    <m/>
    <s v="Papier, Folia"/>
    <s v="TEKTURA / PAPIER / FOLIA"/>
    <m/>
    <m/>
    <m/>
    <m/>
    <m/>
    <m/>
    <m/>
    <m/>
    <m/>
    <m/>
    <m/>
    <m/>
    <m/>
    <m/>
    <s v="POTF3WBI"/>
  </r>
  <r>
    <s v="POTF2WSZ"/>
    <x v="6"/>
    <s v="gr. 383"/>
    <s v="m²"/>
    <m/>
    <m/>
    <m/>
    <m/>
    <m/>
    <s v="DRUK SITO (folia, papier) [≠0,2]"/>
    <s v="KASZEROWANY"/>
    <s v="TEKTURA FAL. [3W, 5W]"/>
    <m/>
    <s v="T. FALA [E]"/>
    <m/>
    <m/>
    <s v="Papier, Folia"/>
    <s v="TEKTURA / PAPIER / FOLIA"/>
    <m/>
    <m/>
    <m/>
    <m/>
    <m/>
    <m/>
    <m/>
    <m/>
    <m/>
    <m/>
    <m/>
    <m/>
    <m/>
    <m/>
    <s v="POTF2WSZ"/>
  </r>
  <r>
    <s v="POTF5W2BI-EB"/>
    <x v="7"/>
    <s v="gr.730"/>
    <s v="m²"/>
    <m/>
    <m/>
    <m/>
    <m/>
    <m/>
    <s v="DRUK SITO (folia, papier) [≠0,2]"/>
    <s v="KASZEROWANY"/>
    <s v="TEKTURA FAL. [3W, 5W]"/>
    <m/>
    <s v="T. FALA [EB]"/>
    <m/>
    <m/>
    <s v="Papier, Folia"/>
    <s v="TEKTURA / PAPIER / FOLIA"/>
    <m/>
    <m/>
    <m/>
    <m/>
    <m/>
    <m/>
    <m/>
    <m/>
    <m/>
    <m/>
    <m/>
    <m/>
    <m/>
    <m/>
    <s v="POTF5W2BI-EB"/>
  </r>
  <r>
    <s v="POTF5WBI-EB"/>
    <x v="8"/>
    <s v="gr.730"/>
    <s v="m²"/>
    <m/>
    <m/>
    <m/>
    <m/>
    <m/>
    <s v="DRUK SITO (folia, papier) [≠0,2]"/>
    <s v="KASZEROWANY"/>
    <s v="TEKTURA FAL. [3W, 5W]"/>
    <m/>
    <s v="T. FALA [EB]"/>
    <m/>
    <m/>
    <s v="Papier, Folia"/>
    <s v="TEKTURA / PAPIER / FOLIA"/>
    <m/>
    <m/>
    <m/>
    <m/>
    <m/>
    <m/>
    <m/>
    <m/>
    <m/>
    <m/>
    <m/>
    <m/>
    <m/>
    <m/>
    <s v="POTF5WBI-EB"/>
  </r>
  <r>
    <s v="POTF5WSZ-EB"/>
    <x v="9"/>
    <s v="gr.616"/>
    <s v="m²"/>
    <m/>
    <m/>
    <m/>
    <m/>
    <m/>
    <s v="DRUK SITO (folia, papier) [≠0,2]"/>
    <s v="KASZEROWANY"/>
    <s v="TEKTURA FAL. [3W, 5W]"/>
    <m/>
    <s v="T. FALA [EB]"/>
    <m/>
    <m/>
    <s v="Papier, Folia"/>
    <s v="TEKTURA / PAPIER / FOLIA"/>
    <m/>
    <m/>
    <s v=""/>
    <m/>
    <m/>
    <m/>
    <m/>
    <m/>
    <m/>
    <m/>
    <m/>
    <m/>
    <m/>
    <m/>
    <s v="POTF5WSZ-EB"/>
  </r>
  <r>
    <s v="POTF5WSZ-BC"/>
    <x v="10"/>
    <s v="gr. 1010"/>
    <s v="m²"/>
    <m/>
    <m/>
    <m/>
    <m/>
    <m/>
    <s v="DRUK SITO (folia, papier) [≠0,2]"/>
    <s v="KASZEROWANY"/>
    <s v="TEKTURA FAL. [3W, 5W]"/>
    <m/>
    <m/>
    <m/>
    <m/>
    <s v="Papier, Folia"/>
    <s v="TEKTURA / PAPIER / FOLIA"/>
    <m/>
    <m/>
    <s v=""/>
    <m/>
    <m/>
    <m/>
    <m/>
    <m/>
    <m/>
    <m/>
    <m/>
    <m/>
    <m/>
    <m/>
    <s v="POTF5WSZ-BC"/>
  </r>
  <r>
    <s v="Folia AVERY 4500 translucent"/>
    <x v="11"/>
    <m/>
    <s v="m²"/>
    <m/>
    <m/>
    <m/>
    <m/>
    <m/>
    <m/>
    <m/>
    <m/>
    <m/>
    <m/>
    <m/>
    <m/>
    <s v="Papier, Folia"/>
    <m/>
    <m/>
    <m/>
    <s v=""/>
    <m/>
    <m/>
    <m/>
    <m/>
    <m/>
    <m/>
    <m/>
    <m/>
    <m/>
    <m/>
    <m/>
    <s v="Folia AVERY 4500 translucent"/>
  </r>
  <r>
    <s v="Folia AVERY 500 biała i czarna ( ekonimiczna)"/>
    <x v="12"/>
    <m/>
    <s v="m²"/>
    <m/>
    <m/>
    <m/>
    <m/>
    <m/>
    <m/>
    <m/>
    <m/>
    <m/>
    <m/>
    <m/>
    <m/>
    <s v="Papier, Folia"/>
    <m/>
    <m/>
    <m/>
    <s v=""/>
    <m/>
    <m/>
    <m/>
    <m/>
    <m/>
    <m/>
    <m/>
    <m/>
    <m/>
    <m/>
    <m/>
    <s v="Folia AVERY 500 biała i czarna ( ekonimiczna)"/>
  </r>
  <r>
    <s v="Folia AVERY 500 kolory ( ekonomiczna)"/>
    <x v="13"/>
    <m/>
    <s v="m²"/>
    <m/>
    <m/>
    <m/>
    <m/>
    <m/>
    <m/>
    <m/>
    <m/>
    <m/>
    <m/>
    <m/>
    <m/>
    <s v="Papier, Folia"/>
    <m/>
    <m/>
    <m/>
    <s v=""/>
    <m/>
    <m/>
    <m/>
    <m/>
    <m/>
    <m/>
    <m/>
    <m/>
    <m/>
    <m/>
    <m/>
    <s v="Folia AVERY 500 kolory ( ekonomiczna)"/>
  </r>
  <r>
    <s v="PŁVKBBF-1,0X0,7"/>
    <x v="14"/>
    <m/>
    <s v="kg"/>
    <s v="VIVAK/PET/TUPET/AXPET"/>
    <m/>
    <m/>
    <s v="Tupet, vivak, pcv"/>
    <m/>
    <m/>
    <m/>
    <m/>
    <s v="PET"/>
    <m/>
    <s v="VIVAK / PET itp."/>
    <s v="VIVAK / PET"/>
    <m/>
    <m/>
    <s v="TUPET /PET / AXPET"/>
    <s v="PET/VIVAK"/>
    <n v="1"/>
    <m/>
    <m/>
    <m/>
    <s v="rolka"/>
    <m/>
    <m/>
    <m/>
    <m/>
    <m/>
    <m/>
    <m/>
    <s v="PŁVKBBF-1,0X0,7"/>
  </r>
  <r>
    <s v="PODDFOBB-1,0X1,4"/>
    <x v="15"/>
    <m/>
    <s v="ark"/>
    <m/>
    <m/>
    <m/>
    <m/>
    <s v="DRUK OFF SET [≠0,2]"/>
    <s v="DRUK SITO (folia, papier) [≠0,2]"/>
    <m/>
    <m/>
    <m/>
    <m/>
    <m/>
    <m/>
    <s v="Papier, Folia"/>
    <m/>
    <m/>
    <m/>
    <n v="0.2"/>
    <m/>
    <m/>
    <m/>
    <m/>
    <m/>
    <m/>
    <m/>
    <m/>
    <m/>
    <m/>
    <m/>
    <s v="PODDFOBB-1,0X1,4"/>
  </r>
  <r>
    <s v="PODDFOBB-0,7X1,0"/>
    <x v="16"/>
    <m/>
    <s v="ark"/>
    <m/>
    <m/>
    <m/>
    <m/>
    <s v="DRUK OFF SET [≠0,2]"/>
    <s v="DRUK SITO (folia, papier) [≠0,2]"/>
    <m/>
    <m/>
    <m/>
    <m/>
    <m/>
    <m/>
    <s v="Papier, Folia"/>
    <m/>
    <m/>
    <m/>
    <n v="0.2"/>
    <m/>
    <m/>
    <m/>
    <m/>
    <m/>
    <m/>
    <m/>
    <m/>
    <m/>
    <m/>
    <m/>
    <s v="PODDFOBB-0,7X1,0"/>
  </r>
  <r>
    <s v="PODDFOBP-1,0X1,4"/>
    <x v="17"/>
    <m/>
    <s v="ark"/>
    <m/>
    <m/>
    <m/>
    <m/>
    <s v="DRUK OFF SET [≠0,2]"/>
    <s v="DRUK SITO (folia, papier) [≠0,2]"/>
    <m/>
    <m/>
    <m/>
    <m/>
    <m/>
    <m/>
    <s v="Papier, Folia"/>
    <m/>
    <m/>
    <m/>
    <n v="0.2"/>
    <m/>
    <m/>
    <m/>
    <m/>
    <m/>
    <m/>
    <m/>
    <m/>
    <m/>
    <m/>
    <m/>
    <s v="PODDFOBP-1,0X1,4"/>
  </r>
  <r>
    <s v="PODDFOBP-0,7X1,0"/>
    <x v="18"/>
    <m/>
    <s v="ark"/>
    <m/>
    <m/>
    <m/>
    <m/>
    <s v="DRUK OFF SET [≠0,2]"/>
    <s v="DRUK SITO (folia, papier) [≠0,2]"/>
    <m/>
    <m/>
    <m/>
    <m/>
    <m/>
    <m/>
    <s v="Papier, Folia"/>
    <m/>
    <m/>
    <m/>
    <n v="0.2"/>
    <m/>
    <m/>
    <m/>
    <m/>
    <m/>
    <m/>
    <m/>
    <m/>
    <m/>
    <m/>
    <m/>
    <s v="PODDFOBP-0,7X1,0"/>
  </r>
  <r>
    <s v="POMDFODD-1,05X50-P"/>
    <x v="19"/>
    <m/>
    <s v="m²"/>
    <m/>
    <s v="Papier, Folia"/>
    <m/>
    <m/>
    <m/>
    <m/>
    <m/>
    <m/>
    <m/>
    <m/>
    <m/>
    <m/>
    <m/>
    <m/>
    <m/>
    <m/>
    <n v="1"/>
    <m/>
    <m/>
    <m/>
    <m/>
    <m/>
    <m/>
    <m/>
    <m/>
    <m/>
    <m/>
    <m/>
    <s v="POMDFODD-1,05X50-P"/>
  </r>
  <r>
    <s v="POFODDTR-1,05X50"/>
    <x v="20"/>
    <m/>
    <s v="m²"/>
    <m/>
    <m/>
    <m/>
    <m/>
    <m/>
    <m/>
    <m/>
    <m/>
    <m/>
    <m/>
    <m/>
    <m/>
    <m/>
    <m/>
    <m/>
    <m/>
    <n v="1"/>
    <m/>
    <m/>
    <m/>
    <m/>
    <m/>
    <m/>
    <m/>
    <m/>
    <m/>
    <m/>
    <m/>
    <s v="POFODDTR-1,05X50"/>
  </r>
  <r>
    <s v="DRHL-B1-3-1"/>
    <x v="21"/>
    <m/>
    <s v="szt"/>
    <m/>
    <m/>
    <m/>
    <s v="HDF lam."/>
    <m/>
    <m/>
    <m/>
    <m/>
    <m/>
    <m/>
    <m/>
    <m/>
    <s v="Drewno"/>
    <m/>
    <m/>
    <m/>
    <n v="3"/>
    <m/>
    <m/>
    <m/>
    <m/>
    <m/>
    <m/>
    <m/>
    <m/>
    <m/>
    <m/>
    <m/>
    <s v="DRHL-B1-3-1"/>
  </r>
  <r>
    <s v="DRHL-CA-3-1"/>
    <x v="22"/>
    <m/>
    <s v="szt"/>
    <m/>
    <m/>
    <m/>
    <s v="HDF lam."/>
    <m/>
    <m/>
    <m/>
    <m/>
    <m/>
    <m/>
    <m/>
    <m/>
    <s v="Drewno"/>
    <m/>
    <m/>
    <m/>
    <n v="3"/>
    <m/>
    <m/>
    <m/>
    <m/>
    <m/>
    <m/>
    <m/>
    <m/>
    <m/>
    <m/>
    <m/>
    <s v="DRHL-CA-3-1"/>
  </r>
  <r>
    <s v="DRHL-DR…"/>
    <x v="23"/>
    <m/>
    <s v="szt"/>
    <m/>
    <m/>
    <m/>
    <s v="HDF lam."/>
    <m/>
    <m/>
    <m/>
    <m/>
    <m/>
    <m/>
    <m/>
    <m/>
    <s v="Drewno"/>
    <m/>
    <m/>
    <m/>
    <n v="3"/>
    <m/>
    <m/>
    <m/>
    <m/>
    <m/>
    <m/>
    <m/>
    <m/>
    <m/>
    <m/>
    <m/>
    <s v="DRHL-DR…"/>
  </r>
  <r>
    <s v="DRHS-3-1"/>
    <x v="24"/>
    <m/>
    <s v="szt"/>
    <m/>
    <m/>
    <m/>
    <s v="HDF sur."/>
    <m/>
    <m/>
    <m/>
    <m/>
    <m/>
    <m/>
    <m/>
    <m/>
    <s v="Drewno"/>
    <m/>
    <m/>
    <m/>
    <n v="3"/>
    <m/>
    <m/>
    <m/>
    <m/>
    <m/>
    <m/>
    <m/>
    <m/>
    <m/>
    <m/>
    <m/>
    <s v="DRHS-3-1"/>
  </r>
  <r>
    <s v="POMATEKA-230-700-1000"/>
    <x v="25"/>
    <m/>
    <s v="szt"/>
    <m/>
    <m/>
    <m/>
    <m/>
    <s v="DRUK OFF SET [≠0,5] GRUBA ALASKA"/>
    <m/>
    <s v="KASZEROWANY"/>
    <m/>
    <m/>
    <m/>
    <m/>
    <m/>
    <s v="Papier, Folia"/>
    <m/>
    <m/>
    <m/>
    <n v="0.5"/>
    <m/>
    <m/>
    <m/>
    <m/>
    <m/>
    <m/>
    <m/>
    <m/>
    <m/>
    <m/>
    <m/>
    <s v="POMATEKA-230-700-1000"/>
  </r>
  <r>
    <s v="POMATEKA-1000-1400-23"/>
    <x v="26"/>
    <m/>
    <s v="szt"/>
    <m/>
    <m/>
    <m/>
    <m/>
    <s v="DRUK OFF SET [≠0,5] GRUBA ALASKA"/>
    <m/>
    <s v="KASZEROWANY"/>
    <m/>
    <m/>
    <m/>
    <m/>
    <m/>
    <s v="Papier, Folia"/>
    <m/>
    <m/>
    <m/>
    <n v="0.5"/>
    <m/>
    <m/>
    <m/>
    <m/>
    <m/>
    <m/>
    <m/>
    <m/>
    <m/>
    <m/>
    <m/>
    <s v="POMATEKA-1000-1400-23"/>
  </r>
  <r>
    <s v="DRHL-B-6-1"/>
    <x v="27"/>
    <m/>
    <s v="szt"/>
    <m/>
    <m/>
    <m/>
    <s v="HDF lam."/>
    <m/>
    <m/>
    <m/>
    <m/>
    <m/>
    <m/>
    <m/>
    <m/>
    <s v="Drewno"/>
    <m/>
    <m/>
    <m/>
    <n v="6"/>
    <m/>
    <m/>
    <m/>
    <m/>
    <m/>
    <m/>
    <m/>
    <m/>
    <m/>
    <m/>
    <m/>
    <s v="DRHL-B-6-1"/>
  </r>
  <r>
    <s v="DRHL-C-6-1"/>
    <x v="28"/>
    <m/>
    <s v="szt"/>
    <m/>
    <m/>
    <m/>
    <s v="HDF lam."/>
    <m/>
    <m/>
    <m/>
    <m/>
    <m/>
    <m/>
    <m/>
    <m/>
    <s v="Drewno"/>
    <m/>
    <m/>
    <m/>
    <n v="6"/>
    <m/>
    <m/>
    <m/>
    <m/>
    <m/>
    <m/>
    <m/>
    <m/>
    <m/>
    <m/>
    <m/>
    <s v="DRHL-C-6-1"/>
  </r>
  <r>
    <s v="DRML-1BIG-16-1"/>
    <x v="29"/>
    <s v="K110SM"/>
    <s v="szt"/>
    <m/>
    <m/>
    <m/>
    <s v="Płyta wiórowa, MDF lam."/>
    <m/>
    <m/>
    <m/>
    <m/>
    <m/>
    <m/>
    <m/>
    <m/>
    <s v="Drewno"/>
    <m/>
    <m/>
    <m/>
    <n v="16"/>
    <m/>
    <m/>
    <m/>
    <m/>
    <m/>
    <m/>
    <m/>
    <m/>
    <m/>
    <m/>
    <m/>
    <s v="DRML-1BIG-16-1"/>
  </r>
  <r>
    <s v="DRML-1BIG-18-1"/>
    <x v="30"/>
    <s v="K110SM"/>
    <s v="szt"/>
    <m/>
    <m/>
    <m/>
    <s v="Płyta wiórowa, MDF lam."/>
    <m/>
    <m/>
    <m/>
    <m/>
    <m/>
    <m/>
    <m/>
    <m/>
    <s v="Drewno"/>
    <m/>
    <m/>
    <m/>
    <n v="19"/>
    <m/>
    <m/>
    <m/>
    <m/>
    <m/>
    <m/>
    <m/>
    <m/>
    <m/>
    <m/>
    <m/>
    <s v="DRML-1BIG-18-1"/>
  </r>
  <r>
    <s v="DRML-1BIG-19-1"/>
    <x v="31"/>
    <s v="K110SM"/>
    <s v="szt"/>
    <m/>
    <m/>
    <m/>
    <s v="Płyta wiórowa, MDF lam."/>
    <m/>
    <m/>
    <m/>
    <m/>
    <m/>
    <m/>
    <m/>
    <m/>
    <s v="Drewno"/>
    <m/>
    <m/>
    <m/>
    <n v="19"/>
    <m/>
    <m/>
    <m/>
    <m/>
    <m/>
    <m/>
    <m/>
    <m/>
    <m/>
    <m/>
    <m/>
    <s v="DRML-1BIG-19-1"/>
  </r>
  <r>
    <s v="DRML-BIG-16-1"/>
    <x v="32"/>
    <s v="K110SM"/>
    <s v="szt"/>
    <m/>
    <m/>
    <m/>
    <s v="Płyta wiórowa, MDF lam."/>
    <m/>
    <m/>
    <m/>
    <m/>
    <m/>
    <m/>
    <m/>
    <m/>
    <s v="Drewno"/>
    <m/>
    <m/>
    <m/>
    <n v="16"/>
    <m/>
    <m/>
    <m/>
    <m/>
    <m/>
    <m/>
    <m/>
    <m/>
    <m/>
    <m/>
    <m/>
    <s v="DRML-BIG-16-1"/>
  </r>
  <r>
    <s v="DRML-BIG-18-1"/>
    <x v="33"/>
    <s v="K110SM"/>
    <s v="szt"/>
    <m/>
    <m/>
    <m/>
    <s v="Płyta wiórowa, MDF lam."/>
    <m/>
    <m/>
    <m/>
    <m/>
    <m/>
    <m/>
    <m/>
    <m/>
    <s v="Drewno"/>
    <m/>
    <m/>
    <m/>
    <n v="18"/>
    <m/>
    <m/>
    <m/>
    <m/>
    <m/>
    <m/>
    <m/>
    <m/>
    <m/>
    <m/>
    <m/>
    <s v="DRML-BIG-18-1"/>
  </r>
  <r>
    <s v="DRML-BIG-19-1"/>
    <x v="34"/>
    <s v="K110SM"/>
    <s v="szt"/>
    <m/>
    <m/>
    <m/>
    <s v="Płyta wiórowa, MDF lam."/>
    <m/>
    <m/>
    <m/>
    <m/>
    <m/>
    <m/>
    <m/>
    <m/>
    <s v="Drewno"/>
    <m/>
    <m/>
    <m/>
    <n v="19"/>
    <m/>
    <m/>
    <m/>
    <m/>
    <m/>
    <m/>
    <m/>
    <m/>
    <m/>
    <m/>
    <m/>
    <s v="DRML-BIG-19-1"/>
  </r>
  <r>
    <s v="DRMS-10-1"/>
    <x v="35"/>
    <m/>
    <s v="szt"/>
    <m/>
    <m/>
    <m/>
    <s v="Płyta wiórowa, MDF sur."/>
    <m/>
    <m/>
    <m/>
    <m/>
    <m/>
    <m/>
    <m/>
    <m/>
    <s v="Drewno"/>
    <m/>
    <m/>
    <m/>
    <n v="10"/>
    <m/>
    <m/>
    <m/>
    <m/>
    <m/>
    <m/>
    <m/>
    <m/>
    <m/>
    <m/>
    <m/>
    <s v="DRMS-10-1"/>
  </r>
  <r>
    <s v="DRMS-12-1"/>
    <x v="36"/>
    <m/>
    <s v="szt"/>
    <m/>
    <m/>
    <m/>
    <s v="Płyta wiórowa, MDF sur."/>
    <m/>
    <m/>
    <m/>
    <m/>
    <m/>
    <m/>
    <m/>
    <m/>
    <s v="Drewno"/>
    <m/>
    <m/>
    <m/>
    <n v="12"/>
    <m/>
    <m/>
    <m/>
    <m/>
    <m/>
    <m/>
    <m/>
    <m/>
    <m/>
    <m/>
    <m/>
    <s v="DRMS-12-1"/>
  </r>
  <r>
    <s v="DRMS-16-1"/>
    <x v="37"/>
    <m/>
    <s v="szt"/>
    <m/>
    <m/>
    <m/>
    <s v="Płyta wiórowa, MDF sur."/>
    <m/>
    <m/>
    <m/>
    <m/>
    <m/>
    <m/>
    <m/>
    <m/>
    <s v="Drewno"/>
    <m/>
    <m/>
    <m/>
    <n v="16"/>
    <m/>
    <m/>
    <m/>
    <m/>
    <m/>
    <m/>
    <m/>
    <m/>
    <m/>
    <m/>
    <m/>
    <s v="DRMS-16-1"/>
  </r>
  <r>
    <s v="DRMS-18-1"/>
    <x v="38"/>
    <m/>
    <s v="szt"/>
    <m/>
    <m/>
    <m/>
    <s v="Płyta wiórowa, MDF sur."/>
    <m/>
    <m/>
    <m/>
    <m/>
    <m/>
    <m/>
    <m/>
    <m/>
    <s v="Drewno"/>
    <m/>
    <m/>
    <m/>
    <n v="18"/>
    <m/>
    <m/>
    <m/>
    <m/>
    <m/>
    <m/>
    <m/>
    <m/>
    <m/>
    <m/>
    <m/>
    <s v="DRMS-18-1"/>
  </r>
  <r>
    <s v="DRMS-19-1"/>
    <x v="39"/>
    <m/>
    <s v="szt"/>
    <m/>
    <m/>
    <m/>
    <s v="Płyta wiórowa, MDF sur."/>
    <m/>
    <m/>
    <m/>
    <m/>
    <m/>
    <m/>
    <m/>
    <m/>
    <s v="Drewno"/>
    <m/>
    <m/>
    <m/>
    <n v="19"/>
    <m/>
    <m/>
    <m/>
    <m/>
    <m/>
    <m/>
    <m/>
    <m/>
    <m/>
    <m/>
    <m/>
    <s v="DRMS-19-1"/>
  </r>
  <r>
    <s v="DRMS-22-1"/>
    <x v="40"/>
    <m/>
    <s v="szt"/>
    <m/>
    <m/>
    <m/>
    <s v="Płyta wiórowa, MDF sur."/>
    <m/>
    <m/>
    <m/>
    <m/>
    <m/>
    <m/>
    <m/>
    <m/>
    <s v="Drewno"/>
    <m/>
    <m/>
    <m/>
    <n v="22"/>
    <m/>
    <m/>
    <m/>
    <m/>
    <m/>
    <m/>
    <m/>
    <m/>
    <m/>
    <m/>
    <m/>
    <s v="DRMS-22-1"/>
  </r>
  <r>
    <s v="DRMS-25-1"/>
    <x v="41"/>
    <m/>
    <s v="szt"/>
    <m/>
    <m/>
    <m/>
    <s v="Płyta wiórowa, MDF sur."/>
    <m/>
    <m/>
    <m/>
    <m/>
    <m/>
    <m/>
    <m/>
    <m/>
    <s v="Drewno"/>
    <m/>
    <m/>
    <m/>
    <n v="25"/>
    <m/>
    <m/>
    <m/>
    <m/>
    <m/>
    <m/>
    <m/>
    <m/>
    <m/>
    <m/>
    <m/>
    <s v="DRMS-25-1"/>
  </r>
  <r>
    <s v="DRMS-28-1"/>
    <x v="42"/>
    <m/>
    <s v="szt"/>
    <m/>
    <m/>
    <m/>
    <s v="Płyta wiórowa, MDF sur."/>
    <m/>
    <m/>
    <m/>
    <m/>
    <m/>
    <m/>
    <m/>
    <m/>
    <s v="Drewno"/>
    <m/>
    <m/>
    <m/>
    <n v="28"/>
    <m/>
    <m/>
    <m/>
    <m/>
    <m/>
    <m/>
    <m/>
    <m/>
    <m/>
    <m/>
    <m/>
    <s v="DRMS-28-1"/>
  </r>
  <r>
    <s v="DRMS-30-1"/>
    <x v="43"/>
    <m/>
    <s v="szt"/>
    <m/>
    <m/>
    <m/>
    <s v="Płyta wiórowa, MDF sur."/>
    <m/>
    <m/>
    <m/>
    <m/>
    <m/>
    <m/>
    <m/>
    <m/>
    <s v="Drewno"/>
    <m/>
    <m/>
    <m/>
    <n v="30"/>
    <m/>
    <m/>
    <m/>
    <m/>
    <m/>
    <m/>
    <m/>
    <m/>
    <m/>
    <m/>
    <m/>
    <s v="DRMS-30-1"/>
  </r>
  <r>
    <s v="DRMS-32-1"/>
    <x v="44"/>
    <m/>
    <s v="szt"/>
    <m/>
    <m/>
    <m/>
    <s v="Płyta wiórowa, MDF sur."/>
    <m/>
    <m/>
    <m/>
    <m/>
    <m/>
    <m/>
    <m/>
    <m/>
    <s v="Drewno"/>
    <m/>
    <m/>
    <m/>
    <n v="32"/>
    <m/>
    <m/>
    <m/>
    <m/>
    <m/>
    <m/>
    <m/>
    <m/>
    <m/>
    <m/>
    <m/>
    <s v="DRMS-32-1"/>
  </r>
  <r>
    <s v="DRMS-38-1"/>
    <x v="45"/>
    <m/>
    <s v="szt"/>
    <m/>
    <m/>
    <m/>
    <s v="Płyta wiórowa, MDF sur."/>
    <m/>
    <m/>
    <m/>
    <m/>
    <m/>
    <m/>
    <m/>
    <m/>
    <s v="Drewno"/>
    <m/>
    <m/>
    <m/>
    <n v="38"/>
    <m/>
    <m/>
    <m/>
    <m/>
    <m/>
    <m/>
    <m/>
    <m/>
    <m/>
    <m/>
    <m/>
    <s v="DRMS-38-1"/>
  </r>
  <r>
    <s v="DRMS-06-1"/>
    <x v="46"/>
    <m/>
    <s v="szt"/>
    <m/>
    <m/>
    <m/>
    <s v="Płyta wiórowa, MDF sur."/>
    <m/>
    <m/>
    <m/>
    <m/>
    <m/>
    <m/>
    <m/>
    <m/>
    <s v="Drewno"/>
    <m/>
    <m/>
    <m/>
    <n v="6"/>
    <m/>
    <m/>
    <m/>
    <m/>
    <m/>
    <m/>
    <m/>
    <m/>
    <m/>
    <m/>
    <m/>
    <s v="DRMS-06-1"/>
  </r>
  <r>
    <s v="DRMS-08-1"/>
    <x v="47"/>
    <m/>
    <s v="szt"/>
    <m/>
    <m/>
    <m/>
    <s v="Płyta wiórowa, MDF sur."/>
    <m/>
    <m/>
    <m/>
    <m/>
    <m/>
    <m/>
    <m/>
    <m/>
    <s v="Drewno"/>
    <m/>
    <m/>
    <m/>
    <n v="8"/>
    <m/>
    <m/>
    <m/>
    <m/>
    <m/>
    <m/>
    <m/>
    <m/>
    <m/>
    <m/>
    <m/>
    <s v="DRMS-08-1"/>
  </r>
  <r>
    <s v="PŁAXBB-1,01,25X2,05"/>
    <x v="48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s v="Tworzywo"/>
    <s v="TUPET /PET / AXPET"/>
    <s v="AXPET"/>
    <n v="1"/>
    <m/>
    <m/>
    <m/>
    <m/>
    <m/>
    <m/>
    <m/>
    <m/>
    <m/>
    <m/>
    <m/>
    <s v="PŁAXBB-1,01,25X2,05"/>
  </r>
  <r>
    <s v="PŁAXBB-1,51,25X2,05"/>
    <x v="49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s v="Tworzywo"/>
    <s v="TUPET /PET / AXPET"/>
    <s v="AXPET"/>
    <n v="1.5"/>
    <m/>
    <m/>
    <m/>
    <m/>
    <m/>
    <m/>
    <m/>
    <m/>
    <m/>
    <m/>
    <m/>
    <s v="PŁAXBB-1,51,25X2,05"/>
  </r>
  <r>
    <s v="PŁAXBB-1,02,05X3,05"/>
    <x v="50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s v="Tworzywo"/>
    <s v="TUPET /PET / AXPET"/>
    <s v="AXPET"/>
    <n v="1"/>
    <m/>
    <m/>
    <m/>
    <m/>
    <m/>
    <m/>
    <m/>
    <m/>
    <m/>
    <m/>
    <m/>
    <s v="PŁAXBB-1,02,05X3,05"/>
  </r>
  <r>
    <s v="PŁAXBB-1,52,05X3,05"/>
    <x v="51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s v="Tworzywo"/>
    <s v="TUPET /PET / AXPET"/>
    <s v="AXPET"/>
    <n v="1.5"/>
    <m/>
    <m/>
    <m/>
    <m/>
    <m/>
    <m/>
    <m/>
    <m/>
    <m/>
    <m/>
    <m/>
    <s v="PŁAXBB-1,52,05X3,05"/>
  </r>
  <r>
    <s v="PŁAXBB-2,02,05X3,05"/>
    <x v="52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s v="Tworzywo"/>
    <s v="TUPET /PET / AXPET"/>
    <s v="AXPET"/>
    <n v="2"/>
    <m/>
    <m/>
    <m/>
    <m/>
    <m/>
    <m/>
    <m/>
    <m/>
    <m/>
    <m/>
    <m/>
    <s v="PŁAXBB-2,02,05X3,05"/>
  </r>
  <r>
    <s v="PŁAXBB-3,02,05X3,05"/>
    <x v="53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m/>
    <s v="TUPET /PET / AXPET"/>
    <s v="AXPET"/>
    <n v="3"/>
    <m/>
    <m/>
    <m/>
    <m/>
    <m/>
    <m/>
    <m/>
    <m/>
    <m/>
    <m/>
    <m/>
    <s v="PŁAXBB-3,02,05X3,05"/>
  </r>
  <r>
    <s v="PŁAXOP-1,02,05X3,05"/>
    <x v="54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s v="Tworzywo"/>
    <s v="TUPET /PET / AXPET"/>
    <s v="AXPET"/>
    <n v="1"/>
    <m/>
    <m/>
    <m/>
    <m/>
    <m/>
    <m/>
    <m/>
    <m/>
    <m/>
    <m/>
    <m/>
    <s v="PŁAXOP-1,02,05X3,05"/>
  </r>
  <r>
    <s v="PŁAXOP-1,52,05X3,05"/>
    <x v="55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s v="Tworzywo"/>
    <s v="TUPET /PET / AXPET"/>
    <s v="AXPET"/>
    <n v="1.5"/>
    <m/>
    <m/>
    <m/>
    <m/>
    <m/>
    <m/>
    <m/>
    <m/>
    <m/>
    <m/>
    <m/>
    <s v="PŁAXOP-1,52,05X3,05"/>
  </r>
  <r>
    <s v="PŁPIFS-5,01,22x3,05"/>
    <x v="56"/>
    <m/>
    <s v="m²"/>
    <m/>
    <m/>
    <m/>
    <m/>
    <m/>
    <m/>
    <m/>
    <s v="FOREX"/>
    <m/>
    <s v="Tworzywo"/>
    <m/>
    <m/>
    <m/>
    <m/>
    <m/>
    <m/>
    <n v="5"/>
    <m/>
    <m/>
    <m/>
    <m/>
    <m/>
    <m/>
    <m/>
    <m/>
    <m/>
    <m/>
    <m/>
    <s v="PŁPIFS-5,01,22x3,05"/>
  </r>
  <r>
    <s v="PŁPIFS-10,01,22x3,05"/>
    <x v="57"/>
    <m/>
    <s v="m²"/>
    <m/>
    <m/>
    <m/>
    <m/>
    <m/>
    <m/>
    <m/>
    <m/>
    <m/>
    <s v="Tworzywo"/>
    <m/>
    <m/>
    <m/>
    <m/>
    <m/>
    <m/>
    <n v="10"/>
    <m/>
    <m/>
    <m/>
    <m/>
    <m/>
    <m/>
    <m/>
    <m/>
    <m/>
    <m/>
    <m/>
    <s v="PŁPIFS-10,01,22x3,05"/>
  </r>
  <r>
    <s v="PŁHIBM-0,251,0X2,0"/>
    <x v="58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0.2"/>
    <m/>
    <m/>
    <m/>
    <m/>
    <m/>
    <m/>
    <m/>
    <m/>
    <m/>
    <m/>
    <m/>
    <s v="PŁHIBM-0,251,0X2,0"/>
  </r>
  <r>
    <s v="PŁHIBM-0,51,0X2,0"/>
    <x v="59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0.5"/>
    <m/>
    <m/>
    <m/>
    <m/>
    <m/>
    <m/>
    <m/>
    <m/>
    <m/>
    <m/>
    <m/>
    <s v="PŁHIBM-0,51,0X2,0"/>
  </r>
  <r>
    <s v="PŁHIBM-0,751,0X2,0"/>
    <x v="60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0.8"/>
    <m/>
    <m/>
    <m/>
    <m/>
    <m/>
    <m/>
    <m/>
    <m/>
    <m/>
    <m/>
    <m/>
    <s v="PŁHIBM-0,751,0X2,0"/>
  </r>
  <r>
    <s v="PŁHIBM-1,01,0X2,0"/>
    <x v="61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1"/>
    <m/>
    <m/>
    <m/>
    <m/>
    <m/>
    <m/>
    <m/>
    <m/>
    <m/>
    <m/>
    <m/>
    <s v="PŁHIBM-1,01,0X2,0"/>
  </r>
  <r>
    <s v="PŁHIBM-1,51,0X2,0"/>
    <x v="62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1.5"/>
    <m/>
    <m/>
    <m/>
    <m/>
    <m/>
    <m/>
    <m/>
    <m/>
    <m/>
    <m/>
    <m/>
    <s v="PŁHIBM-1,51,0X2,0"/>
  </r>
  <r>
    <s v="PŁHIBM-2,01,0X2,0"/>
    <x v="63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2"/>
    <m/>
    <m/>
    <m/>
    <m/>
    <m/>
    <m/>
    <m/>
    <m/>
    <m/>
    <m/>
    <m/>
    <s v="PŁHIBM-2,01,0X2,0"/>
  </r>
  <r>
    <s v="PŁHIBM-3,01,0X2,0"/>
    <x v="64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m/>
    <s v="HIPS / ABS"/>
    <s v="HIPS"/>
    <n v="3"/>
    <m/>
    <m/>
    <m/>
    <m/>
    <m/>
    <m/>
    <m/>
    <m/>
    <m/>
    <m/>
    <m/>
    <s v="PŁHIBM-3,01,0X2,0"/>
  </r>
  <r>
    <s v="PŁHIBP-1,01,0X2,0"/>
    <x v="65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1"/>
    <m/>
    <m/>
    <m/>
    <m/>
    <m/>
    <m/>
    <m/>
    <m/>
    <m/>
    <m/>
    <m/>
    <s v="PŁHIBP-1,01,0X2,0"/>
  </r>
  <r>
    <s v="PŁHIBP-1,51,0X2,0"/>
    <x v="66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1.5"/>
    <m/>
    <m/>
    <m/>
    <m/>
    <m/>
    <m/>
    <m/>
    <m/>
    <m/>
    <m/>
    <m/>
    <s v="PŁHIBP-1,51,0X2,0"/>
  </r>
  <r>
    <s v="PŁHIBP-2,01,0X2,0"/>
    <x v="67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2"/>
    <m/>
    <m/>
    <m/>
    <m/>
    <m/>
    <m/>
    <m/>
    <m/>
    <m/>
    <m/>
    <m/>
    <s v="PŁHIBP-2,01,0X2,0"/>
  </r>
  <r>
    <s v="PŁHIBP-3,01,0X2,0"/>
    <x v="68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m/>
    <s v="HIPS / ABS"/>
    <s v="HIPS"/>
    <n v="3"/>
    <m/>
    <m/>
    <m/>
    <m/>
    <m/>
    <m/>
    <m/>
    <m/>
    <m/>
    <m/>
    <m/>
    <s v="PŁHIBP-3,01,0X2,0"/>
  </r>
  <r>
    <s v="PŁHIBP-4,01,0X2,0"/>
    <x v="69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m/>
    <s v="HIPS / ABS"/>
    <s v="HIPS"/>
    <n v="4"/>
    <m/>
    <m/>
    <m/>
    <m/>
    <m/>
    <m/>
    <m/>
    <m/>
    <m/>
    <m/>
    <m/>
    <s v="PŁHIBP-4,01,0X2,0"/>
  </r>
  <r>
    <s v="PŁHICA-1,01,0x2,0"/>
    <x v="70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1"/>
    <m/>
    <m/>
    <m/>
    <m/>
    <m/>
    <m/>
    <m/>
    <m/>
    <m/>
    <m/>
    <m/>
    <s v="PŁHICA-1,01,0x2,0"/>
  </r>
  <r>
    <s v="PŁHICA-1,51,0x2,0"/>
    <x v="71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1.5"/>
    <m/>
    <m/>
    <m/>
    <m/>
    <m/>
    <m/>
    <m/>
    <m/>
    <m/>
    <m/>
    <m/>
    <s v="PŁHICA-1,51,0x2,0"/>
  </r>
  <r>
    <s v="PŁHICA-2,01,0x2,0"/>
    <x v="72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2"/>
    <m/>
    <m/>
    <m/>
    <m/>
    <m/>
    <m/>
    <m/>
    <m/>
    <m/>
    <m/>
    <m/>
    <s v="PŁHICA-2,01,0x2,0"/>
  </r>
  <r>
    <s v="PŁHICA-3,01,0x2,0"/>
    <x v="73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m/>
    <s v="HIPS / ABS"/>
    <s v="HIPS"/>
    <n v="3"/>
    <m/>
    <m/>
    <m/>
    <m/>
    <m/>
    <m/>
    <m/>
    <m/>
    <m/>
    <m/>
    <m/>
    <s v="PŁHICA-3,01,0x2,0"/>
  </r>
  <r>
    <s v="PŁHICZ-2,01,0x2,0"/>
    <x v="74"/>
    <m/>
    <s v="m²"/>
    <s v="HIPS"/>
    <m/>
    <m/>
    <s v="Hips"/>
    <s v="HIPS Z DRUKIEM LUB LUSTRO"/>
    <s v="HIPS Z DRUKIEM LUB LUSTRO"/>
    <s v="KASZEROWANY"/>
    <s v="HIPS"/>
    <s v="HIPS"/>
    <s v="Tworzywo"/>
    <s v="HIPS"/>
    <s v="HIPS"/>
    <s v="inne"/>
    <s v="Tworzywo"/>
    <s v="HIPS / ABS"/>
    <s v="HIPS"/>
    <n v="2"/>
    <m/>
    <m/>
    <m/>
    <m/>
    <m/>
    <m/>
    <m/>
    <m/>
    <m/>
    <m/>
    <m/>
    <s v="PŁHICZ-2,01,0x2,0"/>
  </r>
  <r>
    <s v="PŁHILS-1,01,0X2,0"/>
    <x v="75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1"/>
    <m/>
    <m/>
    <m/>
    <m/>
    <m/>
    <m/>
    <m/>
    <m/>
    <m/>
    <m/>
    <m/>
    <s v="PŁHILS-1,01,0X2,0"/>
  </r>
  <r>
    <s v="PŁHILS-1,51,0X2,0"/>
    <x v="76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1.5"/>
    <m/>
    <m/>
    <m/>
    <m/>
    <m/>
    <m/>
    <m/>
    <m/>
    <m/>
    <m/>
    <m/>
    <s v="PŁHILS-1,51,0X2,0"/>
  </r>
  <r>
    <s v="PŁHILS-2,01,0X2,0"/>
    <x v="77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2"/>
    <m/>
    <m/>
    <m/>
    <m/>
    <m/>
    <m/>
    <m/>
    <m/>
    <m/>
    <m/>
    <m/>
    <s v="PŁHILS-2,01,0X2,0"/>
  </r>
  <r>
    <s v="PŁHINI-2,01,0x2,0"/>
    <x v="78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2"/>
    <m/>
    <m/>
    <m/>
    <m/>
    <m/>
    <m/>
    <m/>
    <m/>
    <m/>
    <m/>
    <m/>
    <s v="PŁHINI-2,01,0x2,0"/>
  </r>
  <r>
    <s v="PŁHIOP-1,01,0X2,0"/>
    <x v="79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1"/>
    <m/>
    <m/>
    <m/>
    <m/>
    <m/>
    <m/>
    <m/>
    <m/>
    <m/>
    <m/>
    <m/>
    <s v="PŁHIOP-1,01,0X2,0"/>
  </r>
  <r>
    <s v="PŁHIOP-1,51,0X2,0"/>
    <x v="80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1.5"/>
    <m/>
    <m/>
    <m/>
    <m/>
    <m/>
    <m/>
    <m/>
    <m/>
    <m/>
    <m/>
    <m/>
    <s v="PŁHIOP-1,51,0X2,0"/>
  </r>
  <r>
    <s v="PŁHIOP-2,01,0X2,0"/>
    <x v="81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2"/>
    <m/>
    <m/>
    <m/>
    <m/>
    <m/>
    <m/>
    <m/>
    <m/>
    <m/>
    <m/>
    <m/>
    <s v="PŁHIOP-2,01,0X2,0"/>
  </r>
  <r>
    <s v="PŁHISM-1,01,0X2,0"/>
    <x v="82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1"/>
    <m/>
    <m/>
    <m/>
    <m/>
    <m/>
    <m/>
    <m/>
    <m/>
    <m/>
    <m/>
    <m/>
    <s v="PŁHISM-1,01,0X2,0"/>
  </r>
  <r>
    <s v="PŁHISM-1,51,0X2,0"/>
    <x v="83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1.5"/>
    <m/>
    <m/>
    <m/>
    <m/>
    <m/>
    <m/>
    <m/>
    <m/>
    <m/>
    <m/>
    <m/>
    <s v="PŁHISM-1,51,0X2,0"/>
  </r>
  <r>
    <s v="PŁHISM-2,01,0X2,0"/>
    <x v="84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2"/>
    <m/>
    <m/>
    <m/>
    <m/>
    <m/>
    <m/>
    <m/>
    <m/>
    <m/>
    <m/>
    <m/>
    <s v="PŁHISM-2,01,0X2,0"/>
  </r>
  <r>
    <s v="PŁHISM-3,01,0X2,0"/>
    <x v="85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m/>
    <s v="HIPS / ABS"/>
    <s v="HIPS"/>
    <n v="3"/>
    <m/>
    <m/>
    <m/>
    <m/>
    <m/>
    <m/>
    <m/>
    <m/>
    <m/>
    <m/>
    <m/>
    <s v="PŁHISM-3,01,0X2,0"/>
  </r>
  <r>
    <s v="PŁHIZI-2,01,0x2,0"/>
    <x v="86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2"/>
    <m/>
    <m/>
    <m/>
    <m/>
    <m/>
    <m/>
    <m/>
    <m/>
    <m/>
    <m/>
    <m/>
    <s v="PŁHIZI-2,01,0x2,0"/>
  </r>
  <r>
    <s v="PŁHIŻÓ-2,01,0x2,0"/>
    <x v="87"/>
    <m/>
    <s v="m²"/>
    <s v="HIPS"/>
    <m/>
    <m/>
    <s v="Hips"/>
    <s v="HIPS Z DRUKIEM LUB LUSTRO"/>
    <s v="HIPS Z DRUKIEM LUB LUSTRO"/>
    <s v="KASZEROWANY"/>
    <s v="HIPS Z DRUKIEM LUB LUSTRO"/>
    <s v="HIPS"/>
    <s v="Tworzywo"/>
    <s v="HIPS"/>
    <s v="HIPS"/>
    <s v="inne"/>
    <s v="Tworzywo"/>
    <s v="HIPS / ABS"/>
    <s v="HIPS"/>
    <n v="2"/>
    <m/>
    <m/>
    <m/>
    <m/>
    <m/>
    <m/>
    <m/>
    <m/>
    <m/>
    <m/>
    <m/>
    <s v="PŁHIŻÓ-2,01,0x2,0"/>
  </r>
  <r>
    <s v="DRWL-BIG-10-1"/>
    <x v="88"/>
    <s v="K110SM"/>
    <s v="szt"/>
    <m/>
    <m/>
    <m/>
    <s v="Płyta wiórowa, MDF lam."/>
    <m/>
    <m/>
    <m/>
    <m/>
    <m/>
    <m/>
    <m/>
    <s v="PŁYTA OSB, MDF, WIÓROWA"/>
    <s v="Drewno"/>
    <m/>
    <m/>
    <m/>
    <n v="10"/>
    <m/>
    <m/>
    <m/>
    <m/>
    <m/>
    <m/>
    <m/>
    <m/>
    <m/>
    <m/>
    <m/>
    <s v="DRWL-BIG-10-1"/>
  </r>
  <r>
    <s v="DRWL-BIG-12-1"/>
    <x v="89"/>
    <s v="K110SM"/>
    <s v="szt"/>
    <m/>
    <m/>
    <m/>
    <s v="Płyta wiórowa, MDF lam."/>
    <m/>
    <m/>
    <m/>
    <m/>
    <m/>
    <m/>
    <m/>
    <s v="PŁYTA OSB, MDF, WIÓROWA"/>
    <s v="Drewno"/>
    <m/>
    <m/>
    <m/>
    <n v="12"/>
    <m/>
    <m/>
    <m/>
    <m/>
    <m/>
    <m/>
    <m/>
    <m/>
    <m/>
    <m/>
    <m/>
    <s v="DRWL-BIG-12-1"/>
  </r>
  <r>
    <s v="DRWL-BIG-16-1"/>
    <x v="90"/>
    <s v="K110SM"/>
    <s v="szt"/>
    <m/>
    <m/>
    <m/>
    <s v="Płyta wiórowa, MDF lam."/>
    <m/>
    <m/>
    <m/>
    <m/>
    <m/>
    <m/>
    <m/>
    <s v="PŁYTA OSB, MDF, WIÓROWA"/>
    <s v="Drewno"/>
    <m/>
    <m/>
    <m/>
    <n v="16"/>
    <m/>
    <m/>
    <m/>
    <m/>
    <m/>
    <m/>
    <m/>
    <m/>
    <m/>
    <m/>
    <m/>
    <s v="DRWL-BIG-16-1"/>
  </r>
  <r>
    <s v="DRWL-BIG-18-1"/>
    <x v="91"/>
    <s v="K110SM"/>
    <s v="szt"/>
    <m/>
    <m/>
    <m/>
    <s v="Płyta wiórowa, MDF lam."/>
    <m/>
    <m/>
    <m/>
    <m/>
    <m/>
    <m/>
    <m/>
    <s v="PŁYTA OSB, MDF, WIÓROWA"/>
    <s v="Drewno"/>
    <m/>
    <m/>
    <m/>
    <n v="18"/>
    <m/>
    <m/>
    <m/>
    <m/>
    <m/>
    <m/>
    <m/>
    <m/>
    <m/>
    <m/>
    <m/>
    <s v="DRWL-BIG-18-1"/>
  </r>
  <r>
    <s v="DRWL-BIP-10-1"/>
    <x v="92"/>
    <s v="K101PE"/>
    <s v="szt"/>
    <m/>
    <m/>
    <m/>
    <s v="Płyta wiórowa, MDF lam."/>
    <m/>
    <m/>
    <m/>
    <m/>
    <m/>
    <m/>
    <m/>
    <s v="PŁYTA OSB, MDF, WIÓROWA"/>
    <s v="Drewno"/>
    <m/>
    <m/>
    <m/>
    <n v="10"/>
    <m/>
    <m/>
    <m/>
    <m/>
    <m/>
    <m/>
    <m/>
    <m/>
    <m/>
    <m/>
    <m/>
    <s v="DRWL-BIP-10-1"/>
  </r>
  <r>
    <s v="DRWL-BIP-12-1"/>
    <x v="93"/>
    <s v="K101PE"/>
    <s v="szt"/>
    <m/>
    <m/>
    <m/>
    <s v="Płyta wiórowa, MDF lam."/>
    <m/>
    <m/>
    <m/>
    <m/>
    <m/>
    <m/>
    <m/>
    <s v="PŁYTA OSB, MDF, WIÓROWA"/>
    <s v="Drewno"/>
    <m/>
    <m/>
    <m/>
    <n v="12"/>
    <m/>
    <m/>
    <m/>
    <m/>
    <m/>
    <m/>
    <m/>
    <m/>
    <m/>
    <m/>
    <m/>
    <s v="DRWL-BIP-12-1"/>
  </r>
  <r>
    <s v="DRWL-BIP-16-1"/>
    <x v="94"/>
    <s v="K101PE"/>
    <s v="szt"/>
    <m/>
    <m/>
    <m/>
    <s v="Płyta wiórowa, MDF lam."/>
    <m/>
    <m/>
    <m/>
    <m/>
    <m/>
    <m/>
    <m/>
    <s v="PŁYTA OSB, MDF, WIÓROWA"/>
    <s v="Drewno"/>
    <m/>
    <m/>
    <m/>
    <n v="16"/>
    <m/>
    <m/>
    <m/>
    <m/>
    <m/>
    <m/>
    <m/>
    <m/>
    <m/>
    <m/>
    <m/>
    <s v="DRWL-BIP-16-1"/>
  </r>
  <r>
    <s v="DRWL-BIP-18-1"/>
    <x v="95"/>
    <s v="K101PE"/>
    <s v="szt"/>
    <m/>
    <m/>
    <m/>
    <s v="Płyta wiórowa, MDF lam."/>
    <m/>
    <m/>
    <m/>
    <m/>
    <m/>
    <m/>
    <m/>
    <s v="PŁYTA OSB, MDF, WIÓROWA"/>
    <s v="Drewno"/>
    <m/>
    <m/>
    <m/>
    <n v="18"/>
    <m/>
    <m/>
    <m/>
    <m/>
    <m/>
    <m/>
    <m/>
    <m/>
    <m/>
    <m/>
    <m/>
    <s v="DRWL-BIP-18-1"/>
  </r>
  <r>
    <s v="DRWL-BIG2-10-1"/>
    <x v="96"/>
    <s v="U511SM"/>
    <s v="szt"/>
    <m/>
    <m/>
    <m/>
    <s v="Płyta wiórowa, MDF lam."/>
    <m/>
    <m/>
    <m/>
    <m/>
    <m/>
    <m/>
    <m/>
    <s v="PŁYTA OSB, MDF, WIÓROWA"/>
    <s v="Drewno"/>
    <m/>
    <m/>
    <m/>
    <n v="10"/>
    <m/>
    <m/>
    <m/>
    <m/>
    <m/>
    <m/>
    <m/>
    <m/>
    <m/>
    <m/>
    <m/>
    <s v="DRWL-BIG2-10-1"/>
  </r>
  <r>
    <s v="DRWL-BIG2-12-1"/>
    <x v="97"/>
    <s v="U511SM"/>
    <s v="szt"/>
    <m/>
    <m/>
    <m/>
    <s v="Płyta wiórowa, MDF lam."/>
    <m/>
    <m/>
    <m/>
    <m/>
    <m/>
    <m/>
    <m/>
    <s v="PŁYTA OSB, MDF, WIÓROWA"/>
    <s v="Drewno"/>
    <m/>
    <m/>
    <m/>
    <n v="12"/>
    <m/>
    <m/>
    <m/>
    <m/>
    <m/>
    <m/>
    <m/>
    <m/>
    <m/>
    <m/>
    <m/>
    <s v="DRWL-BIG2-12-1"/>
  </r>
  <r>
    <s v="DRWL-BIG2-16-1"/>
    <x v="98"/>
    <s v="U511SM"/>
    <s v="szt"/>
    <m/>
    <m/>
    <m/>
    <s v="Płyta wiórowa, MDF lam."/>
    <m/>
    <m/>
    <m/>
    <m/>
    <m/>
    <m/>
    <m/>
    <s v="PŁYTA OSB, MDF, WIÓROWA"/>
    <s v="Drewno"/>
    <m/>
    <m/>
    <m/>
    <n v="16"/>
    <m/>
    <m/>
    <m/>
    <m/>
    <m/>
    <m/>
    <m/>
    <m/>
    <m/>
    <m/>
    <m/>
    <s v="DRWL-BIG2-16-1"/>
  </r>
  <r>
    <s v="DRWL-BIG2-18-1"/>
    <x v="99"/>
    <s v="U511SM"/>
    <s v="szt"/>
    <m/>
    <m/>
    <m/>
    <s v="Płyta wiórowa, MDF lam."/>
    <m/>
    <m/>
    <m/>
    <m/>
    <m/>
    <m/>
    <m/>
    <s v="PŁYTA OSB, MDF, WIÓROWA"/>
    <s v="Drewno"/>
    <m/>
    <m/>
    <m/>
    <n v="18"/>
    <m/>
    <m/>
    <m/>
    <m/>
    <m/>
    <m/>
    <m/>
    <m/>
    <m/>
    <m/>
    <m/>
    <s v="DRWL-BIG2-18-1"/>
  </r>
  <r>
    <s v="DRWL-CAP-10-1"/>
    <x v="100"/>
    <s v="U190PE"/>
    <s v="szt"/>
    <m/>
    <m/>
    <m/>
    <s v="Płyta wiórowa, MDF lam."/>
    <m/>
    <m/>
    <m/>
    <m/>
    <m/>
    <m/>
    <m/>
    <s v="PŁYTA OSB, MDF, WIÓROWA"/>
    <s v="Drewno"/>
    <m/>
    <m/>
    <m/>
    <n v="10"/>
    <m/>
    <m/>
    <m/>
    <m/>
    <m/>
    <m/>
    <m/>
    <m/>
    <m/>
    <m/>
    <m/>
    <s v="DRWL-CAP-10-1"/>
  </r>
  <r>
    <s v="DRWL-CAP-16-1"/>
    <x v="101"/>
    <s v="U190PE"/>
    <s v="szt"/>
    <m/>
    <m/>
    <m/>
    <s v="Płyta wiórowa, MDF lam."/>
    <m/>
    <m/>
    <m/>
    <m/>
    <m/>
    <m/>
    <m/>
    <s v="PŁYTA OSB, MDF, WIÓROWA"/>
    <s v="Drewno"/>
    <m/>
    <m/>
    <m/>
    <n v="12"/>
    <m/>
    <m/>
    <m/>
    <m/>
    <m/>
    <m/>
    <m/>
    <m/>
    <m/>
    <m/>
    <m/>
    <s v="DRWL-CAP-16-1"/>
  </r>
  <r>
    <s v="DRWL-CAP-18-1"/>
    <x v="102"/>
    <s v="U190PE"/>
    <s v="szt"/>
    <m/>
    <m/>
    <m/>
    <s v="Płyta wiórowa, MDF lam."/>
    <m/>
    <m/>
    <m/>
    <m/>
    <m/>
    <m/>
    <m/>
    <s v="PŁYTA OSB, MDF, WIÓROWA"/>
    <s v="Drewno"/>
    <m/>
    <m/>
    <m/>
    <n v="16"/>
    <m/>
    <m/>
    <m/>
    <m/>
    <m/>
    <m/>
    <m/>
    <m/>
    <m/>
    <m/>
    <m/>
    <s v="DRWL-CAP-18-1"/>
  </r>
  <r>
    <s v="DRWL-CAP-10-1"/>
    <x v="103"/>
    <s v="U190PE"/>
    <s v="szt"/>
    <m/>
    <m/>
    <m/>
    <s v="Płyta wiórowa, MDF lam."/>
    <m/>
    <m/>
    <m/>
    <m/>
    <m/>
    <m/>
    <m/>
    <s v="PŁYTA OSB, MDF, WIÓROWA"/>
    <s v="Drewno"/>
    <m/>
    <m/>
    <m/>
    <n v="18"/>
    <m/>
    <m/>
    <m/>
    <m/>
    <m/>
    <m/>
    <m/>
    <m/>
    <m/>
    <m/>
    <m/>
    <s v="DRWL-CAP-10-1"/>
  </r>
  <r>
    <s v="DRWL-SZP-10-1"/>
    <x v="104"/>
    <s v="U112PE"/>
    <s v="szt"/>
    <m/>
    <m/>
    <m/>
    <s v="Płyta wiórowa, MDF lam."/>
    <m/>
    <m/>
    <m/>
    <m/>
    <m/>
    <m/>
    <m/>
    <s v="PŁYTA OSB, MDF, WIÓROWA"/>
    <s v="Drewno"/>
    <m/>
    <m/>
    <m/>
    <n v="10"/>
    <m/>
    <m/>
    <m/>
    <m/>
    <m/>
    <m/>
    <m/>
    <m/>
    <m/>
    <m/>
    <m/>
    <s v="DRWL-SZP-10-1"/>
  </r>
  <r>
    <s v="DRWL-SZP-16-1"/>
    <x v="105"/>
    <s v="U112PE"/>
    <s v="szt"/>
    <m/>
    <m/>
    <m/>
    <s v="Płyta wiórowa, MDF lam."/>
    <m/>
    <m/>
    <m/>
    <m/>
    <m/>
    <m/>
    <m/>
    <s v="PŁYTA OSB, MDF, WIÓROWA"/>
    <s v="Drewno"/>
    <m/>
    <m/>
    <m/>
    <n v="16"/>
    <m/>
    <m/>
    <m/>
    <m/>
    <m/>
    <m/>
    <m/>
    <m/>
    <m/>
    <m/>
    <m/>
    <s v="DRWL-SZP-16-1"/>
  </r>
  <r>
    <s v="DRWL-SZP-18-2"/>
    <x v="106"/>
    <s v="U112PE"/>
    <s v="szt"/>
    <m/>
    <m/>
    <m/>
    <s v="Płyta wiórowa, MDF lam."/>
    <m/>
    <m/>
    <m/>
    <m/>
    <m/>
    <m/>
    <m/>
    <s v="PŁYTA OSB, MDF, WIÓROWA"/>
    <s v="Drewno"/>
    <m/>
    <m/>
    <m/>
    <n v="18"/>
    <m/>
    <m/>
    <m/>
    <m/>
    <m/>
    <m/>
    <m/>
    <m/>
    <m/>
    <m/>
    <m/>
    <s v="DRWL-SZP-18-2"/>
  </r>
  <r>
    <s v="DRWL-MTP-10-1"/>
    <x v="107"/>
    <s v="D881PE"/>
    <s v="szt"/>
    <m/>
    <m/>
    <m/>
    <s v="Płyta wiórowa, MDF lam."/>
    <m/>
    <m/>
    <m/>
    <m/>
    <m/>
    <m/>
    <m/>
    <s v="PŁYTA OSB, MDF, WIÓROWA"/>
    <s v="Drewno"/>
    <m/>
    <m/>
    <m/>
    <n v="10"/>
    <m/>
    <m/>
    <m/>
    <m/>
    <m/>
    <m/>
    <m/>
    <m/>
    <m/>
    <m/>
    <m/>
    <s v="DRWL-MTP-10-1"/>
  </r>
  <r>
    <s v="DRWL-MTP-10-1G"/>
    <x v="108"/>
    <s v="GlunzFM10"/>
    <s v="szt"/>
    <m/>
    <m/>
    <m/>
    <s v="Płyta wiórowa, MDF lam."/>
    <m/>
    <m/>
    <m/>
    <m/>
    <m/>
    <m/>
    <m/>
    <s v="PŁYTA OSB, MDF, WIÓROWA"/>
    <s v="Drewno"/>
    <m/>
    <m/>
    <m/>
    <n v="10"/>
    <m/>
    <m/>
    <m/>
    <m/>
    <m/>
    <m/>
    <m/>
    <m/>
    <m/>
    <m/>
    <m/>
    <s v="DRWL-MTP-10-1G"/>
  </r>
  <r>
    <s v="DRWL-MTP-18-1"/>
    <x v="109"/>
    <s v="D881PE"/>
    <s v="szt"/>
    <m/>
    <m/>
    <m/>
    <s v="Płyta wiórowa, MDF lam."/>
    <m/>
    <m/>
    <m/>
    <m/>
    <m/>
    <m/>
    <m/>
    <s v="PŁYTA OSB, MDF, WIÓROWA"/>
    <s v="Drewno"/>
    <m/>
    <m/>
    <m/>
    <n v="18"/>
    <m/>
    <m/>
    <m/>
    <m/>
    <m/>
    <m/>
    <m/>
    <m/>
    <m/>
    <m/>
    <m/>
    <s v="DRWL-MTP-18-1"/>
  </r>
  <r>
    <s v="PŁPL25B-2,02,05X3,05"/>
    <x v="110"/>
    <m/>
    <s v="m²"/>
    <s v="PLEXA"/>
    <m/>
    <m/>
    <s v="Plexa"/>
    <m/>
    <m/>
    <s v="KASZEROWANY"/>
    <m/>
    <s v="PLEXA"/>
    <s v="Tworzywo"/>
    <s v="PLEXI"/>
    <s v="PLEXI"/>
    <s v="inne"/>
    <s v="Tworzywo"/>
    <s v="PLEXI"/>
    <s v="PMMA HI"/>
    <n v="2"/>
    <m/>
    <m/>
    <m/>
    <m/>
    <m/>
    <m/>
    <m/>
    <m/>
    <m/>
    <m/>
    <m/>
    <s v="PŁPL25B-2,02,05X3,05"/>
  </r>
  <r>
    <s v="PŁPL25B-3,02,05X3,05"/>
    <x v="111"/>
    <m/>
    <s v="m²"/>
    <s v="PLEXA"/>
    <m/>
    <m/>
    <s v="Plexa"/>
    <m/>
    <m/>
    <s v="KASZEROWANY"/>
    <m/>
    <s v="PLEXA"/>
    <s v="Tworzywo"/>
    <s v="PLEXI"/>
    <s v="PLEXI"/>
    <s v="inne"/>
    <m/>
    <s v="PLEXI"/>
    <s v="PMMA HI"/>
    <n v="3"/>
    <m/>
    <m/>
    <m/>
    <m/>
    <m/>
    <m/>
    <m/>
    <m/>
    <m/>
    <m/>
    <m/>
    <s v="PŁPL25B-3,02,05X3,05"/>
  </r>
  <r>
    <s v="PŁPL60B-2,02,05X3,05"/>
    <x v="112"/>
    <m/>
    <s v="m²"/>
    <s v="PLEXA"/>
    <m/>
    <m/>
    <s v="Plexa"/>
    <m/>
    <m/>
    <s v="KASZEROWANY"/>
    <m/>
    <s v="PLEXA"/>
    <s v="Tworzywo"/>
    <s v="PLEXI"/>
    <s v="PLEXI"/>
    <s v="inne"/>
    <s v="Tworzywo"/>
    <s v="PLEXI"/>
    <s v="PMMA HI"/>
    <n v="2"/>
    <m/>
    <m/>
    <m/>
    <m/>
    <m/>
    <m/>
    <m/>
    <m/>
    <m/>
    <m/>
    <m/>
    <s v="PŁPL60B-2,02,05X3,05"/>
  </r>
  <r>
    <s v="PŁPL60B-3,02,05X3,05"/>
    <x v="113"/>
    <m/>
    <s v="m²"/>
    <s v="PLEXA"/>
    <m/>
    <m/>
    <s v="Plexa"/>
    <m/>
    <m/>
    <s v="KASZEROWANY"/>
    <m/>
    <s v="PLEXA"/>
    <s v="Tworzywo"/>
    <s v="PLEXI"/>
    <s v="PLEXI"/>
    <s v="inne"/>
    <m/>
    <s v="PLEXI"/>
    <s v="PMMA HI"/>
    <n v="3"/>
    <m/>
    <m/>
    <m/>
    <m/>
    <m/>
    <m/>
    <m/>
    <m/>
    <m/>
    <m/>
    <m/>
    <s v="PŁPL60B-3,02,05X3,05"/>
  </r>
  <r>
    <s v="PŁPLCN-3,02,03X3,05"/>
    <x v="114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3"/>
    <m/>
    <m/>
    <m/>
    <m/>
    <m/>
    <m/>
    <m/>
    <m/>
    <m/>
    <m/>
    <m/>
    <s v="PŁPLCN-3,02,03X3,05"/>
  </r>
  <r>
    <s v="PŁPLCN-4,02,03X3,05"/>
    <x v="115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4"/>
    <m/>
    <m/>
    <m/>
    <m/>
    <m/>
    <m/>
    <m/>
    <m/>
    <m/>
    <m/>
    <m/>
    <s v="PŁPLCN-4,02,03X3,05"/>
  </r>
  <r>
    <s v="PŁPLCN-5,02,03X3,05"/>
    <x v="116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5"/>
    <m/>
    <m/>
    <m/>
    <m/>
    <m/>
    <m/>
    <m/>
    <m/>
    <m/>
    <m/>
    <m/>
    <s v="PŁPLCN-5,02,03X3,05"/>
  </r>
  <r>
    <s v="PŁPLCN-6,02,03X3,05"/>
    <x v="117"/>
    <m/>
    <s v="m²"/>
    <s v="PLEXA"/>
    <m/>
    <m/>
    <s v="Plexa"/>
    <m/>
    <m/>
    <m/>
    <m/>
    <s v="PLEXA"/>
    <s v="Tworzywo"/>
    <s v="PLEXI"/>
    <s v="PLEXI"/>
    <s v="inne"/>
    <m/>
    <s v="PLEXI"/>
    <s v="PMMA"/>
    <n v="6"/>
    <m/>
    <m/>
    <m/>
    <m/>
    <m/>
    <m/>
    <m/>
    <m/>
    <m/>
    <m/>
    <m/>
    <s v="PŁPLCN-6,02,03X3,05"/>
  </r>
  <r>
    <s v="PŁPLCN-8,02,03X3,05"/>
    <x v="118"/>
    <m/>
    <s v="m²"/>
    <s v="PLEXA"/>
    <m/>
    <m/>
    <s v="Plexa"/>
    <m/>
    <m/>
    <m/>
    <m/>
    <s v="PLEXA"/>
    <s v="Tworzywo"/>
    <s v="PLEXI"/>
    <s v="PLEXI"/>
    <s v="inne"/>
    <m/>
    <s v="PLEXI"/>
    <s v="PMMA"/>
    <n v="8"/>
    <m/>
    <m/>
    <m/>
    <m/>
    <m/>
    <m/>
    <m/>
    <m/>
    <m/>
    <m/>
    <m/>
    <s v="PŁPLCN-8,02,03X3,05"/>
  </r>
  <r>
    <s v="PŁPLCN-10,02,03X3,05"/>
    <x v="119"/>
    <m/>
    <s v="m²"/>
    <s v="PLEXA"/>
    <m/>
    <m/>
    <s v="Plexa"/>
    <m/>
    <m/>
    <m/>
    <m/>
    <s v="PLEXA"/>
    <s v="Tworzywo"/>
    <s v="PLEXI"/>
    <s v="PLEXI"/>
    <s v="inne"/>
    <m/>
    <s v="PLEXI"/>
    <s v="PMMA"/>
    <n v="10"/>
    <m/>
    <m/>
    <m/>
    <m/>
    <m/>
    <m/>
    <m/>
    <m/>
    <m/>
    <m/>
    <m/>
    <s v="PŁPLCN-10,02,03X3,05"/>
  </r>
  <r>
    <s v="PŁPLEX-2,02,05X3,05"/>
    <x v="120"/>
    <m/>
    <s v="m²"/>
    <s v="PLEXA"/>
    <m/>
    <m/>
    <s v="Plexa"/>
    <m/>
    <m/>
    <s v="KASZEROWANY"/>
    <m/>
    <s v="PLEXA"/>
    <s v="Tworzywo"/>
    <s v="PLEXI"/>
    <s v="PLEXI"/>
    <s v="inne"/>
    <s v="Tworzywo"/>
    <s v="PLEXI"/>
    <s v="PMMA"/>
    <n v="2"/>
    <m/>
    <m/>
    <m/>
    <m/>
    <m/>
    <m/>
    <m/>
    <m/>
    <m/>
    <m/>
    <m/>
    <s v="PŁPLEX-2,02,05X3,05"/>
  </r>
  <r>
    <s v="PŁPLEX-3,02,05X3,05"/>
    <x v="121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3"/>
    <m/>
    <m/>
    <m/>
    <m/>
    <m/>
    <m/>
    <m/>
    <m/>
    <m/>
    <m/>
    <m/>
    <s v="PŁPLEX-3,02,05X3,05"/>
  </r>
  <r>
    <s v="PŁPLEX-4,02,05X3,05"/>
    <x v="122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4"/>
    <m/>
    <m/>
    <m/>
    <m/>
    <m/>
    <m/>
    <m/>
    <m/>
    <m/>
    <m/>
    <m/>
    <s v="PŁPLEX-4,02,05X3,05"/>
  </r>
  <r>
    <s v="PŁPLEX-5,02,05X3,05"/>
    <x v="123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5"/>
    <m/>
    <m/>
    <m/>
    <m/>
    <m/>
    <m/>
    <m/>
    <m/>
    <m/>
    <m/>
    <m/>
    <s v="PŁPLEX-5,02,05X3,05"/>
  </r>
  <r>
    <s v="PŁPLEX-6,02,05X3,05"/>
    <x v="124"/>
    <m/>
    <s v="m²"/>
    <s v="PLEXA"/>
    <m/>
    <m/>
    <s v="Plexa"/>
    <m/>
    <m/>
    <m/>
    <m/>
    <s v="PLEXA"/>
    <s v="Tworzywo"/>
    <s v="PLEXI"/>
    <s v="PLEXI"/>
    <s v="inne"/>
    <m/>
    <s v="PLEXI"/>
    <s v="PMMA"/>
    <n v="6"/>
    <m/>
    <m/>
    <m/>
    <m/>
    <m/>
    <m/>
    <m/>
    <m/>
    <m/>
    <m/>
    <m/>
    <s v="PŁPLEX-6,02,05X3,05"/>
  </r>
  <r>
    <s v="PŁPLEX-8,02,05X3,05"/>
    <x v="125"/>
    <m/>
    <s v="m²"/>
    <s v="PLEXA"/>
    <m/>
    <m/>
    <s v="Plexa"/>
    <m/>
    <m/>
    <m/>
    <m/>
    <s v="PLEXA"/>
    <s v="Tworzywo"/>
    <s v="PLEXI"/>
    <s v="PLEXI"/>
    <s v="inne"/>
    <m/>
    <s v="PLEXI"/>
    <s v="PMMA"/>
    <n v="8"/>
    <m/>
    <m/>
    <m/>
    <m/>
    <m/>
    <m/>
    <m/>
    <m/>
    <m/>
    <m/>
    <m/>
    <s v="PŁPLEX-8,02,05X3,05"/>
  </r>
  <r>
    <s v="PŁPLEX-10,02,05X3,05"/>
    <x v="126"/>
    <m/>
    <s v="m²"/>
    <s v="PLEXA"/>
    <m/>
    <m/>
    <s v="Plexa"/>
    <m/>
    <m/>
    <m/>
    <m/>
    <s v="PLEXA"/>
    <s v="Tworzywo"/>
    <s v="PLEXI"/>
    <s v="PLEXI"/>
    <s v="inne"/>
    <m/>
    <s v="PLEXI"/>
    <s v="PMMA"/>
    <n v="10"/>
    <m/>
    <m/>
    <m/>
    <m/>
    <m/>
    <m/>
    <m/>
    <m/>
    <m/>
    <m/>
    <m/>
    <s v="PŁPLEX-10,02,05X3,05"/>
  </r>
  <r>
    <s v="PŁPLOP-2,02,05X3,05"/>
    <x v="127"/>
    <m/>
    <s v="m²"/>
    <s v="PLEXA"/>
    <m/>
    <m/>
    <s v="Plexa"/>
    <m/>
    <m/>
    <s v="KASZEROWANY"/>
    <m/>
    <s v="PLEXA"/>
    <s v="Tworzywo"/>
    <s v="PLEXI"/>
    <s v="PLEXI"/>
    <s v="inne"/>
    <s v="Tworzywo"/>
    <s v="PLEXI"/>
    <s v="PMMA"/>
    <n v="2"/>
    <m/>
    <m/>
    <m/>
    <m/>
    <m/>
    <m/>
    <m/>
    <m/>
    <m/>
    <m/>
    <m/>
    <s v="PŁPLOP-2,02,05X3,05"/>
  </r>
  <r>
    <s v="PŁPLOP-3,02,05X3,05"/>
    <x v="128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3"/>
    <m/>
    <m/>
    <m/>
    <m/>
    <m/>
    <m/>
    <m/>
    <m/>
    <m/>
    <m/>
    <m/>
    <s v="PŁPLOP-3,02,05X3,05"/>
  </r>
  <r>
    <s v="PŁPVBB-0,91,0X2,0"/>
    <x v="129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1"/>
    <m/>
    <m/>
    <m/>
    <m/>
    <m/>
    <m/>
    <m/>
    <m/>
    <m/>
    <m/>
    <m/>
    <s v="PŁPVBB-0,91,0X2,0"/>
  </r>
  <r>
    <s v="PŁPVBB-1,01,0X2,0"/>
    <x v="129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1"/>
    <m/>
    <m/>
    <m/>
    <m/>
    <m/>
    <m/>
    <m/>
    <m/>
    <m/>
    <m/>
    <m/>
    <s v="PŁPVBB-1,01,0X2,0"/>
  </r>
  <r>
    <s v="PŁPVBB-1,51,0X2,0"/>
    <x v="130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1.5"/>
    <m/>
    <m/>
    <m/>
    <m/>
    <m/>
    <m/>
    <m/>
    <m/>
    <m/>
    <m/>
    <m/>
    <s v="PŁPVBB-1,51,0X2,0"/>
  </r>
  <r>
    <s v="PŁPVBB-2,01,0X2,0"/>
    <x v="131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2"/>
    <m/>
    <m/>
    <m/>
    <m/>
    <m/>
    <m/>
    <m/>
    <m/>
    <m/>
    <m/>
    <m/>
    <s v="PŁPVBB-2,01,0X2,0"/>
  </r>
  <r>
    <s v="PŁPVBB-3,01,0X2,0"/>
    <x v="132"/>
    <m/>
    <s v="m²"/>
    <s v="PCV"/>
    <m/>
    <m/>
    <s v="Tupet, vivak, pcv"/>
    <s v="PCV Z DRUKIEM"/>
    <m/>
    <s v="KASZEROWANY"/>
    <m/>
    <s v="PCV"/>
    <s v="Tworzywo"/>
    <m/>
    <s v="PCV"/>
    <s v="inne"/>
    <m/>
    <s v="PCV"/>
    <s v="PCV"/>
    <n v="3"/>
    <m/>
    <m/>
    <m/>
    <m/>
    <m/>
    <m/>
    <m/>
    <m/>
    <m/>
    <m/>
    <m/>
    <s v="PŁPVBB-3,01,0X2,0"/>
  </r>
  <r>
    <s v="PŁPVBB-0,151,0X1,4"/>
    <x v="133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2"/>
    <m/>
    <m/>
    <m/>
    <m/>
    <m/>
    <m/>
    <m/>
    <m/>
    <m/>
    <m/>
    <m/>
    <s v="PŁPVBB-0,151,0X1,4"/>
  </r>
  <r>
    <s v="PŁPVBB-0,21,0X1,4"/>
    <x v="133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2"/>
    <m/>
    <m/>
    <m/>
    <m/>
    <m/>
    <m/>
    <m/>
    <m/>
    <m/>
    <m/>
    <m/>
    <s v="PŁPVBB-0,21,0X1,4"/>
  </r>
  <r>
    <s v="PŁPVBB-0,251,0X1,4"/>
    <x v="133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2"/>
    <m/>
    <m/>
    <m/>
    <m/>
    <m/>
    <m/>
    <m/>
    <m/>
    <m/>
    <m/>
    <m/>
    <s v="PŁPVBB-0,251,0X1,4"/>
  </r>
  <r>
    <s v="PŁPVBB-0,31,0X1,4"/>
    <x v="134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5"/>
    <m/>
    <m/>
    <m/>
    <m/>
    <m/>
    <m/>
    <m/>
    <m/>
    <m/>
    <m/>
    <m/>
    <s v="PŁPVBB-0,31,0X1,4"/>
  </r>
  <r>
    <s v="PŁPVBB-0,41,0X1,4"/>
    <x v="134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5"/>
    <m/>
    <m/>
    <m/>
    <m/>
    <m/>
    <m/>
    <m/>
    <m/>
    <m/>
    <m/>
    <m/>
    <s v="PŁPVBB-0,41,0X1,4"/>
  </r>
  <r>
    <s v="PŁPVBB-0,51,0X1,4"/>
    <x v="134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5"/>
    <m/>
    <m/>
    <m/>
    <m/>
    <m/>
    <m/>
    <m/>
    <m/>
    <m/>
    <m/>
    <m/>
    <s v="PŁPVBB-0,51,0X1,4"/>
  </r>
  <r>
    <s v="PŁPVBB-0,71,0X1,4"/>
    <x v="135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8"/>
    <m/>
    <m/>
    <m/>
    <m/>
    <m/>
    <m/>
    <m/>
    <m/>
    <m/>
    <m/>
    <m/>
    <s v="PŁPVBB-0,71,0X1,4"/>
  </r>
  <r>
    <s v="PŁPVBI-1,01,0X2,0"/>
    <x v="136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1"/>
    <m/>
    <m/>
    <m/>
    <m/>
    <m/>
    <m/>
    <m/>
    <m/>
    <m/>
    <m/>
    <m/>
    <s v="PŁPVBI-1,01,0X2,0"/>
  </r>
  <r>
    <s v="PŁPVBI-1,51,0X2,0"/>
    <x v="137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1.5"/>
    <m/>
    <m/>
    <m/>
    <m/>
    <m/>
    <m/>
    <m/>
    <m/>
    <m/>
    <m/>
    <m/>
    <s v="PŁPVBI-1,51,0X2,0"/>
  </r>
  <r>
    <s v="PŁPVBI-2,01,0X2,0"/>
    <x v="138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2"/>
    <m/>
    <m/>
    <m/>
    <m/>
    <m/>
    <m/>
    <m/>
    <m/>
    <m/>
    <m/>
    <m/>
    <s v="PŁPVBI-2,01,0X2,0"/>
  </r>
  <r>
    <s v="PŁPVBI-3,01,0X2,0"/>
    <x v="139"/>
    <m/>
    <s v="m²"/>
    <s v="PCV"/>
    <m/>
    <m/>
    <s v="Tupet, vivak, pcv"/>
    <s v="PCV Z DRUKIEM"/>
    <m/>
    <s v="KASZEROWANY"/>
    <m/>
    <s v="PCV"/>
    <s v="Tworzywo"/>
    <m/>
    <s v="PCV"/>
    <s v="inne"/>
    <m/>
    <s v="PCV"/>
    <s v="PCV"/>
    <n v="3"/>
    <m/>
    <m/>
    <m/>
    <m/>
    <m/>
    <m/>
    <m/>
    <m/>
    <m/>
    <m/>
    <m/>
    <s v="PŁPVBI-3,01,0X2,0"/>
  </r>
  <r>
    <s v="PŁPVBI-0,151,0X1,4"/>
    <x v="140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2"/>
    <m/>
    <m/>
    <m/>
    <m/>
    <m/>
    <m/>
    <m/>
    <m/>
    <m/>
    <m/>
    <m/>
    <s v="PŁPVBI-0,151,0X1,4"/>
  </r>
  <r>
    <s v="PŁPVBI-0,21,0X1,4"/>
    <x v="140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2"/>
    <m/>
    <m/>
    <m/>
    <m/>
    <m/>
    <m/>
    <m/>
    <m/>
    <m/>
    <m/>
    <m/>
    <s v="PŁPVBI-0,21,0X1,4"/>
  </r>
  <r>
    <s v="PŁPVBI-0,251,0X1,4"/>
    <x v="140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2"/>
    <m/>
    <m/>
    <m/>
    <m/>
    <m/>
    <m/>
    <m/>
    <m/>
    <m/>
    <m/>
    <m/>
    <s v="PŁPVBI-0,251,0X1,4"/>
  </r>
  <r>
    <s v="PŁPVBI-0,31,0X1,4"/>
    <x v="141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5"/>
    <m/>
    <m/>
    <m/>
    <m/>
    <m/>
    <m/>
    <m/>
    <m/>
    <m/>
    <m/>
    <m/>
    <s v="PŁPVBI-0,31,0X1,4"/>
  </r>
  <r>
    <s v="PŁPVBI-0,41,0X1,4"/>
    <x v="141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5"/>
    <m/>
    <m/>
    <m/>
    <m/>
    <m/>
    <m/>
    <m/>
    <m/>
    <m/>
    <m/>
    <m/>
    <s v="PŁPVBI-0,41,0X1,4"/>
  </r>
  <r>
    <s v="PŁPVBI-0,51,0X1,4"/>
    <x v="141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5"/>
    <m/>
    <m/>
    <m/>
    <m/>
    <m/>
    <m/>
    <m/>
    <m/>
    <m/>
    <m/>
    <m/>
    <s v="PŁPVBI-0,51,0X1,4"/>
  </r>
  <r>
    <s v="PŁPVBI-0,71,0X1,4"/>
    <x v="142"/>
    <m/>
    <s v="m²"/>
    <s v="PCV"/>
    <m/>
    <m/>
    <s v="Tupet, vivak, pcv"/>
    <s v="PCV Z DRUKIEM"/>
    <m/>
    <s v="KASZEROWANY"/>
    <m/>
    <s v="PCV"/>
    <s v="Tworzywo"/>
    <m/>
    <s v="PCV"/>
    <s v="inne"/>
    <s v="Tworzywo"/>
    <s v="PCV"/>
    <s v="PCV"/>
    <n v="0.8"/>
    <m/>
    <m/>
    <m/>
    <m/>
    <m/>
    <m/>
    <m/>
    <m/>
    <m/>
    <m/>
    <m/>
    <s v="PŁPVBI-0,71,0X1,4"/>
  </r>
  <r>
    <s v="PŁPVSP-1,01,0X2,0"/>
    <x v="143"/>
    <m/>
    <s v="m²"/>
    <s v="PCV Spieniona"/>
    <m/>
    <m/>
    <s v="PCV spienione"/>
    <s v="PCV Z DRUKIEM"/>
    <m/>
    <s v="KASZEROWANY"/>
    <m/>
    <s v="PCV SP."/>
    <s v="Tworzywo"/>
    <m/>
    <s v="PCV SPIENIONE"/>
    <s v="inne"/>
    <m/>
    <m/>
    <m/>
    <n v="1"/>
    <m/>
    <m/>
    <m/>
    <m/>
    <m/>
    <m/>
    <m/>
    <m/>
    <m/>
    <m/>
    <m/>
    <s v="PŁPVSP-1,01,0X2,0"/>
  </r>
  <r>
    <s v="PŁPVSP-2,01,0X2,0"/>
    <x v="144"/>
    <m/>
    <s v="m²"/>
    <s v="PCV Spieniona"/>
    <m/>
    <m/>
    <s v="PCV spienione"/>
    <s v="PCV Z DRUKIEM"/>
    <m/>
    <s v="KASZEROWANY"/>
    <m/>
    <s v="PCV SP."/>
    <s v="Tworzywo"/>
    <m/>
    <s v="PCV SPIENIONE"/>
    <s v="inne"/>
    <m/>
    <m/>
    <m/>
    <n v="2"/>
    <m/>
    <m/>
    <m/>
    <m/>
    <m/>
    <m/>
    <m/>
    <m/>
    <m/>
    <m/>
    <m/>
    <s v="PŁPVSP-2,01,0X2,0"/>
  </r>
  <r>
    <s v="PŁPVSP-3,01,0X2,0"/>
    <x v="145"/>
    <m/>
    <s v="m²"/>
    <s v="PCV Spieniona"/>
    <m/>
    <m/>
    <s v="PCV spienione"/>
    <s v="PCV Z DRUKIEM"/>
    <m/>
    <s v="KASZEROWANY"/>
    <m/>
    <s v="PCV SP."/>
    <s v="Tworzywo"/>
    <m/>
    <s v="PCV SPIENIONE"/>
    <s v="inne"/>
    <m/>
    <m/>
    <m/>
    <n v="3"/>
    <m/>
    <m/>
    <m/>
    <m/>
    <m/>
    <m/>
    <m/>
    <m/>
    <m/>
    <m/>
    <m/>
    <s v="PŁPVSP-3,01,0X2,0"/>
  </r>
  <r>
    <s v="PŁPVSP-4,01,0X2,0"/>
    <x v="146"/>
    <m/>
    <s v="m²"/>
    <s v="PCV Spieniona"/>
    <m/>
    <m/>
    <s v="PCV spienione"/>
    <s v="PCV Z DRUKIEM"/>
    <m/>
    <s v="KASZEROWANY"/>
    <m/>
    <s v="PCV SP."/>
    <s v="Tworzywo"/>
    <m/>
    <s v="PCV SPIENIONE"/>
    <s v="inne"/>
    <m/>
    <m/>
    <m/>
    <n v="4"/>
    <m/>
    <m/>
    <m/>
    <m/>
    <m/>
    <m/>
    <m/>
    <m/>
    <m/>
    <m/>
    <m/>
    <s v="PŁPVSP-4,01,0X2,0"/>
  </r>
  <r>
    <s v="PŁPVSP-5,01,0X2,0"/>
    <x v="147"/>
    <m/>
    <s v="m²"/>
    <s v="PCV Spieniona"/>
    <m/>
    <m/>
    <s v="PCV spienione"/>
    <s v="PCV Z DRUKIEM"/>
    <m/>
    <s v="KASZEROWANY"/>
    <m/>
    <s v="PCV SP."/>
    <s v="Tworzywo"/>
    <m/>
    <s v="PCV SPIENIONE"/>
    <s v="inne"/>
    <m/>
    <m/>
    <m/>
    <n v="5"/>
    <m/>
    <m/>
    <m/>
    <m/>
    <m/>
    <m/>
    <m/>
    <m/>
    <m/>
    <m/>
    <m/>
    <s v="PŁPVSP-5,01,0X2,0"/>
  </r>
  <r>
    <s v="PŁPVSP-6,01,0X2,0"/>
    <x v="148"/>
    <m/>
    <s v="m²"/>
    <s v="PCV Spieniona"/>
    <m/>
    <m/>
    <s v="PCV spienione"/>
    <s v="PCV Z DRUKIEM"/>
    <m/>
    <s v="KASZEROWANY"/>
    <m/>
    <s v="PCV SP."/>
    <s v="Tworzywo"/>
    <m/>
    <s v="PCV SPIENIONE"/>
    <s v="inne"/>
    <m/>
    <m/>
    <m/>
    <n v="6"/>
    <m/>
    <m/>
    <m/>
    <m/>
    <m/>
    <m/>
    <m/>
    <m/>
    <m/>
    <m/>
    <m/>
    <s v="PŁPVSP-6,01,0X2,0"/>
  </r>
  <r>
    <s v="PŁPVSP-8,01,0X2,0"/>
    <x v="149"/>
    <m/>
    <s v="m²"/>
    <s v="PCV Spieniona"/>
    <m/>
    <m/>
    <s v="PCV spienione"/>
    <s v="PCV Z DRUKIEM"/>
    <m/>
    <s v="KASZEROWANY"/>
    <m/>
    <s v="PCV SP."/>
    <s v="Tworzywo"/>
    <m/>
    <s v="PCV SPIENIONE"/>
    <s v="inne"/>
    <m/>
    <m/>
    <m/>
    <n v="8"/>
    <m/>
    <m/>
    <m/>
    <m/>
    <m/>
    <m/>
    <m/>
    <m/>
    <m/>
    <m/>
    <m/>
    <s v="PŁPVSP-8,01,0X2,0"/>
  </r>
  <r>
    <s v="PŁPVSP-10,01,0X2,0"/>
    <x v="150"/>
    <m/>
    <s v="m²"/>
    <s v="PCV Spieniona"/>
    <m/>
    <m/>
    <s v="PCV spienione"/>
    <s v="PCV Z DRUKIEM"/>
    <m/>
    <s v="KASZEROWANY"/>
    <m/>
    <s v="PCV SP."/>
    <s v="Tworzywo"/>
    <m/>
    <s v="PCV SPIENIONE"/>
    <s v="inne"/>
    <m/>
    <m/>
    <m/>
    <n v="10"/>
    <m/>
    <m/>
    <m/>
    <m/>
    <m/>
    <m/>
    <m/>
    <m/>
    <m/>
    <m/>
    <m/>
    <s v="PŁPVSP-10,01,0X2,0"/>
  </r>
  <r>
    <s v="PŁPVSP-19,01,4X3,05"/>
    <x v="151"/>
    <m/>
    <s v="m²"/>
    <s v="PCV Spieniona"/>
    <m/>
    <m/>
    <s v="PCV spienione"/>
    <s v="PCV Z DRUKIEM"/>
    <m/>
    <s v="KASZEROWANY"/>
    <m/>
    <s v="PCV SP."/>
    <s v="Tworzywo"/>
    <m/>
    <s v="PCV SPIENIONE"/>
    <s v="inne"/>
    <m/>
    <m/>
    <m/>
    <n v="19"/>
    <m/>
    <m/>
    <m/>
    <m/>
    <m/>
    <m/>
    <m/>
    <m/>
    <m/>
    <m/>
    <m/>
    <s v="PŁPVSP-19,01,4X3,05"/>
  </r>
  <r>
    <s v="PŁTUBB-0,51,25X2,05"/>
    <x v="152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s v="Tworzywo"/>
    <s v="TUPET /PET / AXPET"/>
    <s v="PET/VIVAK"/>
    <n v="0.5"/>
    <m/>
    <m/>
    <m/>
    <m/>
    <m/>
    <m/>
    <m/>
    <m/>
    <m/>
    <m/>
    <m/>
    <s v="PŁTUBB-0,51,25X2,05"/>
  </r>
  <r>
    <s v="PŁTUBB-1,12,05X3,05"/>
    <x v="153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s v="Tworzywo"/>
    <s v="TUPET /PET / AXPET"/>
    <s v="PET/VIVAK"/>
    <n v="1"/>
    <m/>
    <m/>
    <m/>
    <m/>
    <m/>
    <m/>
    <m/>
    <m/>
    <m/>
    <m/>
    <m/>
    <s v="PŁTUBB-1,12,05X3,05"/>
  </r>
  <r>
    <s v="PŁTUBB-1,52,05X3,05"/>
    <x v="154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s v="Tworzywo"/>
    <s v="TUPET /PET / AXPET"/>
    <s v="PET/VIVAK"/>
    <n v="1.5"/>
    <m/>
    <m/>
    <m/>
    <m/>
    <m/>
    <m/>
    <m/>
    <m/>
    <m/>
    <m/>
    <m/>
    <s v="PŁTUBB-1,52,05X3,05"/>
  </r>
  <r>
    <s v="PŁTUBB-2,02,05X3,05"/>
    <x v="155"/>
    <m/>
    <s v="m²"/>
    <s v="VIVAK/PET/TUPET/AXPET"/>
    <m/>
    <m/>
    <s v="Tupet, vivak, pcv"/>
    <m/>
    <s v="HIPS Z DRUKIEM LUB LUSTRO"/>
    <s v="KASZEROWANY"/>
    <s v="TUPET /PET / AXPET"/>
    <s v="PET"/>
    <s v="Tworzywo"/>
    <s v="VIVAK / PET itp."/>
    <s v="VIVAK / PET"/>
    <s v="inne"/>
    <s v="Tworzywo"/>
    <s v="TUPET /PET / AXPET"/>
    <s v="PET/VIVAK"/>
    <n v="2"/>
    <m/>
    <m/>
    <m/>
    <m/>
    <m/>
    <m/>
    <m/>
    <m/>
    <m/>
    <m/>
    <m/>
    <s v="PŁTUBB-2,02,05X3,05"/>
  </r>
  <r>
    <s v="PŁVKBB-0,51,25X2,05"/>
    <x v="156"/>
    <m/>
    <s v="m²"/>
    <s v="VIVAK/PET/TUPET/AXPET"/>
    <m/>
    <m/>
    <s v="Tupet, vivak, pcv"/>
    <m/>
    <s v="HIPS Z DRUKIEM LUB LUSTRO"/>
    <s v="KASZEROWANY"/>
    <s v="VIVAK"/>
    <s v="PET"/>
    <s v="Tworzywo"/>
    <s v="VIVAK / PET itp."/>
    <s v="VIVAK / PET"/>
    <s v="inne"/>
    <s v="Tworzywo"/>
    <s v="VIVAK"/>
    <s v="PET/VIVAK"/>
    <n v="0.5"/>
    <m/>
    <m/>
    <m/>
    <m/>
    <m/>
    <m/>
    <m/>
    <m/>
    <m/>
    <m/>
    <m/>
    <s v="PŁVKBB-0,51,25X2,05"/>
  </r>
  <r>
    <s v="PŁVKBB-1,01,25X2,05"/>
    <x v="157"/>
    <m/>
    <s v="m²"/>
    <s v="VIVAK/PET/TUPET/AXPET"/>
    <m/>
    <m/>
    <s v="Tupet, vivak, pcv"/>
    <m/>
    <s v="HIPS Z DRUKIEM LUB LUSTRO"/>
    <s v="KASZEROWANY"/>
    <s v="VIVAK"/>
    <s v="PET"/>
    <s v="Tworzywo"/>
    <s v="VIVAK / PET itp."/>
    <s v="VIVAK / PET"/>
    <s v="inne"/>
    <s v="Tworzywo"/>
    <s v="VIVAK"/>
    <s v="PET/VIVAK"/>
    <n v="1"/>
    <m/>
    <m/>
    <m/>
    <m/>
    <m/>
    <m/>
    <m/>
    <m/>
    <m/>
    <m/>
    <m/>
    <s v="PŁVKBB-1,01,25X2,05"/>
  </r>
  <r>
    <s v="PŁVKBB-1,51,25X2,05"/>
    <x v="158"/>
    <m/>
    <s v="m²"/>
    <s v="VIVAK/PET/TUPET/AXPET"/>
    <m/>
    <m/>
    <s v="Tupet, vivak, pcv"/>
    <m/>
    <s v="HIPS Z DRUKIEM LUB LUSTRO"/>
    <s v="KASZEROWANY"/>
    <s v="VIVAK"/>
    <s v="PET"/>
    <s v="Tworzywo"/>
    <s v="VIVAK / PET itp."/>
    <s v="VIVAK / PET"/>
    <s v="inne"/>
    <s v="Tworzywo"/>
    <s v="VIVAK"/>
    <s v="PET/VIVAK"/>
    <n v="1.5"/>
    <m/>
    <m/>
    <m/>
    <m/>
    <m/>
    <m/>
    <m/>
    <m/>
    <m/>
    <m/>
    <m/>
    <s v="PŁVKBB-1,51,25X2,05"/>
  </r>
  <r>
    <s v="PŁVKBB-1,02,05x3,05"/>
    <x v="159"/>
    <m/>
    <s v="m²"/>
    <s v="VIVAK/PET/TUPET/AXPET"/>
    <m/>
    <m/>
    <s v="Tupet, vivak, pcv"/>
    <m/>
    <s v="HIPS Z DRUKIEM LUB LUSTRO"/>
    <s v="KASZEROWANY"/>
    <s v="VIVAK"/>
    <s v="PET"/>
    <s v="Tworzywo"/>
    <s v="VIVAK / PET itp."/>
    <s v="VIVAK / PET"/>
    <s v="inne"/>
    <s v="Tworzywo"/>
    <s v="VIVAK"/>
    <s v="PET/VIVAK"/>
    <n v="1"/>
    <m/>
    <m/>
    <m/>
    <m/>
    <m/>
    <m/>
    <m/>
    <m/>
    <m/>
    <m/>
    <m/>
    <s v="PŁVKBB-1,02,05x3,05"/>
  </r>
  <r>
    <s v="PŁVKBB-1,52,05x3,05"/>
    <x v="160"/>
    <m/>
    <s v="m²"/>
    <s v="VIVAK/PET/TUPET/AXPET"/>
    <m/>
    <m/>
    <s v="Tupet, vivak, pcv"/>
    <m/>
    <s v="HIPS Z DRUKIEM LUB LUSTRO"/>
    <s v="KASZEROWANY"/>
    <s v="VIVAK"/>
    <s v="PET"/>
    <s v="Tworzywo"/>
    <s v="VIVAK / PET itp."/>
    <s v="VIVAK / PET"/>
    <s v="inne"/>
    <s v="Tworzywo"/>
    <s v="VIVAK"/>
    <s v="PET/VIVAK"/>
    <n v="1.5"/>
    <m/>
    <m/>
    <m/>
    <m/>
    <m/>
    <m/>
    <m/>
    <m/>
    <m/>
    <m/>
    <m/>
    <s v="PŁVKBB-1,52,05x3,05"/>
  </r>
  <r>
    <s v="PŁVKBB-2,02,05x3,05"/>
    <x v="161"/>
    <m/>
    <s v="m²"/>
    <s v="VIVAK/PET/TUPET/AXPET"/>
    <m/>
    <m/>
    <s v="Tupet, vivak, pcv"/>
    <m/>
    <s v="HIPS Z DRUKIEM LUB LUSTRO"/>
    <s v="KASZEROWANY"/>
    <s v="VIVAK"/>
    <s v="PET"/>
    <s v="Tworzywo"/>
    <s v="VIVAK / PET itp."/>
    <s v="VIVAK / PET"/>
    <s v="inne"/>
    <s v="Tworzywo"/>
    <s v="VIVAK"/>
    <s v="PET/VIVAK"/>
    <n v="2"/>
    <m/>
    <m/>
    <m/>
    <m/>
    <m/>
    <m/>
    <m/>
    <m/>
    <m/>
    <m/>
    <m/>
    <s v="PŁVKBB-2,02,05x3,05"/>
  </r>
  <r>
    <s v="DRWS-10-1"/>
    <x v="162"/>
    <m/>
    <s v="szt"/>
    <m/>
    <m/>
    <m/>
    <s v="Płyta wiórowa, MDF sur."/>
    <m/>
    <m/>
    <m/>
    <m/>
    <m/>
    <m/>
    <m/>
    <s v="PŁYTA OSB, MDF, WIÓROWA"/>
    <s v="Drewno"/>
    <m/>
    <m/>
    <m/>
    <n v="10"/>
    <m/>
    <m/>
    <m/>
    <m/>
    <m/>
    <m/>
    <m/>
    <m/>
    <m/>
    <m/>
    <m/>
    <s v="DRWS-10-1"/>
  </r>
  <r>
    <s v="DRWS-12-1"/>
    <x v="163"/>
    <m/>
    <s v="szt"/>
    <m/>
    <m/>
    <m/>
    <s v="Płyta wiórowa, MDF sur."/>
    <m/>
    <m/>
    <m/>
    <m/>
    <m/>
    <m/>
    <m/>
    <s v="PŁYTA OSB, MDF, WIÓROWA"/>
    <s v="Drewno"/>
    <m/>
    <m/>
    <m/>
    <n v="12"/>
    <m/>
    <m/>
    <m/>
    <m/>
    <m/>
    <m/>
    <m/>
    <m/>
    <m/>
    <m/>
    <m/>
    <s v="DRWS-12-1"/>
  </r>
  <r>
    <s v="DRWS-16-1"/>
    <x v="164"/>
    <m/>
    <s v="szt"/>
    <m/>
    <m/>
    <m/>
    <s v="Płyta wiórowa, MDF sur."/>
    <m/>
    <m/>
    <m/>
    <m/>
    <m/>
    <m/>
    <m/>
    <s v="PŁYTA OSB, MDF, WIÓROWA"/>
    <s v="Drewno"/>
    <m/>
    <m/>
    <m/>
    <n v="16"/>
    <m/>
    <m/>
    <m/>
    <m/>
    <m/>
    <m/>
    <m/>
    <m/>
    <m/>
    <m/>
    <m/>
    <s v="DRWS-16-1"/>
  </r>
  <r>
    <s v="DRWS-18-1"/>
    <x v="165"/>
    <m/>
    <s v="szt"/>
    <m/>
    <m/>
    <m/>
    <s v="Płyta wiórowa, MDF sur."/>
    <m/>
    <m/>
    <m/>
    <m/>
    <m/>
    <m/>
    <m/>
    <s v="PŁYTA OSB, MDF, WIÓROWA"/>
    <s v="Drewno"/>
    <m/>
    <m/>
    <m/>
    <n v="18"/>
    <m/>
    <m/>
    <m/>
    <m/>
    <m/>
    <m/>
    <m/>
    <m/>
    <m/>
    <m/>
    <m/>
    <s v="DRWS-18-1"/>
  </r>
  <r>
    <s v="DRWS-22-1"/>
    <x v="166"/>
    <m/>
    <s v="szt"/>
    <m/>
    <m/>
    <m/>
    <s v="Płyta wiórowa, MDF sur."/>
    <m/>
    <m/>
    <m/>
    <m/>
    <m/>
    <m/>
    <m/>
    <s v="PŁYTA OSB, MDF, WIÓROWA"/>
    <s v="Drewno"/>
    <m/>
    <m/>
    <m/>
    <n v="22"/>
    <m/>
    <m/>
    <m/>
    <m/>
    <m/>
    <m/>
    <m/>
    <m/>
    <m/>
    <m/>
    <m/>
    <s v="DRWS-22-1"/>
  </r>
  <r>
    <s v="DRWS-25-1"/>
    <x v="167"/>
    <m/>
    <s v="szt"/>
    <m/>
    <m/>
    <m/>
    <s v="Płyta wiórowa, MDF sur."/>
    <m/>
    <m/>
    <m/>
    <m/>
    <m/>
    <m/>
    <m/>
    <s v="PŁYTA OSB, MDF, WIÓROWA"/>
    <s v="Drewno"/>
    <m/>
    <m/>
    <m/>
    <n v="25"/>
    <m/>
    <m/>
    <m/>
    <m/>
    <m/>
    <m/>
    <m/>
    <m/>
    <m/>
    <m/>
    <m/>
    <s v="DRWS-25-1"/>
  </r>
  <r>
    <s v="DRWS-28-1"/>
    <x v="168"/>
    <m/>
    <s v="szt"/>
    <m/>
    <m/>
    <m/>
    <s v="Płyta wiórowa, MDF sur."/>
    <m/>
    <m/>
    <m/>
    <m/>
    <m/>
    <m/>
    <m/>
    <s v="PŁYTA OSB, MDF, WIÓROWA"/>
    <s v="Drewno"/>
    <m/>
    <m/>
    <m/>
    <n v="28"/>
    <m/>
    <m/>
    <m/>
    <m/>
    <m/>
    <m/>
    <m/>
    <m/>
    <m/>
    <m/>
    <m/>
    <s v="DRWS-28-1"/>
  </r>
  <r>
    <s v="DRWS-38-1"/>
    <x v="169"/>
    <m/>
    <s v="szt"/>
    <m/>
    <m/>
    <m/>
    <s v="Płyta wiórowa, MDF sur."/>
    <m/>
    <m/>
    <m/>
    <m/>
    <m/>
    <m/>
    <m/>
    <s v="PŁYTA OSB, MDF, WIÓROWA"/>
    <s v="Drewno"/>
    <m/>
    <m/>
    <m/>
    <n v="38"/>
    <m/>
    <m/>
    <m/>
    <m/>
    <m/>
    <m/>
    <m/>
    <m/>
    <m/>
    <m/>
    <m/>
    <s v="DRWS-38-1"/>
  </r>
  <r>
    <s v="DRWS-08-1"/>
    <x v="170"/>
    <m/>
    <s v="szt"/>
    <m/>
    <m/>
    <m/>
    <s v="Płyta wiórowa, MDF sur."/>
    <m/>
    <m/>
    <m/>
    <m/>
    <m/>
    <m/>
    <m/>
    <s v="PŁYTA OSB, MDF, WIÓROWA"/>
    <s v="Drewno"/>
    <m/>
    <m/>
    <m/>
    <n v="8"/>
    <m/>
    <m/>
    <m/>
    <m/>
    <m/>
    <m/>
    <m/>
    <m/>
    <m/>
    <m/>
    <m/>
    <s v="DRWS-08-1"/>
  </r>
  <r>
    <s v="DRSK-E-001"/>
    <x v="171"/>
    <s v="wzdłuż krótszego brzegu; drewno liściaste"/>
    <s v="szt"/>
    <m/>
    <m/>
    <m/>
    <s v="Sklejka"/>
    <m/>
    <m/>
    <m/>
    <m/>
    <m/>
    <m/>
    <s v="SKLEJKA"/>
    <m/>
    <s v="Drewno"/>
    <m/>
    <m/>
    <m/>
    <n v="3"/>
    <m/>
    <m/>
    <m/>
    <m/>
    <m/>
    <m/>
    <m/>
    <m/>
    <m/>
    <m/>
    <m/>
    <s v="DRSK-E-001"/>
  </r>
  <r>
    <s v="DRSK-E-002"/>
    <x v="172"/>
    <s v="wzdłuż krótszego brzegu; drewno liściaste"/>
    <s v="szt"/>
    <m/>
    <m/>
    <m/>
    <s v="Sklejka"/>
    <m/>
    <m/>
    <m/>
    <m/>
    <m/>
    <m/>
    <s v="SKLEJKA"/>
    <m/>
    <s v="Drewno"/>
    <m/>
    <m/>
    <m/>
    <n v="5"/>
    <m/>
    <m/>
    <m/>
    <m/>
    <m/>
    <m/>
    <m/>
    <m/>
    <m/>
    <m/>
    <m/>
    <s v="DRSK-E-002"/>
  </r>
  <r>
    <s v="DRSK-E-003"/>
    <x v="173"/>
    <s v="wzdłuż krótszego brzegu; drewno liściaste"/>
    <s v="szt"/>
    <m/>
    <m/>
    <m/>
    <s v="Sklejka"/>
    <m/>
    <m/>
    <m/>
    <m/>
    <m/>
    <m/>
    <s v="SKLEJKA"/>
    <m/>
    <s v="Drewno"/>
    <m/>
    <m/>
    <m/>
    <n v="8"/>
    <m/>
    <m/>
    <m/>
    <m/>
    <m/>
    <m/>
    <m/>
    <m/>
    <m/>
    <m/>
    <m/>
    <s v="DRSK-E-003"/>
  </r>
  <r>
    <s v="DRSK-E-004"/>
    <x v="174"/>
    <s v="wzdłuż dłuższego brzegu; drewno liściaste"/>
    <s v="szt"/>
    <m/>
    <m/>
    <m/>
    <s v="Sklejka"/>
    <m/>
    <m/>
    <m/>
    <m/>
    <m/>
    <m/>
    <s v="SKLEJKA"/>
    <m/>
    <s v="Drewno"/>
    <m/>
    <m/>
    <m/>
    <n v="3"/>
    <m/>
    <m/>
    <m/>
    <m/>
    <m/>
    <m/>
    <m/>
    <m/>
    <m/>
    <m/>
    <m/>
    <s v="DRSK-E-004"/>
  </r>
  <r>
    <s v="DRSK-E-005"/>
    <x v="175"/>
    <s v="wzdłuż dłuższego brzegu; drewno liściaste"/>
    <s v="szt"/>
    <m/>
    <m/>
    <m/>
    <s v="Sklejka"/>
    <m/>
    <m/>
    <m/>
    <m/>
    <m/>
    <m/>
    <s v="SKLEJKA"/>
    <m/>
    <s v="Drewno"/>
    <m/>
    <m/>
    <m/>
    <n v="5"/>
    <m/>
    <m/>
    <m/>
    <m/>
    <m/>
    <m/>
    <m/>
    <m/>
    <m/>
    <m/>
    <m/>
    <s v="DRSK-E-005"/>
  </r>
  <r>
    <s v="DRSK-E-006"/>
    <x v="176"/>
    <s v="wzdłuż dłuższego brzegu; drewno liściaste"/>
    <s v="szt"/>
    <m/>
    <m/>
    <m/>
    <s v="Sklejka"/>
    <m/>
    <m/>
    <m/>
    <m/>
    <m/>
    <m/>
    <s v="SKLEJKA"/>
    <m/>
    <s v="Drewno"/>
    <m/>
    <m/>
    <m/>
    <n v="8"/>
    <m/>
    <m/>
    <m/>
    <m/>
    <m/>
    <m/>
    <m/>
    <m/>
    <m/>
    <m/>
    <m/>
    <s v="DRSK-E-006"/>
  </r>
  <r>
    <s v="POMATELI-ST-2-700-1000"/>
    <x v="177"/>
    <m/>
    <s v="szt"/>
    <m/>
    <m/>
    <m/>
    <m/>
    <m/>
    <m/>
    <m/>
    <m/>
    <m/>
    <s v="T. LITA"/>
    <m/>
    <m/>
    <m/>
    <m/>
    <m/>
    <m/>
    <n v="2"/>
    <m/>
    <m/>
    <m/>
    <m/>
    <m/>
    <m/>
    <m/>
    <m/>
    <m/>
    <m/>
    <m/>
    <s v="POMATELI-ST-2-700-1000"/>
  </r>
  <r>
    <s v="PŁVKBBF-1,0X0,5"/>
    <x v="178"/>
    <m/>
    <s v="kg"/>
    <s v="VIVAK/PET/TUPET/AXPET"/>
    <m/>
    <m/>
    <s v="Tupet, vivak, pcv"/>
    <m/>
    <s v="HIPS Z DRUKIEM LUB LUSTRO"/>
    <s v="KASZEROWANY"/>
    <s v="VIVAK"/>
    <s v="PET"/>
    <s v="Tworzywo"/>
    <s v="VIVAK / PET itp."/>
    <s v="VIVAK / PET"/>
    <s v="inne"/>
    <s v="Tworzywo"/>
    <s v="TUPET /PET / AXPET"/>
    <s v="PET/VIVAK"/>
    <n v="1"/>
    <m/>
    <m/>
    <m/>
    <s v="rolka"/>
    <m/>
    <m/>
    <m/>
    <m/>
    <m/>
    <m/>
    <m/>
    <s v="PŁVKBBF-1,0X0,5"/>
  </r>
  <r>
    <s v="PŁPLOP-5,02,05X3,05"/>
    <x v="179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5"/>
    <m/>
    <m/>
    <m/>
    <m/>
    <m/>
    <m/>
    <m/>
    <m/>
    <m/>
    <m/>
    <m/>
    <s v="PŁPLOP-5,02,05X3,05"/>
  </r>
  <r>
    <s v="PŁPLBI-3,02,03X3,05"/>
    <x v="180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3"/>
    <m/>
    <m/>
    <m/>
    <m/>
    <m/>
    <m/>
    <m/>
    <m/>
    <m/>
    <m/>
    <m/>
    <s v="PŁPLBI-3,02,03X3,05"/>
  </r>
  <r>
    <s v="PŁPLBI-5,02,03X3,05"/>
    <x v="181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5"/>
    <m/>
    <m/>
    <m/>
    <m/>
    <m/>
    <m/>
    <m/>
    <m/>
    <m/>
    <m/>
    <m/>
    <s v="PŁPLBI-5,02,03X3,05"/>
  </r>
  <r>
    <s v="PŁPLBI-10,02,03X3,05"/>
    <x v="182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10"/>
    <m/>
    <m/>
    <m/>
    <m/>
    <m/>
    <m/>
    <m/>
    <m/>
    <m/>
    <m/>
    <m/>
    <s v="PŁPLBI-10,02,03X3,05"/>
  </r>
  <r>
    <s v="PŁPLCA-2,02,05X3,05"/>
    <x v="183"/>
    <m/>
    <s v="m²"/>
    <s v="PLEXA"/>
    <m/>
    <m/>
    <s v="Plexa"/>
    <m/>
    <m/>
    <s v="KASZEROWANY"/>
    <m/>
    <s v="PLEXA"/>
    <s v="Tworzywo"/>
    <s v="PLEXI"/>
    <s v="PLEXI"/>
    <s v="inne"/>
    <s v="Tworzywo"/>
    <s v="PLEXI"/>
    <s v="PMMA"/>
    <n v="2"/>
    <m/>
    <m/>
    <m/>
    <m/>
    <m/>
    <m/>
    <m/>
    <m/>
    <m/>
    <m/>
    <m/>
    <s v="PŁPLCA-2,02,05X3,05"/>
  </r>
  <r>
    <s v="PŁPLCA-2,02,05X3,05"/>
    <x v="183"/>
    <m/>
    <s v="m²"/>
    <s v="PLEXA"/>
    <m/>
    <m/>
    <s v="Plexa"/>
    <m/>
    <m/>
    <s v="KASZEROWANY"/>
    <m/>
    <s v="PLEXA"/>
    <s v="Tworzywo"/>
    <s v="PLEXI"/>
    <s v="PLEXI"/>
    <s v="inne"/>
    <s v="Tworzywo"/>
    <s v="PLEXI"/>
    <s v="PMMA"/>
    <n v="2"/>
    <m/>
    <m/>
    <m/>
    <m/>
    <m/>
    <m/>
    <m/>
    <m/>
    <m/>
    <m/>
    <m/>
    <s v="PŁPLCA-2,02,05X3,05"/>
  </r>
  <r>
    <s v="PŁPLCA-5,0-2,03X3,05"/>
    <x v="184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5"/>
    <m/>
    <m/>
    <m/>
    <m/>
    <m/>
    <m/>
    <m/>
    <m/>
    <m/>
    <m/>
    <m/>
    <s v="PŁPLCA-5,0-2,03X3,05"/>
  </r>
  <r>
    <s v="PŁPLLS-2,02,05X3,05"/>
    <x v="185"/>
    <m/>
    <s v="m²"/>
    <s v="PLEXA"/>
    <m/>
    <m/>
    <s v="Plexa"/>
    <m/>
    <m/>
    <s v="KASZEROWANY"/>
    <m/>
    <s v="PLEXA"/>
    <s v="Tworzywo"/>
    <s v="PLEXI"/>
    <s v="PLEXI"/>
    <s v="inne"/>
    <s v="Tworzywo"/>
    <s v="PLEXI"/>
    <s v="PMMA"/>
    <n v="2"/>
    <m/>
    <m/>
    <m/>
    <m/>
    <m/>
    <m/>
    <m/>
    <m/>
    <m/>
    <m/>
    <m/>
    <s v="PŁPLLS-2,02,05X3,05"/>
  </r>
  <r>
    <s v="PŁPLLS-3,02,05X3,05"/>
    <x v="186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3"/>
    <m/>
    <m/>
    <m/>
    <m/>
    <m/>
    <m/>
    <m/>
    <m/>
    <m/>
    <m/>
    <m/>
    <s v="PŁPLLS-3,02,05X3,05"/>
  </r>
  <r>
    <s v="PŁPLLZ-3,02,05X3,05"/>
    <x v="187"/>
    <m/>
    <s v="m²"/>
    <s v="PLEXA"/>
    <m/>
    <m/>
    <s v="Plexa"/>
    <m/>
    <m/>
    <s v="KASZEROWANY"/>
    <m/>
    <s v="PLEXA"/>
    <s v="Tworzywo"/>
    <s v="PLEXI"/>
    <s v="PLEXI"/>
    <s v="inne"/>
    <m/>
    <s v="PLEXI"/>
    <s v="PMMA"/>
    <n v="3"/>
    <m/>
    <m/>
    <m/>
    <m/>
    <m/>
    <m/>
    <m/>
    <m/>
    <m/>
    <m/>
    <m/>
    <s v="PŁPLLZ-3,02,05X3,05"/>
  </r>
  <r>
    <s v="Folia hips czarny 1,0x500"/>
    <x v="188"/>
    <m/>
    <s v="kg"/>
    <s v="HIPS"/>
    <m/>
    <m/>
    <s v="Hips"/>
    <m/>
    <m/>
    <m/>
    <m/>
    <s v="HIPS"/>
    <m/>
    <s v="HIPS"/>
    <s v="HIPS"/>
    <m/>
    <m/>
    <s v="HIPS / ABS"/>
    <s v="HIPS"/>
    <n v="1"/>
    <m/>
    <m/>
    <m/>
    <s v="rolka"/>
    <m/>
    <m/>
    <m/>
    <m/>
    <m/>
    <m/>
    <m/>
    <s v="Folia hips czarny 1,0x500"/>
  </r>
  <r>
    <s v="PŁHIFCA-1,5X700"/>
    <x v="189"/>
    <m/>
    <s v="kg"/>
    <s v="HIPS"/>
    <m/>
    <m/>
    <s v="Hips"/>
    <m/>
    <m/>
    <m/>
    <m/>
    <s v="HIPS"/>
    <m/>
    <s v="HIPS"/>
    <s v="HIPS"/>
    <m/>
    <m/>
    <s v="HIPS / ABS"/>
    <s v="HIPS"/>
    <n v="1.5"/>
    <m/>
    <m/>
    <m/>
    <s v="rolka"/>
    <m/>
    <m/>
    <m/>
    <m/>
    <m/>
    <m/>
    <m/>
    <s v="PŁHIFCA-1,5X700"/>
  </r>
  <r>
    <s v="Folia hips czarny 1,5x500"/>
    <x v="190"/>
    <m/>
    <s v="kg"/>
    <s v="HIPS"/>
    <m/>
    <m/>
    <s v="Hips"/>
    <m/>
    <m/>
    <m/>
    <m/>
    <s v="HIPS"/>
    <m/>
    <s v="HIPS"/>
    <s v="HIPS"/>
    <m/>
    <m/>
    <s v="HIPS / ABS"/>
    <s v="HIPS"/>
    <n v="1.5"/>
    <m/>
    <m/>
    <m/>
    <s v="rolka"/>
    <m/>
    <m/>
    <m/>
    <m/>
    <m/>
    <m/>
    <m/>
    <s v="Folia hips czarny 1,5x500"/>
  </r>
  <r>
    <s v="MAFOBI-0,6X0,61 "/>
    <x v="191"/>
    <m/>
    <s v="mb"/>
    <m/>
    <m/>
    <m/>
    <m/>
    <m/>
    <m/>
    <m/>
    <m/>
    <m/>
    <m/>
    <m/>
    <m/>
    <m/>
    <m/>
    <m/>
    <m/>
    <n v="0.6"/>
    <m/>
    <m/>
    <m/>
    <m/>
    <m/>
    <m/>
    <m/>
    <m/>
    <m/>
    <m/>
    <m/>
    <s v="MAFOBI-0,6X0,61 "/>
  </r>
  <r>
    <s v="MAFOBR-0,6X0,62 "/>
    <x v="192"/>
    <m/>
    <s v="mb"/>
    <m/>
    <m/>
    <m/>
    <m/>
    <m/>
    <m/>
    <m/>
    <m/>
    <m/>
    <m/>
    <m/>
    <m/>
    <m/>
    <m/>
    <m/>
    <m/>
    <n v="0.6"/>
    <m/>
    <m/>
    <m/>
    <m/>
    <m/>
    <m/>
    <m/>
    <m/>
    <m/>
    <m/>
    <m/>
    <s v="MAFOBR-0,6X0,62 "/>
  </r>
  <r>
    <s v="BLSTGW3-001"/>
    <x v="193"/>
    <m/>
    <m/>
    <m/>
    <m/>
    <m/>
    <m/>
    <m/>
    <m/>
    <m/>
    <m/>
    <m/>
    <m/>
    <m/>
    <m/>
    <m/>
    <m/>
    <m/>
    <m/>
    <n v="3"/>
    <m/>
    <m/>
    <m/>
    <m/>
    <m/>
    <s v="STAL"/>
    <m/>
    <m/>
    <s v="Blacha"/>
    <n v="2000"/>
    <n v="1000"/>
    <s v="BLSTGW3-001"/>
  </r>
  <r>
    <s v="BLST-ZW-1,2x1x2"/>
    <x v="194"/>
    <m/>
    <m/>
    <m/>
    <m/>
    <m/>
    <m/>
    <m/>
    <m/>
    <m/>
    <m/>
    <m/>
    <m/>
    <m/>
    <m/>
    <m/>
    <m/>
    <m/>
    <m/>
    <n v="1.2"/>
    <m/>
    <m/>
    <m/>
    <m/>
    <m/>
    <s v="STAL"/>
    <m/>
    <m/>
    <s v="Blacha"/>
    <n v="2000"/>
    <n v="1000"/>
    <s v="BLST-ZW-1,2x1x2"/>
  </r>
  <r>
    <s v="BLST-ZW-1,2x1,25x2,5"/>
    <x v="195"/>
    <m/>
    <m/>
    <m/>
    <m/>
    <m/>
    <m/>
    <m/>
    <m/>
    <m/>
    <m/>
    <m/>
    <m/>
    <m/>
    <m/>
    <m/>
    <m/>
    <m/>
    <m/>
    <n v="1.2"/>
    <m/>
    <m/>
    <m/>
    <m/>
    <m/>
    <s v="STAL"/>
    <m/>
    <m/>
    <s v="Blacha"/>
    <n v="2500"/>
    <n v="1250"/>
    <s v="BLST-ZW-1,2x1,25x2,5"/>
  </r>
  <r>
    <s v="BLST-ZW-1,5x1x2"/>
    <x v="196"/>
    <m/>
    <m/>
    <m/>
    <m/>
    <m/>
    <m/>
    <m/>
    <m/>
    <m/>
    <m/>
    <m/>
    <m/>
    <m/>
    <m/>
    <m/>
    <m/>
    <m/>
    <m/>
    <n v="1.5"/>
    <m/>
    <m/>
    <m/>
    <m/>
    <m/>
    <s v="STAL"/>
    <m/>
    <m/>
    <s v="Blacha"/>
    <n v="2000"/>
    <n v="1000"/>
    <s v="BLST-ZW-1,5x1x2"/>
  </r>
  <r>
    <s v="BLST-ZW-1,5x1,25x2,5"/>
    <x v="197"/>
    <m/>
    <m/>
    <m/>
    <m/>
    <m/>
    <m/>
    <m/>
    <m/>
    <m/>
    <m/>
    <m/>
    <m/>
    <m/>
    <m/>
    <m/>
    <m/>
    <m/>
    <m/>
    <n v="1.5"/>
    <m/>
    <m/>
    <m/>
    <m/>
    <m/>
    <s v="STAL"/>
    <m/>
    <m/>
    <s v="Blacha"/>
    <n v="2500"/>
    <n v="1250"/>
    <s v="BLST-ZW-1,5x1,25x2,5"/>
  </r>
  <r>
    <s v="BLST-ZW-1x1x2"/>
    <x v="198"/>
    <m/>
    <m/>
    <m/>
    <m/>
    <m/>
    <m/>
    <m/>
    <m/>
    <m/>
    <m/>
    <m/>
    <m/>
    <m/>
    <m/>
    <m/>
    <m/>
    <m/>
    <m/>
    <n v="1"/>
    <m/>
    <m/>
    <m/>
    <m/>
    <m/>
    <s v="STAL"/>
    <m/>
    <m/>
    <s v="Blacha"/>
    <n v="2000"/>
    <n v="1000"/>
    <s v="BLST-ZW-1x1x2"/>
  </r>
  <r>
    <s v="BLST-ZW-1x1,25x2,5"/>
    <x v="199"/>
    <m/>
    <m/>
    <m/>
    <m/>
    <m/>
    <m/>
    <m/>
    <m/>
    <m/>
    <m/>
    <m/>
    <m/>
    <m/>
    <m/>
    <m/>
    <m/>
    <m/>
    <m/>
    <n v="1"/>
    <m/>
    <m/>
    <m/>
    <m/>
    <m/>
    <s v="STAL"/>
    <m/>
    <m/>
    <s v="Blacha"/>
    <n v="2500"/>
    <n v="1250"/>
    <s v="BLST-ZW-1x1,25x2,5"/>
  </r>
  <r>
    <s v="BLST-ZW-2x1x2"/>
    <x v="200"/>
    <m/>
    <m/>
    <m/>
    <m/>
    <m/>
    <m/>
    <m/>
    <m/>
    <m/>
    <m/>
    <m/>
    <m/>
    <m/>
    <m/>
    <m/>
    <m/>
    <m/>
    <m/>
    <n v="2"/>
    <m/>
    <m/>
    <m/>
    <m/>
    <m/>
    <s v="STAL"/>
    <m/>
    <m/>
    <s v="Blacha"/>
    <n v="2000"/>
    <n v="1000"/>
    <s v="BLST-ZW-2x1x2"/>
  </r>
  <r>
    <m/>
    <x v="201"/>
    <m/>
    <m/>
    <m/>
    <m/>
    <m/>
    <m/>
    <m/>
    <m/>
    <m/>
    <m/>
    <m/>
    <m/>
    <m/>
    <m/>
    <m/>
    <m/>
    <m/>
    <m/>
    <n v="0.5"/>
    <m/>
    <m/>
    <m/>
    <m/>
    <m/>
    <s v="STAL"/>
    <m/>
    <m/>
    <s v="Blacha"/>
    <n v="3000"/>
    <n v="1500"/>
    <n v="0"/>
  </r>
  <r>
    <m/>
    <x v="202"/>
    <m/>
    <m/>
    <m/>
    <m/>
    <m/>
    <m/>
    <m/>
    <m/>
    <m/>
    <m/>
    <m/>
    <m/>
    <m/>
    <m/>
    <m/>
    <m/>
    <m/>
    <m/>
    <n v="4"/>
    <m/>
    <m/>
    <m/>
    <m/>
    <m/>
    <s v="STAL"/>
    <m/>
    <m/>
    <s v="Blacha"/>
    <n v="3000"/>
    <n v="1500"/>
    <n v="0"/>
  </r>
  <r>
    <s v="BLST-ZW-2x1,25x2,5"/>
    <x v="203"/>
    <m/>
    <m/>
    <m/>
    <m/>
    <m/>
    <m/>
    <m/>
    <m/>
    <m/>
    <m/>
    <m/>
    <m/>
    <m/>
    <m/>
    <m/>
    <m/>
    <m/>
    <m/>
    <n v="2"/>
    <m/>
    <m/>
    <m/>
    <m/>
    <m/>
    <s v="STAL"/>
    <m/>
    <m/>
    <s v="Blacha"/>
    <n v="2500"/>
    <n v="1250"/>
    <s v="BLST-ZW-2x1,25x2,5"/>
  </r>
  <r>
    <m/>
    <x v="204"/>
    <m/>
    <m/>
    <m/>
    <m/>
    <m/>
    <m/>
    <m/>
    <m/>
    <m/>
    <m/>
    <m/>
    <m/>
    <m/>
    <m/>
    <m/>
    <m/>
    <m/>
    <m/>
    <n v="0.6"/>
    <m/>
    <m/>
    <m/>
    <m/>
    <m/>
    <s v="NIERDZEWKA"/>
    <m/>
    <m/>
    <s v="Blacha"/>
    <n v="2500"/>
    <n v="1250"/>
    <n v="0"/>
  </r>
  <r>
    <m/>
    <x v="205"/>
    <m/>
    <m/>
    <m/>
    <m/>
    <m/>
    <m/>
    <m/>
    <m/>
    <m/>
    <m/>
    <m/>
    <m/>
    <m/>
    <m/>
    <m/>
    <m/>
    <m/>
    <m/>
    <n v="0.6"/>
    <m/>
    <m/>
    <m/>
    <m/>
    <m/>
    <s v="NIERDZEWKA"/>
    <m/>
    <m/>
    <s v="Blacha"/>
    <n v="2500"/>
    <n v="1250"/>
    <n v="0"/>
  </r>
  <r>
    <m/>
    <x v="206"/>
    <m/>
    <m/>
    <m/>
    <m/>
    <m/>
    <m/>
    <m/>
    <m/>
    <m/>
    <m/>
    <m/>
    <m/>
    <m/>
    <m/>
    <m/>
    <m/>
    <m/>
    <m/>
    <n v="1.5"/>
    <m/>
    <m/>
    <m/>
    <m/>
    <m/>
    <s v="NIERDZEWKA"/>
    <m/>
    <m/>
    <s v="Blacha"/>
    <n v="2500"/>
    <n v="1250"/>
    <n v="0"/>
  </r>
  <r>
    <s v="PŁST-20x4"/>
    <x v="207"/>
    <m/>
    <m/>
    <m/>
    <m/>
    <m/>
    <m/>
    <m/>
    <m/>
    <m/>
    <m/>
    <m/>
    <m/>
    <m/>
    <m/>
    <m/>
    <m/>
    <m/>
    <m/>
    <n v="4"/>
    <m/>
    <m/>
    <m/>
    <m/>
    <m/>
    <m/>
    <m/>
    <m/>
    <s v="Płaskownik"/>
    <m/>
    <m/>
    <s v="PŁST-20x4"/>
  </r>
  <r>
    <s v="PŁST-30x4"/>
    <x v="208"/>
    <m/>
    <m/>
    <m/>
    <m/>
    <m/>
    <m/>
    <m/>
    <m/>
    <m/>
    <m/>
    <m/>
    <m/>
    <m/>
    <m/>
    <m/>
    <m/>
    <m/>
    <m/>
    <n v="4"/>
    <m/>
    <m/>
    <m/>
    <m/>
    <m/>
    <m/>
    <m/>
    <m/>
    <s v="Płaskownik"/>
    <m/>
    <m/>
    <s v="PŁST-30x4"/>
  </r>
  <r>
    <s v="PŁST-30x6"/>
    <x v="209"/>
    <m/>
    <m/>
    <m/>
    <m/>
    <m/>
    <m/>
    <m/>
    <m/>
    <m/>
    <m/>
    <m/>
    <m/>
    <m/>
    <m/>
    <m/>
    <m/>
    <m/>
    <m/>
    <n v="6"/>
    <m/>
    <m/>
    <m/>
    <m/>
    <m/>
    <m/>
    <m/>
    <m/>
    <s v="Płaskownik"/>
    <m/>
    <m/>
    <s v="PŁST-30x6"/>
  </r>
  <r>
    <s v="PŁST-40x6"/>
    <x v="210"/>
    <m/>
    <m/>
    <m/>
    <m/>
    <m/>
    <m/>
    <m/>
    <m/>
    <m/>
    <m/>
    <m/>
    <m/>
    <m/>
    <m/>
    <m/>
    <m/>
    <m/>
    <m/>
    <n v="6"/>
    <m/>
    <m/>
    <m/>
    <m/>
    <m/>
    <m/>
    <m/>
    <m/>
    <s v="Płaskownik"/>
    <m/>
    <m/>
    <s v="PŁST-40x6"/>
  </r>
  <r>
    <s v="PŁST-60x6"/>
    <x v="211"/>
    <m/>
    <m/>
    <m/>
    <m/>
    <m/>
    <m/>
    <m/>
    <m/>
    <m/>
    <m/>
    <m/>
    <m/>
    <m/>
    <m/>
    <m/>
    <m/>
    <m/>
    <m/>
    <n v="6"/>
    <m/>
    <m/>
    <m/>
    <m/>
    <m/>
    <m/>
    <m/>
    <m/>
    <s v="Płaskownik"/>
    <m/>
    <m/>
    <s v="PŁST-60x6"/>
  </r>
  <r>
    <s v="PRST-GW-20x20x2"/>
    <x v="212"/>
    <m/>
    <m/>
    <m/>
    <m/>
    <m/>
    <m/>
    <m/>
    <m/>
    <m/>
    <m/>
    <m/>
    <m/>
    <m/>
    <m/>
    <m/>
    <m/>
    <m/>
    <m/>
    <n v="2"/>
    <m/>
    <m/>
    <m/>
    <m/>
    <m/>
    <m/>
    <n v="20"/>
    <n v="20"/>
    <s v="Profil"/>
    <m/>
    <m/>
    <s v="PRST-GW-20x20x2"/>
  </r>
  <r>
    <s v="PRST-GW-30x20x2"/>
    <x v="213"/>
    <m/>
    <m/>
    <m/>
    <m/>
    <m/>
    <m/>
    <m/>
    <m/>
    <m/>
    <m/>
    <m/>
    <m/>
    <m/>
    <m/>
    <m/>
    <m/>
    <m/>
    <m/>
    <n v="2"/>
    <m/>
    <m/>
    <m/>
    <m/>
    <m/>
    <m/>
    <n v="30"/>
    <n v="20"/>
    <s v="Profil"/>
    <m/>
    <m/>
    <s v="PRST-GW-30x20x2"/>
  </r>
  <r>
    <s v="PRST-GW-30x30x2"/>
    <x v="214"/>
    <m/>
    <m/>
    <m/>
    <m/>
    <m/>
    <m/>
    <m/>
    <m/>
    <m/>
    <m/>
    <m/>
    <m/>
    <m/>
    <m/>
    <m/>
    <m/>
    <m/>
    <m/>
    <n v="2"/>
    <m/>
    <m/>
    <m/>
    <m/>
    <m/>
    <m/>
    <n v="30"/>
    <n v="30"/>
    <s v="Profil"/>
    <m/>
    <m/>
    <s v="PRST-GW-30x30x2"/>
  </r>
  <r>
    <s v="PRST-GW-30x30x3"/>
    <x v="215"/>
    <m/>
    <m/>
    <m/>
    <m/>
    <m/>
    <m/>
    <m/>
    <m/>
    <m/>
    <m/>
    <m/>
    <m/>
    <m/>
    <m/>
    <m/>
    <m/>
    <m/>
    <m/>
    <n v="3"/>
    <m/>
    <m/>
    <m/>
    <m/>
    <m/>
    <m/>
    <n v="30"/>
    <n v="30"/>
    <s v="Profil"/>
    <m/>
    <m/>
    <s v="PRST-GW-30x30x3"/>
  </r>
  <r>
    <s v="PRST-GW-40x20x2"/>
    <x v="216"/>
    <m/>
    <m/>
    <m/>
    <m/>
    <m/>
    <m/>
    <m/>
    <m/>
    <m/>
    <m/>
    <m/>
    <m/>
    <m/>
    <m/>
    <m/>
    <m/>
    <m/>
    <m/>
    <n v="2"/>
    <m/>
    <m/>
    <m/>
    <m/>
    <m/>
    <m/>
    <n v="40"/>
    <n v="20"/>
    <s v="Profil"/>
    <m/>
    <m/>
    <s v="PRST-GW-40x20x2"/>
  </r>
  <r>
    <s v="PRST-GW-40x30x2"/>
    <x v="217"/>
    <m/>
    <m/>
    <m/>
    <m/>
    <m/>
    <m/>
    <m/>
    <m/>
    <m/>
    <m/>
    <m/>
    <m/>
    <m/>
    <m/>
    <m/>
    <m/>
    <m/>
    <m/>
    <n v="2"/>
    <m/>
    <m/>
    <m/>
    <m/>
    <m/>
    <m/>
    <n v="40"/>
    <n v="30"/>
    <s v="Profil"/>
    <m/>
    <m/>
    <s v="PRST-GW-40x30x2"/>
  </r>
  <r>
    <s v="PRST-GW-40x40x2"/>
    <x v="218"/>
    <m/>
    <m/>
    <m/>
    <m/>
    <m/>
    <m/>
    <m/>
    <m/>
    <m/>
    <m/>
    <m/>
    <m/>
    <m/>
    <m/>
    <m/>
    <m/>
    <m/>
    <m/>
    <n v="2"/>
    <m/>
    <m/>
    <m/>
    <m/>
    <m/>
    <m/>
    <n v="40"/>
    <n v="40"/>
    <s v="Profil"/>
    <m/>
    <m/>
    <s v="PRST-GW-40x40x2"/>
  </r>
  <r>
    <s v="PRST-GW-40x40x3"/>
    <x v="219"/>
    <m/>
    <m/>
    <m/>
    <m/>
    <m/>
    <m/>
    <m/>
    <m/>
    <m/>
    <m/>
    <m/>
    <m/>
    <m/>
    <m/>
    <m/>
    <m/>
    <m/>
    <m/>
    <n v="3"/>
    <m/>
    <m/>
    <m/>
    <m/>
    <m/>
    <m/>
    <n v="40"/>
    <n v="40"/>
    <s v="Profil"/>
    <m/>
    <m/>
    <s v="PRST-GW-40x40x3"/>
  </r>
  <r>
    <s v="PRST-GW-50x20x2"/>
    <x v="220"/>
    <m/>
    <m/>
    <m/>
    <m/>
    <m/>
    <m/>
    <m/>
    <m/>
    <m/>
    <m/>
    <m/>
    <m/>
    <m/>
    <m/>
    <m/>
    <m/>
    <m/>
    <m/>
    <n v="2"/>
    <m/>
    <m/>
    <m/>
    <m/>
    <m/>
    <m/>
    <n v="50"/>
    <n v="20"/>
    <s v="Profil"/>
    <m/>
    <m/>
    <s v="PRST-GW-50x20x2"/>
  </r>
  <r>
    <s v="PRST-GW-50x30x2"/>
    <x v="221"/>
    <m/>
    <m/>
    <m/>
    <m/>
    <m/>
    <m/>
    <m/>
    <m/>
    <m/>
    <m/>
    <m/>
    <m/>
    <m/>
    <m/>
    <m/>
    <m/>
    <m/>
    <m/>
    <n v="2"/>
    <m/>
    <m/>
    <m/>
    <m/>
    <m/>
    <m/>
    <n v="50"/>
    <n v="30"/>
    <s v="Profil"/>
    <m/>
    <m/>
    <s v="PRST-GW-50x30x2"/>
  </r>
  <r>
    <s v="PRST-GW-60x40x2"/>
    <x v="222"/>
    <m/>
    <m/>
    <m/>
    <m/>
    <m/>
    <m/>
    <m/>
    <m/>
    <m/>
    <m/>
    <m/>
    <m/>
    <m/>
    <m/>
    <m/>
    <m/>
    <m/>
    <m/>
    <n v="2"/>
    <m/>
    <m/>
    <m/>
    <m/>
    <m/>
    <m/>
    <n v="60"/>
    <n v="40"/>
    <s v="Profil"/>
    <m/>
    <m/>
    <s v="PRST-GW-60x40x2"/>
  </r>
  <r>
    <s v="PRST-ZW-20x10x1,5"/>
    <x v="223"/>
    <m/>
    <m/>
    <m/>
    <m/>
    <m/>
    <m/>
    <m/>
    <m/>
    <m/>
    <m/>
    <m/>
    <m/>
    <m/>
    <m/>
    <m/>
    <m/>
    <m/>
    <m/>
    <n v="1.5"/>
    <m/>
    <m/>
    <m/>
    <m/>
    <m/>
    <m/>
    <n v="20"/>
    <n v="10"/>
    <s v="Profil"/>
    <m/>
    <m/>
    <s v="PRST-ZW-20x10x1,5"/>
  </r>
  <r>
    <s v="PRST-ZW-20x20x1,5"/>
    <x v="224"/>
    <m/>
    <m/>
    <m/>
    <m/>
    <m/>
    <m/>
    <m/>
    <m/>
    <m/>
    <m/>
    <m/>
    <m/>
    <m/>
    <m/>
    <m/>
    <m/>
    <m/>
    <m/>
    <n v="1.5"/>
    <m/>
    <m/>
    <m/>
    <m/>
    <m/>
    <m/>
    <n v="20"/>
    <n v="20"/>
    <s v="Profil"/>
    <m/>
    <m/>
    <s v="PRST-ZW-20x20x1,5"/>
  </r>
  <r>
    <s v="PRST-ZW-25x25x1,5"/>
    <x v="225"/>
    <m/>
    <m/>
    <m/>
    <m/>
    <m/>
    <m/>
    <m/>
    <m/>
    <m/>
    <m/>
    <m/>
    <m/>
    <m/>
    <m/>
    <m/>
    <m/>
    <m/>
    <m/>
    <n v="1.5"/>
    <m/>
    <m/>
    <m/>
    <m/>
    <m/>
    <m/>
    <n v="25"/>
    <n v="25"/>
    <s v="Profil"/>
    <m/>
    <m/>
    <s v="PRST-ZW-25x25x1,5"/>
  </r>
  <r>
    <s v="PRST-ZW-30x20x1,5"/>
    <x v="226"/>
    <m/>
    <m/>
    <m/>
    <m/>
    <m/>
    <m/>
    <m/>
    <m/>
    <m/>
    <m/>
    <m/>
    <m/>
    <m/>
    <m/>
    <m/>
    <m/>
    <m/>
    <m/>
    <n v="1.5"/>
    <m/>
    <m/>
    <m/>
    <m/>
    <m/>
    <m/>
    <n v="30"/>
    <n v="20"/>
    <s v="Profil"/>
    <m/>
    <m/>
    <s v="PRST-ZW-30x20x1,5"/>
  </r>
  <r>
    <s v="PRST-ZW-30x30x1,5"/>
    <x v="227"/>
    <m/>
    <m/>
    <m/>
    <m/>
    <m/>
    <m/>
    <m/>
    <m/>
    <m/>
    <m/>
    <m/>
    <m/>
    <m/>
    <m/>
    <m/>
    <m/>
    <m/>
    <m/>
    <n v="1.5"/>
    <m/>
    <m/>
    <m/>
    <m/>
    <m/>
    <m/>
    <n v="30"/>
    <n v="30"/>
    <s v="Profil"/>
    <m/>
    <m/>
    <s v="PRST-ZW-30x30x1,5"/>
  </r>
  <r>
    <s v="PRST-ZW-40x20x1,5"/>
    <x v="228"/>
    <m/>
    <m/>
    <m/>
    <m/>
    <m/>
    <m/>
    <m/>
    <m/>
    <m/>
    <m/>
    <m/>
    <m/>
    <m/>
    <m/>
    <m/>
    <m/>
    <m/>
    <m/>
    <n v="1.5"/>
    <m/>
    <m/>
    <m/>
    <m/>
    <m/>
    <m/>
    <n v="40"/>
    <n v="20"/>
    <s v="Profil"/>
    <m/>
    <m/>
    <s v="PRST-ZW-40x20x1,5"/>
  </r>
  <r>
    <s v="POMDBA-1,27-30,5"/>
    <x v="229"/>
    <m/>
    <m/>
    <m/>
    <m/>
    <m/>
    <m/>
    <m/>
    <m/>
    <m/>
    <m/>
    <m/>
    <m/>
    <m/>
    <m/>
    <m/>
    <m/>
    <m/>
    <m/>
    <n v="0.2"/>
    <m/>
    <m/>
    <m/>
    <m/>
    <m/>
    <m/>
    <m/>
    <m/>
    <m/>
    <m/>
    <m/>
    <s v="POMDBA-1,27-30,5"/>
  </r>
  <r>
    <s v="PRST-C-OKR-FI10"/>
    <x v="230"/>
    <m/>
    <m/>
    <m/>
    <m/>
    <m/>
    <m/>
    <m/>
    <m/>
    <m/>
    <m/>
    <m/>
    <m/>
    <m/>
    <m/>
    <m/>
    <m/>
    <m/>
    <m/>
    <n v="10"/>
    <m/>
    <m/>
    <m/>
    <m/>
    <m/>
    <m/>
    <m/>
    <m/>
    <s v="Pręt"/>
    <m/>
    <m/>
    <s v="PRST-C-OKR-FI10"/>
  </r>
  <r>
    <s v="PRST-C-OKR-FI3"/>
    <x v="231"/>
    <m/>
    <m/>
    <m/>
    <m/>
    <m/>
    <m/>
    <m/>
    <m/>
    <m/>
    <m/>
    <m/>
    <m/>
    <m/>
    <m/>
    <m/>
    <m/>
    <m/>
    <m/>
    <n v="3"/>
    <m/>
    <m/>
    <m/>
    <m/>
    <m/>
    <m/>
    <m/>
    <m/>
    <s v="Pręt"/>
    <m/>
    <m/>
    <s v="PRST-C-OKR-FI3"/>
  </r>
  <r>
    <s v="PRST-C-OKR-FI4"/>
    <x v="232"/>
    <m/>
    <m/>
    <m/>
    <m/>
    <m/>
    <m/>
    <m/>
    <m/>
    <m/>
    <m/>
    <m/>
    <m/>
    <m/>
    <m/>
    <m/>
    <m/>
    <m/>
    <m/>
    <n v="4"/>
    <m/>
    <m/>
    <m/>
    <m/>
    <m/>
    <m/>
    <m/>
    <m/>
    <s v="Pręt"/>
    <m/>
    <m/>
    <s v="PRST-C-OKR-FI4"/>
  </r>
  <r>
    <s v="PRST-C-OKR-FI5"/>
    <x v="233"/>
    <m/>
    <m/>
    <m/>
    <m/>
    <m/>
    <m/>
    <m/>
    <m/>
    <m/>
    <m/>
    <m/>
    <m/>
    <m/>
    <m/>
    <m/>
    <m/>
    <m/>
    <m/>
    <n v="5"/>
    <m/>
    <m/>
    <m/>
    <m/>
    <m/>
    <m/>
    <m/>
    <m/>
    <s v="Pręt"/>
    <m/>
    <m/>
    <s v="PRST-C-OKR-FI5"/>
  </r>
  <r>
    <s v="PRST-C-OKR-FI6"/>
    <x v="234"/>
    <m/>
    <m/>
    <m/>
    <m/>
    <m/>
    <m/>
    <m/>
    <m/>
    <m/>
    <m/>
    <m/>
    <m/>
    <m/>
    <m/>
    <m/>
    <m/>
    <m/>
    <m/>
    <n v="6"/>
    <m/>
    <m/>
    <m/>
    <m/>
    <m/>
    <m/>
    <m/>
    <m/>
    <s v="Pręt"/>
    <m/>
    <m/>
    <s v="PRST-C-OKR-FI6"/>
  </r>
  <r>
    <s v="PRST-C-OKR-FI8"/>
    <x v="235"/>
    <m/>
    <m/>
    <m/>
    <m/>
    <m/>
    <m/>
    <m/>
    <m/>
    <m/>
    <m/>
    <m/>
    <m/>
    <m/>
    <m/>
    <m/>
    <m/>
    <m/>
    <m/>
    <n v="8"/>
    <m/>
    <m/>
    <m/>
    <m/>
    <m/>
    <m/>
    <m/>
    <m/>
    <s v="Pręt"/>
    <m/>
    <m/>
    <s v="PRST-C-OKR-FI8"/>
  </r>
  <r>
    <s v="PŁVKBB-3,02,05x3,05"/>
    <x v="236"/>
    <m/>
    <m/>
    <s v="VIVAK/PET/TUPET/AXPET"/>
    <m/>
    <m/>
    <s v="Tupet, vivak, pcv"/>
    <m/>
    <s v="HIPS Z DRUKIEM LUB LUSTRO"/>
    <s v="KASZEROWANY"/>
    <s v="VIVAK"/>
    <s v="PET"/>
    <s v="Tworzywo"/>
    <s v="VIVAK / PET itp."/>
    <s v="VIVAK / PET"/>
    <s v="inne"/>
    <s v="Tworzywo"/>
    <s v="VIVAK"/>
    <s v="PET/VIVAK"/>
    <n v="3"/>
    <m/>
    <m/>
    <m/>
    <m/>
    <m/>
    <m/>
    <m/>
    <m/>
    <m/>
    <m/>
    <m/>
    <s v="PŁVKBB-3,02,05x3,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3" cacheId="3" applyNumberFormats="0" applyBorderFormats="0" applyFontFormats="0" applyPatternFormats="0" applyAlignmentFormats="0" applyWidthHeightFormats="1" dataCaption="Wartości" updatedVersion="5" minRefreshableVersion="3" itemPrintTitles="1" createdVersion="6" indent="0" outline="1" outlineData="1" multipleFieldFilters="0">
  <location ref="E3" firstHeaderRow="0" firstDataRow="0" firstDataCol="0" rowPageCount="1" colPageCount="1"/>
  <pivotFields count="33">
    <pivotField showAll="0"/>
    <pivotField axis="axisPage" showAll="0">
      <items count="240">
        <item x="193"/>
        <item x="202"/>
        <item x="205"/>
        <item x="204"/>
        <item x="206"/>
        <item x="201"/>
        <item x="194"/>
        <item x="195"/>
        <item x="196"/>
        <item x="197"/>
        <item x="198"/>
        <item x="199"/>
        <item x="200"/>
        <item x="203"/>
        <item x="0"/>
        <item x="1"/>
        <item x="2"/>
        <item x="3"/>
        <item x="10"/>
        <item x="4"/>
        <item x="5"/>
        <item x="6"/>
        <item x="7"/>
        <item x="8"/>
        <item x="9"/>
        <item x="11"/>
        <item x="12"/>
        <item x="13"/>
        <item x="178"/>
        <item x="14"/>
        <item x="188"/>
        <item x="190"/>
        <item x="189"/>
        <item x="192"/>
        <item x="191"/>
        <item x="15"/>
        <item x="16"/>
        <item x="17"/>
        <item x="18"/>
        <item x="19"/>
        <item x="20"/>
        <item x="21"/>
        <item x="22"/>
        <item x="23"/>
        <item x="24"/>
        <item x="27"/>
        <item x="28"/>
        <item x="25"/>
        <item x="2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207"/>
        <item x="208"/>
        <item x="209"/>
        <item x="210"/>
        <item x="211"/>
        <item x="48"/>
        <item x="49"/>
        <item x="50"/>
        <item x="51"/>
        <item x="52"/>
        <item x="53"/>
        <item x="54"/>
        <item x="55"/>
        <item x="57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9"/>
        <item x="114"/>
        <item x="115"/>
        <item x="116"/>
        <item x="117"/>
        <item x="118"/>
        <item x="180"/>
        <item x="182"/>
        <item x="181"/>
        <item x="184"/>
        <item x="126"/>
        <item x="120"/>
        <item x="121"/>
        <item x="122"/>
        <item x="123"/>
        <item x="124"/>
        <item x="125"/>
        <item x="183"/>
        <item x="127"/>
        <item x="128"/>
        <item x="179"/>
        <item x="185"/>
        <item x="186"/>
        <item x="187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50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71"/>
        <item x="172"/>
        <item x="173"/>
        <item x="174"/>
        <item x="175"/>
        <item x="176"/>
        <item x="177"/>
        <item m="1" x="237"/>
        <item x="229"/>
        <item x="230"/>
        <item x="231"/>
        <item x="232"/>
        <item x="233"/>
        <item x="234"/>
        <item x="235"/>
        <item m="1" x="238"/>
        <item x="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pageFields count="1">
    <pageField fld="1" item="238" hier="-1"/>
  </pageFields>
  <formats count="3">
    <format dxfId="42">
      <pivotArea field="1" type="button" dataOnly="0" labelOnly="1" outline="0" axis="axisPage" fieldPosition="0"/>
    </format>
    <format dxfId="41">
      <pivotArea field="1" type="button" dataOnly="0" labelOnly="1" outline="0" axis="axisPage" fieldPosition="0"/>
    </format>
    <format dxfId="40">
      <pivotArea dataOnly="0" labelOnly="1" outline="0" fieldPosition="0">
        <references count="1">
          <reference field="1" count="1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3:AG250" totalsRowShown="0" headerRowDxfId="37" dataDxfId="36" tableBorderDxfId="35">
  <autoFilter ref="A3:AG250"/>
  <tableColumns count="33">
    <tableColumn id="1" name="Indeks" dataDxfId="34"/>
    <tableColumn id="2" name="Nazwa" dataDxfId="33"/>
    <tableColumn id="3" name="Nazwa rozwinięta" dataDxfId="32"/>
    <tableColumn id="4" name="Jednostka miary" dataDxfId="31"/>
    <tableColumn id="5" name="FREZARKI" dataDxfId="30"/>
    <tableColumn id="6" name="PLOTER DRUKUJĄCY ROLAND" dataDxfId="29"/>
    <tableColumn id="7" name="PLOTER TNĄCY" dataDxfId="28"/>
    <tableColumn id="8" name="FORMATYZERKA" dataDxfId="27"/>
    <tableColumn id="9" name="GILOTYNA" dataDxfId="26"/>
    <tableColumn id="17" name="GILOTYNA2" dataDxfId="25"/>
    <tableColumn id="20" name="GILOTYNA3" dataDxfId="24"/>
    <tableColumn id="21" name="GILOTYNA4" dataDxfId="23"/>
    <tableColumn id="10" name="INFOTEC" dataDxfId="22"/>
    <tableColumn id="11" name="KASZEROWANIE" dataDxfId="21"/>
    <tableColumn id="12" name="LASER" dataDxfId="20"/>
    <tableColumn id="13" name="PLOTERY FREZUJĄCE" dataDxfId="19"/>
    <tableColumn id="14" name="DRUK SITO" dataDxfId="18"/>
    <tableColumn id="15" name="SZTANCOWANIE wyr tworz" dataDxfId="17"/>
    <tableColumn id="16" name="TERMOFORMOWANIE" dataDxfId="16"/>
    <tableColumn id="18" name="PIŁA POZIOMA" dataDxfId="15"/>
    <tableColumn id="19" name="GRUBOŚĆ" dataDxfId="14"/>
    <tableColumn id="22" name="Metaliczne perłowe do termoformowania" dataDxfId="13"/>
    <tableColumn id="23" name="Centrum HOMAG" dataDxfId="12"/>
    <tableColumn id="24" name="Primer do UV" dataDxfId="11"/>
    <tableColumn id="25" name="Termoformowanie-rolowa" dataDxfId="10"/>
    <tableColumn id="26" name="Offset" dataDxfId="9"/>
    <tableColumn id="27" name="LASER METAL" dataDxfId="8"/>
    <tableColumn id="28" name="Wysokość profila" dataDxfId="7"/>
    <tableColumn id="29" name="Szerokość profila" dataDxfId="6"/>
    <tableColumn id="30" name="Materiał" dataDxfId="5"/>
    <tableColumn id="31" name="Długość" dataDxfId="4"/>
    <tableColumn id="32" name="Szerokość" dataDxfId="3"/>
    <tableColumn id="33" name="indeks2" dataDxfId="2">
      <calculatedColumnFormula>Tabela1[[#This Row],[Indeks]]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ela13" displayName="Tabela13" ref="A1:D101" totalsRowShown="0">
  <autoFilter ref="A1:D101"/>
  <tableColumns count="4">
    <tableColumn id="1" name="Dzial"/>
    <tableColumn id="2" name="Maszyna"/>
    <tableColumn id="3" name="Stawka"/>
    <tableColumn id="4" name="Typ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9" Type="http://schemas.openxmlformats.org/officeDocument/2006/relationships/ctrlProp" Target="../ctrlProps/ctrlProp35.x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50" Type="http://schemas.openxmlformats.org/officeDocument/2006/relationships/ctrlProp" Target="../ctrlProps/ctrlProp46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9" Type="http://schemas.openxmlformats.org/officeDocument/2006/relationships/ctrlProp" Target="../ctrlProps/ctrlProp25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3" Type="http://schemas.openxmlformats.org/officeDocument/2006/relationships/drawing" Target="../drawings/drawing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1" Type="http://schemas.openxmlformats.org/officeDocument/2006/relationships/pivotTable" Target="../pivotTables/pivotTable1.xml"/><Relationship Id="rId6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1"/>
  <dimension ref="A1:V220"/>
  <sheetViews>
    <sheetView tabSelected="1" topLeftCell="F1" zoomScale="80" zoomScaleNormal="80" workbookViewId="0">
      <pane ySplit="2" topLeftCell="A3" activePane="bottomLeft" state="frozenSplit"/>
      <selection pane="bottomLeft" activeCell="E98" sqref="E98"/>
    </sheetView>
  </sheetViews>
  <sheetFormatPr defaultColWidth="5.42578125" defaultRowHeight="12.75"/>
  <cols>
    <col min="1" max="1" width="10.7109375" style="55" hidden="1" customWidth="1"/>
    <col min="2" max="2" width="22.5703125" style="55" customWidth="1"/>
    <col min="3" max="3" width="18.7109375" style="66" customWidth="1"/>
    <col min="4" max="4" width="16.85546875" style="66" customWidth="1"/>
    <col min="5" max="5" width="16" style="66" customWidth="1"/>
    <col min="6" max="6" width="22.7109375" style="66" customWidth="1"/>
    <col min="7" max="7" width="16.140625" style="66" customWidth="1"/>
    <col min="8" max="9" width="19" style="55" customWidth="1"/>
    <col min="10" max="11" width="18.85546875" style="55" customWidth="1"/>
    <col min="12" max="13" width="18.7109375" style="66" customWidth="1"/>
    <col min="14" max="14" width="22.5703125" style="66" customWidth="1"/>
    <col min="15" max="15" width="18.5703125" style="55" customWidth="1"/>
    <col min="16" max="16" width="18.85546875" style="55" customWidth="1"/>
    <col min="17" max="17" width="18.42578125" style="55" customWidth="1"/>
    <col min="18" max="18" width="18.28515625" style="55" customWidth="1"/>
    <col min="19" max="19" width="22.28515625" style="55" customWidth="1"/>
    <col min="20" max="38" width="27.85546875" style="55" customWidth="1"/>
    <col min="39" max="16384" width="5.42578125" style="55"/>
  </cols>
  <sheetData>
    <row r="1" spans="1:22" ht="29.25" thickBot="1">
      <c r="A1" s="54">
        <v>6.9444444444444447E-4</v>
      </c>
      <c r="B1" s="417" t="str">
        <f>VLOOKUP(F1,Tabela1[[Nazwa]:[indeks2]],32,FALSE)</f>
        <v>PŁVKBB-3,02,05x3,05</v>
      </c>
      <c r="C1" s="484" t="s">
        <v>0</v>
      </c>
      <c r="D1" s="485"/>
      <c r="E1" s="418" t="s">
        <v>31</v>
      </c>
      <c r="F1" s="463" t="s">
        <v>1371</v>
      </c>
      <c r="G1" s="416"/>
      <c r="H1" s="142" t="s">
        <v>733</v>
      </c>
      <c r="I1" s="230">
        <v>100</v>
      </c>
      <c r="K1" s="136"/>
      <c r="L1" s="241"/>
      <c r="O1" s="66"/>
      <c r="P1" s="66"/>
    </row>
    <row r="2" spans="1:22" ht="13.5" thickBot="1">
      <c r="A2" s="200" t="b">
        <v>0</v>
      </c>
      <c r="B2" s="229">
        <v>4.1666666666666664E-2</v>
      </c>
      <c r="C2" s="67"/>
      <c r="D2" s="67"/>
      <c r="E2" s="67"/>
      <c r="F2" s="67"/>
      <c r="G2" s="67"/>
      <c r="H2" s="56"/>
      <c r="I2" s="56"/>
      <c r="J2" s="56"/>
      <c r="K2" s="231"/>
      <c r="L2" s="419"/>
      <c r="M2" s="419"/>
      <c r="N2" s="420"/>
      <c r="O2" s="232"/>
      <c r="P2" s="232"/>
      <c r="Q2" s="233"/>
      <c r="R2" s="233"/>
      <c r="S2" s="233"/>
    </row>
    <row r="3" spans="1:22" ht="15.75" customHeight="1" thickBot="1">
      <c r="A3" s="200"/>
      <c r="B3" s="57"/>
      <c r="C3" s="68"/>
      <c r="D3" s="68"/>
      <c r="E3" s="68"/>
      <c r="F3" s="68"/>
      <c r="G3" s="68"/>
      <c r="H3" s="57"/>
      <c r="I3" s="57"/>
      <c r="J3" s="464" t="s">
        <v>626</v>
      </c>
      <c r="K3" s="486"/>
      <c r="L3" s="464" t="s">
        <v>666</v>
      </c>
      <c r="M3" s="465"/>
      <c r="N3" s="473"/>
      <c r="O3" s="240"/>
      <c r="P3" s="240"/>
      <c r="Q3" s="240"/>
      <c r="R3" s="240"/>
      <c r="S3" s="57"/>
    </row>
    <row r="4" spans="1:22" ht="24.75" customHeight="1" thickBot="1">
      <c r="A4" s="200"/>
      <c r="B4" s="57"/>
      <c r="C4" s="491" t="s">
        <v>929</v>
      </c>
      <c r="D4" s="492"/>
      <c r="E4" s="480" t="s">
        <v>644</v>
      </c>
      <c r="F4" s="493" t="s">
        <v>1110</v>
      </c>
      <c r="G4" s="493" t="s">
        <v>2</v>
      </c>
      <c r="H4" s="493" t="s">
        <v>1185</v>
      </c>
      <c r="I4" s="57"/>
      <c r="J4" s="464" t="str">
        <f>"Dla przedstawionych parametrów korzystniejszy druk jest na "&amp;DRUK!D78</f>
        <v>Dla przedstawionych parametrów korzystniejszy druk jest na Atma</v>
      </c>
      <c r="K4" s="465"/>
      <c r="L4" s="465"/>
      <c r="M4" s="465"/>
      <c r="N4" s="466"/>
      <c r="O4" s="68"/>
      <c r="P4" s="474" t="s">
        <v>917</v>
      </c>
      <c r="Q4" s="57"/>
      <c r="R4" s="476" t="str">
        <f>DRUK!D79</f>
        <v>x</v>
      </c>
      <c r="S4" s="477"/>
      <c r="T4" s="244"/>
      <c r="U4" s="244"/>
      <c r="V4" s="244"/>
    </row>
    <row r="5" spans="1:22" ht="42" customHeight="1" thickBot="1">
      <c r="A5" s="200" t="b">
        <v>1</v>
      </c>
      <c r="B5" s="57"/>
      <c r="C5" s="71" t="s">
        <v>930</v>
      </c>
      <c r="D5" s="71" t="s">
        <v>931</v>
      </c>
      <c r="E5" s="481"/>
      <c r="F5" s="494"/>
      <c r="G5" s="494"/>
      <c r="H5" s="494"/>
      <c r="I5" s="99"/>
      <c r="J5" s="154" t="s">
        <v>1304</v>
      </c>
      <c r="K5" s="155" t="s">
        <v>1306</v>
      </c>
      <c r="L5" s="152" t="s">
        <v>1304</v>
      </c>
      <c r="M5" s="153" t="s">
        <v>1305</v>
      </c>
      <c r="N5" s="153" t="s">
        <v>1311</v>
      </c>
      <c r="O5" s="68"/>
      <c r="P5" s="475"/>
      <c r="Q5" s="57"/>
      <c r="R5" s="80" t="s">
        <v>1304</v>
      </c>
      <c r="S5" s="81" t="s">
        <v>1306</v>
      </c>
      <c r="T5" s="242"/>
      <c r="U5" s="242"/>
      <c r="V5" s="242"/>
    </row>
    <row r="6" spans="1:22" ht="47.25" customHeight="1" thickBot="1">
      <c r="A6" s="200"/>
      <c r="B6" s="57"/>
      <c r="C6" s="245">
        <v>1500</v>
      </c>
      <c r="D6" s="245">
        <v>1000</v>
      </c>
      <c r="E6" s="284">
        <v>1</v>
      </c>
      <c r="F6" s="285">
        <v>5</v>
      </c>
      <c r="G6" s="285">
        <v>5</v>
      </c>
      <c r="H6" s="406" t="s">
        <v>1188</v>
      </c>
      <c r="I6" s="61"/>
      <c r="J6" s="111">
        <f>IF(A5=A2,0,DRUK!B81)</f>
        <v>1822.0138888888891</v>
      </c>
      <c r="K6" s="141">
        <f>IF(A5=A2,0,DRUK!B82)</f>
        <v>1958.3333333333333</v>
      </c>
      <c r="L6" s="85">
        <f>DRUK!B78</f>
        <v>0.22598379629629631</v>
      </c>
      <c r="M6" s="86">
        <f>DRUK!B79</f>
        <v>0.1736111111111111</v>
      </c>
      <c r="N6" s="86">
        <f>L6/$I$1</f>
        <v>2.2598379629629631E-3</v>
      </c>
      <c r="O6" s="68"/>
      <c r="P6" s="254" t="str">
        <f>DRUK!D79</f>
        <v>x</v>
      </c>
      <c r="Q6" s="57"/>
      <c r="R6" s="85" t="str">
        <f>IF(P6="x","x",DRUK!F37)</f>
        <v>x</v>
      </c>
      <c r="S6" s="86" t="str">
        <f>IF(P6="x","x",DRUK!F38)</f>
        <v>x</v>
      </c>
      <c r="T6" s="243"/>
      <c r="U6" s="243"/>
      <c r="V6" s="243"/>
    </row>
    <row r="7" spans="1:22" ht="16.5" thickBot="1">
      <c r="A7" s="200"/>
      <c r="B7" s="57"/>
      <c r="C7" s="87"/>
      <c r="D7" s="87"/>
      <c r="E7" s="196"/>
      <c r="F7" s="196"/>
      <c r="G7" s="283"/>
      <c r="H7" s="61"/>
      <c r="I7" s="61"/>
      <c r="J7" s="151"/>
      <c r="K7" s="151"/>
      <c r="L7" s="144"/>
      <c r="M7" s="144"/>
      <c r="N7" s="68"/>
      <c r="O7" s="144"/>
      <c r="P7" s="144"/>
      <c r="Q7" s="144"/>
      <c r="R7" s="144"/>
      <c r="S7" s="57"/>
    </row>
    <row r="8" spans="1:22" ht="16.5" thickBot="1">
      <c r="A8" s="200"/>
      <c r="B8" s="57"/>
      <c r="C8" s="68"/>
      <c r="D8" s="68"/>
      <c r="E8" s="68"/>
      <c r="F8" s="196"/>
      <c r="G8" s="196"/>
      <c r="H8" s="60"/>
      <c r="I8" s="60"/>
      <c r="J8" s="58"/>
      <c r="K8" s="58"/>
      <c r="L8" s="68"/>
      <c r="M8" s="68"/>
      <c r="N8" s="68"/>
      <c r="O8" s="464" t="s">
        <v>785</v>
      </c>
      <c r="P8" s="469"/>
      <c r="Q8" s="57"/>
      <c r="R8" s="57"/>
      <c r="S8" s="57"/>
    </row>
    <row r="9" spans="1:22" ht="16.5" thickBot="1">
      <c r="A9" s="200"/>
      <c r="B9" s="57"/>
      <c r="C9" s="489" t="s">
        <v>929</v>
      </c>
      <c r="D9" s="490"/>
      <c r="E9" s="482" t="s">
        <v>725</v>
      </c>
      <c r="F9" s="493" t="s">
        <v>958</v>
      </c>
      <c r="G9" s="283"/>
      <c r="H9" s="60"/>
      <c r="I9" s="60"/>
      <c r="J9" s="464" t="s">
        <v>626</v>
      </c>
      <c r="K9" s="469"/>
      <c r="L9" s="464" t="s">
        <v>666</v>
      </c>
      <c r="M9" s="465"/>
      <c r="N9" s="466"/>
      <c r="O9" s="464" t="s">
        <v>786</v>
      </c>
      <c r="P9" s="469"/>
      <c r="Q9" s="57"/>
      <c r="R9" s="57"/>
      <c r="S9" s="57"/>
    </row>
    <row r="10" spans="1:22" ht="34.5" customHeight="1" thickBot="1">
      <c r="A10" s="200" t="b">
        <v>1</v>
      </c>
      <c r="B10" s="57"/>
      <c r="C10" s="71" t="s">
        <v>930</v>
      </c>
      <c r="D10" s="255" t="s">
        <v>931</v>
      </c>
      <c r="E10" s="483"/>
      <c r="F10" s="494"/>
      <c r="G10" s="196"/>
      <c r="H10" s="60"/>
      <c r="I10" s="60"/>
      <c r="J10" s="82" t="s">
        <v>1304</v>
      </c>
      <c r="K10" s="83" t="s">
        <v>1306</v>
      </c>
      <c r="L10" s="152" t="s">
        <v>1304</v>
      </c>
      <c r="M10" s="153" t="s">
        <v>1305</v>
      </c>
      <c r="N10" s="153" t="s">
        <v>1311</v>
      </c>
      <c r="O10" s="82" t="s">
        <v>1304</v>
      </c>
      <c r="P10" s="83" t="s">
        <v>1306</v>
      </c>
      <c r="Q10" s="57"/>
      <c r="R10" s="57"/>
      <c r="S10" s="57"/>
    </row>
    <row r="11" spans="1:22" ht="46.5" customHeight="1" thickBot="1">
      <c r="A11" s="200"/>
      <c r="B11" s="57"/>
      <c r="C11" s="64">
        <v>600</v>
      </c>
      <c r="D11" s="256">
        <v>600</v>
      </c>
      <c r="E11" s="415">
        <v>1</v>
      </c>
      <c r="F11" s="453" t="s">
        <v>1322</v>
      </c>
      <c r="G11" s="283"/>
      <c r="H11" s="60"/>
      <c r="I11" s="60"/>
      <c r="J11" s="111">
        <f>IF(A10=A2,0,DRUK!M10)</f>
        <v>702.17102272727288</v>
      </c>
      <c r="K11" s="141">
        <f>IF(A10=A2,0,DRUK!M11)</f>
        <v>21.666666666666664</v>
      </c>
      <c r="L11" s="85">
        <f>DRUK!L10</f>
        <v>0.16159327651515154</v>
      </c>
      <c r="M11" s="86">
        <f>DRUK!L11</f>
        <v>6.9444444444444441E-3</v>
      </c>
      <c r="N11" s="86">
        <f>L11/$I$1</f>
        <v>1.6159327651515153E-3</v>
      </c>
      <c r="O11" s="85" t="s">
        <v>553</v>
      </c>
      <c r="P11" s="86" t="s">
        <v>553</v>
      </c>
      <c r="Q11" s="57"/>
      <c r="R11" s="57"/>
      <c r="S11" s="57"/>
    </row>
    <row r="12" spans="1:22" ht="16.5" thickBot="1">
      <c r="A12" s="200"/>
      <c r="B12" s="57"/>
      <c r="C12" s="68"/>
      <c r="D12" s="68"/>
      <c r="E12" s="84"/>
      <c r="F12" s="84"/>
      <c r="G12" s="196"/>
      <c r="H12" s="110"/>
      <c r="I12" s="110"/>
      <c r="J12" s="58"/>
      <c r="K12" s="58"/>
      <c r="L12" s="68"/>
      <c r="M12" s="68"/>
      <c r="N12" s="68"/>
      <c r="O12" s="68"/>
      <c r="P12" s="68"/>
      <c r="Q12" s="57"/>
      <c r="R12" s="57"/>
      <c r="S12" s="57"/>
    </row>
    <row r="13" spans="1:22" ht="22.5" customHeight="1" thickBot="1">
      <c r="A13" s="200"/>
      <c r="B13" s="57"/>
      <c r="C13" s="487" t="s">
        <v>929</v>
      </c>
      <c r="D13" s="488"/>
      <c r="E13" s="478" t="s">
        <v>725</v>
      </c>
      <c r="F13" s="84"/>
      <c r="G13" s="283"/>
      <c r="H13" s="110"/>
      <c r="I13" s="110"/>
      <c r="J13" s="464" t="s">
        <v>626</v>
      </c>
      <c r="K13" s="469"/>
      <c r="L13" s="464" t="s">
        <v>666</v>
      </c>
      <c r="M13" s="465"/>
      <c r="N13" s="466"/>
      <c r="O13" s="68"/>
      <c r="P13" s="68"/>
      <c r="Q13" s="57"/>
      <c r="R13" s="57"/>
      <c r="S13" s="57"/>
    </row>
    <row r="14" spans="1:22" ht="25.5">
      <c r="A14" s="200" t="b">
        <v>1</v>
      </c>
      <c r="B14" s="57"/>
      <c r="C14" s="391" t="s">
        <v>937</v>
      </c>
      <c r="D14" s="389" t="s">
        <v>938</v>
      </c>
      <c r="E14" s="479"/>
      <c r="F14" s="84"/>
      <c r="G14" s="196"/>
      <c r="H14" s="60"/>
      <c r="I14" s="60"/>
      <c r="J14" s="82" t="s">
        <v>1304</v>
      </c>
      <c r="K14" s="83" t="s">
        <v>1306</v>
      </c>
      <c r="L14" s="152" t="s">
        <v>1304</v>
      </c>
      <c r="M14" s="153" t="s">
        <v>1305</v>
      </c>
      <c r="N14" s="153" t="s">
        <v>1311</v>
      </c>
      <c r="O14" s="84"/>
      <c r="P14" s="84"/>
      <c r="Q14" s="60"/>
      <c r="R14" s="57"/>
      <c r="S14" s="57"/>
    </row>
    <row r="15" spans="1:22" ht="42" customHeight="1" thickBot="1">
      <c r="A15" s="200"/>
      <c r="B15" s="57"/>
      <c r="C15" s="388">
        <v>1400</v>
      </c>
      <c r="D15" s="390">
        <v>1000</v>
      </c>
      <c r="E15" s="414">
        <v>5</v>
      </c>
      <c r="F15" s="84"/>
      <c r="G15" s="283"/>
      <c r="H15" s="60"/>
      <c r="I15" s="60"/>
      <c r="J15" s="111">
        <f>IF(A2=A14,0,DRUK!M38)</f>
        <v>690.47333333333324</v>
      </c>
      <c r="K15" s="141">
        <f>IF(A2=A14,0,DRUK!M39)</f>
        <v>16.25</v>
      </c>
      <c r="L15" s="85">
        <f>DRUK!L38</f>
        <v>0.44261111111111107</v>
      </c>
      <c r="M15" s="86">
        <f>DRUK!L39</f>
        <v>1.0416666666666666E-2</v>
      </c>
      <c r="N15" s="86">
        <f>L15/$I$1</f>
        <v>4.4261111111111107E-3</v>
      </c>
      <c r="O15" s="84"/>
      <c r="P15" s="84"/>
      <c r="Q15" s="60"/>
      <c r="R15" s="57"/>
      <c r="S15" s="57"/>
    </row>
    <row r="16" spans="1:22" ht="16.5" thickBot="1">
      <c r="A16" s="200"/>
      <c r="B16" s="57"/>
      <c r="C16" s="68"/>
      <c r="D16" s="68"/>
      <c r="E16" s="70"/>
      <c r="F16" s="70"/>
      <c r="G16" s="196"/>
      <c r="H16" s="60"/>
      <c r="I16" s="60"/>
      <c r="J16" s="58"/>
      <c r="K16" s="58"/>
      <c r="L16" s="84"/>
      <c r="M16" s="84"/>
      <c r="N16" s="68"/>
      <c r="O16" s="84"/>
      <c r="P16" s="84"/>
      <c r="Q16" s="60"/>
      <c r="R16" s="57"/>
      <c r="S16" s="57"/>
    </row>
    <row r="17" spans="1:19" ht="23.25" customHeight="1" thickBot="1">
      <c r="A17" s="200"/>
      <c r="B17" s="57"/>
      <c r="C17" s="68"/>
      <c r="D17" s="68"/>
      <c r="E17" s="70"/>
      <c r="F17" s="70"/>
      <c r="G17" s="283"/>
      <c r="H17" s="118"/>
      <c r="I17" s="118"/>
      <c r="J17" s="464" t="s">
        <v>626</v>
      </c>
      <c r="K17" s="469"/>
      <c r="L17" s="464" t="s">
        <v>666</v>
      </c>
      <c r="M17" s="465"/>
      <c r="N17" s="466"/>
      <c r="O17" s="84"/>
      <c r="P17" s="84"/>
      <c r="Q17" s="60"/>
      <c r="R17" s="57"/>
      <c r="S17" s="57"/>
    </row>
    <row r="18" spans="1:19" ht="26.25" thickBot="1">
      <c r="A18" s="200" t="b">
        <v>1</v>
      </c>
      <c r="B18" s="57"/>
      <c r="C18" s="71" t="s">
        <v>370</v>
      </c>
      <c r="D18" s="71" t="s">
        <v>725</v>
      </c>
      <c r="E18" s="72" t="s">
        <v>374</v>
      </c>
      <c r="F18" s="73"/>
      <c r="G18" s="196"/>
      <c r="H18" s="57"/>
      <c r="I18" s="57"/>
      <c r="J18" s="82" t="s">
        <v>1304</v>
      </c>
      <c r="K18" s="83" t="s">
        <v>1306</v>
      </c>
      <c r="L18" s="152" t="s">
        <v>1304</v>
      </c>
      <c r="M18" s="153" t="s">
        <v>1306</v>
      </c>
      <c r="N18" s="153" t="s">
        <v>1311</v>
      </c>
      <c r="O18" s="84"/>
      <c r="P18" s="84"/>
      <c r="Q18" s="60"/>
      <c r="R18" s="57"/>
      <c r="S18" s="57"/>
    </row>
    <row r="19" spans="1:19" ht="51.75" customHeight="1" thickBot="1">
      <c r="A19" s="200"/>
      <c r="B19" s="57"/>
      <c r="C19" s="75" t="s">
        <v>371</v>
      </c>
      <c r="D19" s="64">
        <v>1</v>
      </c>
      <c r="E19" s="64">
        <v>3</v>
      </c>
      <c r="F19" s="74"/>
      <c r="G19" s="283"/>
      <c r="H19" s="57"/>
      <c r="I19" s="57"/>
      <c r="J19" s="111">
        <f>IF(A2=A18,0,DRUK!M62)</f>
        <v>58.44444444444445</v>
      </c>
      <c r="K19" s="141">
        <f>IF(A2=A18,0,DRUK!M63)</f>
        <v>186.66666666666666</v>
      </c>
      <c r="L19" s="85">
        <f>DRUK!L62</f>
        <v>2.4189814814814817E-2</v>
      </c>
      <c r="M19" s="86">
        <f>DRUK!L63</f>
        <v>9.7222222222222224E-2</v>
      </c>
      <c r="N19" s="86">
        <f>L19/$I$1</f>
        <v>2.4189814814814818E-4</v>
      </c>
      <c r="O19" s="84"/>
      <c r="P19" s="84"/>
      <c r="Q19" s="60"/>
      <c r="R19" s="57"/>
      <c r="S19" s="57"/>
    </row>
    <row r="20" spans="1:19" ht="16.5" thickBot="1">
      <c r="A20" s="200"/>
      <c r="B20" s="57"/>
      <c r="C20" s="68"/>
      <c r="D20" s="68"/>
      <c r="E20" s="68"/>
      <c r="F20" s="68"/>
      <c r="G20" s="196"/>
      <c r="H20" s="57"/>
      <c r="I20" s="57"/>
      <c r="J20" s="58"/>
      <c r="K20" s="58"/>
      <c r="L20" s="84"/>
      <c r="M20" s="84"/>
      <c r="N20" s="68"/>
      <c r="O20" s="84"/>
      <c r="P20" s="84"/>
      <c r="Q20" s="60"/>
      <c r="R20" s="57"/>
      <c r="S20" s="57"/>
    </row>
    <row r="21" spans="1:19" ht="24" customHeight="1" thickBot="1">
      <c r="A21" s="200"/>
      <c r="B21" s="57"/>
      <c r="C21" s="68"/>
      <c r="D21" s="68"/>
      <c r="E21" s="68"/>
      <c r="F21" s="68"/>
      <c r="G21" s="283"/>
      <c r="H21" s="57"/>
      <c r="I21" s="57"/>
      <c r="J21" s="58"/>
      <c r="K21" s="58"/>
      <c r="L21" s="84"/>
      <c r="M21" s="84"/>
      <c r="N21" s="68"/>
      <c r="O21" s="464" t="s">
        <v>532</v>
      </c>
      <c r="P21" s="466"/>
      <c r="Q21" s="60"/>
      <c r="R21" s="57"/>
      <c r="S21" s="57"/>
    </row>
    <row r="22" spans="1:19" ht="24" customHeight="1" thickBot="1">
      <c r="A22" s="200"/>
      <c r="B22" s="57"/>
      <c r="C22" s="68"/>
      <c r="D22" s="68"/>
      <c r="E22" s="68"/>
      <c r="F22" s="68"/>
      <c r="G22" s="196"/>
      <c r="H22" s="57"/>
      <c r="I22" s="57"/>
      <c r="J22" s="464" t="s">
        <v>626</v>
      </c>
      <c r="K22" s="469"/>
      <c r="L22" s="464" t="s">
        <v>666</v>
      </c>
      <c r="M22" s="465"/>
      <c r="N22" s="466"/>
      <c r="O22" s="464" t="s">
        <v>535</v>
      </c>
      <c r="P22" s="466"/>
      <c r="Q22" s="60"/>
      <c r="R22" s="57"/>
      <c r="S22" s="57"/>
    </row>
    <row r="23" spans="1:19" ht="43.5" customHeight="1" thickBot="1">
      <c r="A23" s="200" t="b">
        <v>1</v>
      </c>
      <c r="B23" s="57"/>
      <c r="C23" s="69" t="s">
        <v>3</v>
      </c>
      <c r="D23" s="71" t="s">
        <v>725</v>
      </c>
      <c r="E23" s="71" t="s">
        <v>380</v>
      </c>
      <c r="F23" s="76" t="s">
        <v>499</v>
      </c>
      <c r="G23" s="283"/>
      <c r="H23" s="57"/>
      <c r="I23" s="57"/>
      <c r="J23" s="82" t="s">
        <v>1304</v>
      </c>
      <c r="K23" s="83" t="s">
        <v>1306</v>
      </c>
      <c r="L23" s="152" t="s">
        <v>1304</v>
      </c>
      <c r="M23" s="153" t="s">
        <v>1306</v>
      </c>
      <c r="N23" s="153" t="s">
        <v>1311</v>
      </c>
      <c r="O23" s="82" t="s">
        <v>1304</v>
      </c>
      <c r="P23" s="83" t="s">
        <v>1306</v>
      </c>
      <c r="Q23" s="60"/>
      <c r="R23" s="57"/>
      <c r="S23" s="57"/>
    </row>
    <row r="24" spans="1:19" ht="55.5" customHeight="1" thickBot="1">
      <c r="A24" s="200"/>
      <c r="B24" s="57"/>
      <c r="C24" s="65" t="s">
        <v>7</v>
      </c>
      <c r="D24" s="64">
        <v>1</v>
      </c>
      <c r="E24" s="75" t="s">
        <v>381</v>
      </c>
      <c r="F24" s="179">
        <v>130</v>
      </c>
      <c r="G24" s="196"/>
      <c r="H24" s="57"/>
      <c r="I24" s="57"/>
      <c r="J24" s="111">
        <f>IF(A2=A23,0,DRUK!M87+DRUK!M89)</f>
        <v>93.360074626865668</v>
      </c>
      <c r="K24" s="141">
        <f>IF(A2=A23,0,DRUK!M88+DRUK!M90)</f>
        <v>9</v>
      </c>
      <c r="L24" s="85">
        <f>DRUK!L87</f>
        <v>9.4492813709231599E-2</v>
      </c>
      <c r="M24" s="86">
        <f>DRUK!L88</f>
        <v>6.9444444444444441E-3</v>
      </c>
      <c r="N24" s="86">
        <f>L24/$I$1</f>
        <v>9.4492813709231595E-4</v>
      </c>
      <c r="O24" s="85">
        <f>DRUK!L89</f>
        <v>1.5335648148148147E-2</v>
      </c>
      <c r="P24" s="86">
        <f>DRUK!L90</f>
        <v>3.472222222222222E-3</v>
      </c>
      <c r="Q24" s="60"/>
      <c r="R24" s="57"/>
      <c r="S24" s="57"/>
    </row>
    <row r="25" spans="1:19">
      <c r="A25" s="200"/>
      <c r="B25" s="57"/>
      <c r="C25" s="68"/>
      <c r="D25" s="68"/>
      <c r="E25" s="68"/>
      <c r="F25" s="68"/>
      <c r="G25" s="283"/>
      <c r="H25" s="57"/>
      <c r="I25" s="57"/>
      <c r="J25" s="58"/>
      <c r="K25" s="58"/>
      <c r="L25" s="84"/>
      <c r="M25" s="84"/>
      <c r="N25" s="68"/>
      <c r="O25" s="84"/>
      <c r="P25" s="84"/>
      <c r="Q25" s="60"/>
      <c r="R25" s="57"/>
      <c r="S25" s="57"/>
    </row>
    <row r="26" spans="1:19" ht="16.5" thickBot="1">
      <c r="A26" s="200"/>
      <c r="B26" s="57"/>
      <c r="C26" s="68"/>
      <c r="D26" s="68"/>
      <c r="E26" s="68"/>
      <c r="F26" s="68"/>
      <c r="G26" s="196"/>
      <c r="H26" s="57"/>
      <c r="I26" s="57"/>
      <c r="J26" s="58"/>
      <c r="K26" s="58"/>
      <c r="L26" s="84"/>
      <c r="M26" s="84"/>
      <c r="N26" s="68"/>
      <c r="O26" s="84"/>
      <c r="P26" s="84"/>
      <c r="Q26" s="60"/>
      <c r="R26" s="57"/>
      <c r="S26" s="57"/>
    </row>
    <row r="27" spans="1:19" ht="44.25" customHeight="1" thickBot="1">
      <c r="A27" s="200"/>
      <c r="B27" s="57"/>
      <c r="C27" s="71" t="s">
        <v>738</v>
      </c>
      <c r="D27" s="77" t="s">
        <v>500</v>
      </c>
      <c r="E27" s="76" t="s">
        <v>501</v>
      </c>
      <c r="F27" s="78" t="s">
        <v>505</v>
      </c>
      <c r="G27" s="283"/>
      <c r="H27" s="57"/>
      <c r="I27" s="57"/>
      <c r="J27" s="464" t="s">
        <v>626</v>
      </c>
      <c r="K27" s="469"/>
      <c r="L27" s="464" t="s">
        <v>666</v>
      </c>
      <c r="M27" s="465"/>
      <c r="N27" s="466"/>
      <c r="O27" s="84"/>
      <c r="P27" s="84"/>
      <c r="Q27" s="60"/>
      <c r="R27" s="57"/>
      <c r="S27" s="57"/>
    </row>
    <row r="28" spans="1:19" ht="39.75" customHeight="1" thickBot="1">
      <c r="A28" s="200" t="b">
        <v>1</v>
      </c>
      <c r="B28" s="57"/>
      <c r="C28" s="64">
        <v>1</v>
      </c>
      <c r="D28" s="64">
        <v>600</v>
      </c>
      <c r="E28" s="64">
        <v>300</v>
      </c>
      <c r="F28" s="65" t="s">
        <v>507</v>
      </c>
      <c r="G28" s="196"/>
      <c r="H28" s="57"/>
      <c r="I28" s="57"/>
      <c r="J28" s="82" t="s">
        <v>1304</v>
      </c>
      <c r="K28" s="83" t="s">
        <v>1306</v>
      </c>
      <c r="L28" s="152" t="s">
        <v>1304</v>
      </c>
      <c r="M28" s="153" t="s">
        <v>1306</v>
      </c>
      <c r="N28" s="153" t="s">
        <v>1311</v>
      </c>
      <c r="O28" s="84"/>
      <c r="P28" s="84"/>
      <c r="Q28" s="60"/>
      <c r="R28" s="57"/>
      <c r="S28" s="57"/>
    </row>
    <row r="29" spans="1:19" ht="57" customHeight="1" thickBot="1">
      <c r="A29" s="200"/>
      <c r="B29" s="57"/>
      <c r="C29" s="79" t="s">
        <v>503</v>
      </c>
      <c r="D29" s="78" t="s">
        <v>510</v>
      </c>
      <c r="E29" s="78" t="s">
        <v>504</v>
      </c>
      <c r="F29" s="78" t="s">
        <v>508</v>
      </c>
      <c r="G29" s="283"/>
      <c r="H29" s="57"/>
      <c r="I29" s="57"/>
      <c r="J29" s="111">
        <f>IF(A2=A28,0,DRUK!T12)</f>
        <v>176.21077638888889</v>
      </c>
      <c r="K29" s="141">
        <f>IF(A2=A28,0,DRUK!T13)</f>
        <v>3.1666666666666665</v>
      </c>
      <c r="L29" s="85">
        <f>DRUK!S12</f>
        <v>0.19321357060185185</v>
      </c>
      <c r="M29" s="86">
        <f>DRUK!S13</f>
        <v>3.472222222222222E-3</v>
      </c>
      <c r="N29" s="86">
        <f>L29/$I$1</f>
        <v>1.9321357060185186E-3</v>
      </c>
      <c r="O29" s="84"/>
      <c r="P29" s="84"/>
      <c r="Q29" s="60"/>
      <c r="R29" s="57"/>
      <c r="S29" s="57"/>
    </row>
    <row r="30" spans="1:19" ht="63" customHeight="1" thickBot="1">
      <c r="A30" s="200"/>
      <c r="B30" s="57"/>
      <c r="C30" s="65" t="s">
        <v>506</v>
      </c>
      <c r="D30" s="65" t="s">
        <v>512</v>
      </c>
      <c r="E30" s="64">
        <v>130</v>
      </c>
      <c r="F30" s="75" t="s">
        <v>509</v>
      </c>
      <c r="G30" s="196"/>
      <c r="H30" s="57"/>
      <c r="I30" s="57"/>
      <c r="J30" s="59"/>
      <c r="K30" s="59"/>
      <c r="L30" s="84"/>
      <c r="M30" s="84"/>
      <c r="N30" s="68"/>
      <c r="O30" s="84"/>
      <c r="P30" s="84"/>
      <c r="Q30" s="60"/>
      <c r="R30" s="57"/>
      <c r="S30" s="57"/>
    </row>
    <row r="31" spans="1:19" ht="13.5" thickBot="1">
      <c r="A31" s="200"/>
      <c r="B31" s="57"/>
      <c r="C31" s="68"/>
      <c r="D31" s="68"/>
      <c r="E31" s="68"/>
      <c r="F31" s="68"/>
      <c r="G31" s="283"/>
      <c r="H31" s="57"/>
      <c r="I31" s="57"/>
      <c r="J31" s="58"/>
      <c r="K31" s="58"/>
      <c r="L31" s="84"/>
      <c r="M31" s="84"/>
      <c r="N31" s="68"/>
      <c r="O31" s="84"/>
      <c r="P31" s="84"/>
      <c r="Q31" s="60"/>
      <c r="R31" s="57"/>
      <c r="S31" s="57"/>
    </row>
    <row r="32" spans="1:19" ht="16.5" thickBot="1">
      <c r="A32" s="200"/>
      <c r="B32" s="57"/>
      <c r="C32" s="68"/>
      <c r="D32" s="68"/>
      <c r="E32" s="68"/>
      <c r="F32" s="68"/>
      <c r="G32" s="196"/>
      <c r="H32" s="57"/>
      <c r="I32" s="57"/>
      <c r="J32" s="464" t="s">
        <v>626</v>
      </c>
      <c r="K32" s="469"/>
      <c r="L32" s="464" t="s">
        <v>666</v>
      </c>
      <c r="M32" s="465"/>
      <c r="N32" s="466"/>
      <c r="O32" s="84"/>
      <c r="P32" s="84"/>
      <c r="Q32" s="60"/>
      <c r="R32" s="57"/>
      <c r="S32" s="57"/>
    </row>
    <row r="33" spans="1:19" ht="41.25" customHeight="1" thickBot="1">
      <c r="A33" s="200" t="b">
        <v>1</v>
      </c>
      <c r="B33" s="57"/>
      <c r="C33" s="78" t="s">
        <v>23</v>
      </c>
      <c r="D33" s="78" t="s">
        <v>901</v>
      </c>
      <c r="E33" s="78" t="s">
        <v>725</v>
      </c>
      <c r="F33" s="78" t="s">
        <v>900</v>
      </c>
      <c r="G33" s="283"/>
      <c r="H33" s="57"/>
      <c r="I33" s="57"/>
      <c r="J33" s="82" t="s">
        <v>1304</v>
      </c>
      <c r="K33" s="83" t="s">
        <v>1306</v>
      </c>
      <c r="L33" s="152" t="s">
        <v>1304</v>
      </c>
      <c r="M33" s="153" t="s">
        <v>1306</v>
      </c>
      <c r="N33" s="153" t="s">
        <v>1311</v>
      </c>
      <c r="O33" s="84"/>
      <c r="P33" s="84"/>
      <c r="Q33" s="60"/>
      <c r="R33" s="57"/>
      <c r="S33" s="57"/>
    </row>
    <row r="34" spans="1:19" ht="46.5" customHeight="1" thickBot="1">
      <c r="A34" s="200"/>
      <c r="B34" s="57"/>
      <c r="C34" s="75" t="s">
        <v>902</v>
      </c>
      <c r="D34" s="65" t="s">
        <v>903</v>
      </c>
      <c r="E34" s="64">
        <v>1</v>
      </c>
      <c r="F34" s="64">
        <v>1500</v>
      </c>
      <c r="G34" s="196"/>
      <c r="H34" s="57"/>
      <c r="I34" s="57"/>
      <c r="J34" s="111">
        <f>IF(A2=A33,0,DRUK!T39)</f>
        <v>99.999999999999986</v>
      </c>
      <c r="K34" s="141">
        <f>IF(A2=A33,0,DRUK!T40)</f>
        <v>20</v>
      </c>
      <c r="L34" s="85">
        <f>DRUK!S39</f>
        <v>6.9444444444444434E-2</v>
      </c>
      <c r="M34" s="86">
        <f>DRUK!S40</f>
        <v>1.3888888888888888E-2</v>
      </c>
      <c r="N34" s="86">
        <f>L34/$I$1</f>
        <v>6.9444444444444436E-4</v>
      </c>
      <c r="O34" s="84"/>
      <c r="P34" s="84"/>
      <c r="Q34" s="60"/>
      <c r="R34" s="57"/>
      <c r="S34" s="57"/>
    </row>
    <row r="35" spans="1:19" ht="17.25" customHeight="1">
      <c r="A35" s="200"/>
      <c r="B35" s="57"/>
      <c r="C35" s="87"/>
      <c r="D35" s="87"/>
      <c r="E35" s="87"/>
      <c r="F35" s="87"/>
      <c r="G35" s="283"/>
      <c r="H35" s="57"/>
      <c r="I35" s="57"/>
      <c r="J35" s="151"/>
      <c r="K35" s="151"/>
      <c r="L35" s="144"/>
      <c r="M35" s="144"/>
      <c r="N35" s="68"/>
      <c r="O35" s="84"/>
      <c r="P35" s="84"/>
      <c r="Q35" s="60"/>
      <c r="R35" s="57"/>
      <c r="S35" s="57"/>
    </row>
    <row r="36" spans="1:19" ht="17.25" customHeight="1">
      <c r="A36" s="200"/>
      <c r="B36" s="57"/>
      <c r="C36" s="87"/>
      <c r="D36" s="87"/>
      <c r="E36" s="87"/>
      <c r="F36" s="87"/>
      <c r="G36" s="196"/>
      <c r="H36" s="57"/>
      <c r="I36" s="57"/>
      <c r="J36" s="151"/>
      <c r="K36" s="151"/>
      <c r="L36" s="144"/>
      <c r="M36" s="144"/>
      <c r="N36" s="68"/>
      <c r="O36" s="84"/>
      <c r="P36" s="84"/>
      <c r="Q36" s="60"/>
      <c r="R36" s="57"/>
      <c r="S36" s="57"/>
    </row>
    <row r="37" spans="1:19" ht="17.25" customHeight="1" thickBot="1">
      <c r="A37" s="200"/>
      <c r="B37" s="57"/>
      <c r="C37" s="68"/>
      <c r="D37" s="68"/>
      <c r="E37" s="68"/>
      <c r="F37" s="68"/>
      <c r="G37" s="283"/>
      <c r="H37" s="57"/>
      <c r="I37" s="57"/>
      <c r="J37" s="60"/>
      <c r="K37" s="60"/>
      <c r="L37" s="84"/>
      <c r="M37" s="84"/>
      <c r="N37" s="68"/>
      <c r="O37" s="84"/>
      <c r="P37" s="84"/>
      <c r="Q37" s="60"/>
      <c r="R37" s="57"/>
      <c r="S37" s="57"/>
    </row>
    <row r="38" spans="1:19" ht="24" customHeight="1" thickBot="1">
      <c r="A38" s="200"/>
      <c r="B38" s="57"/>
      <c r="C38" s="68"/>
      <c r="D38" s="68"/>
      <c r="E38" s="68"/>
      <c r="F38" s="68"/>
      <c r="G38" s="196"/>
      <c r="H38" s="57"/>
      <c r="I38" s="57"/>
      <c r="J38" s="60"/>
      <c r="K38" s="60"/>
      <c r="L38" s="84"/>
      <c r="M38" s="84"/>
      <c r="N38" s="68"/>
      <c r="O38" s="464" t="s">
        <v>532</v>
      </c>
      <c r="P38" s="469"/>
      <c r="Q38" s="60"/>
      <c r="R38" s="57"/>
      <c r="S38" s="57"/>
    </row>
    <row r="39" spans="1:19" ht="24" customHeight="1" thickBot="1">
      <c r="A39" s="200"/>
      <c r="B39" s="57"/>
      <c r="C39" s="68"/>
      <c r="D39" s="68"/>
      <c r="E39" s="68"/>
      <c r="F39" s="68"/>
      <c r="G39" s="283"/>
      <c r="H39" s="57"/>
      <c r="I39" s="57"/>
      <c r="J39" s="464" t="s">
        <v>626</v>
      </c>
      <c r="K39" s="469"/>
      <c r="L39" s="464" t="s">
        <v>666</v>
      </c>
      <c r="M39" s="465"/>
      <c r="N39" s="466"/>
      <c r="O39" s="464" t="s">
        <v>533</v>
      </c>
      <c r="P39" s="469"/>
      <c r="Q39" s="60"/>
      <c r="R39" s="57"/>
      <c r="S39" s="57"/>
    </row>
    <row r="40" spans="1:19" ht="44.25" customHeight="1" thickBot="1">
      <c r="A40" s="200"/>
      <c r="B40" s="57"/>
      <c r="C40" s="71" t="s">
        <v>3</v>
      </c>
      <c r="D40" s="76" t="s">
        <v>725</v>
      </c>
      <c r="E40" s="71" t="s">
        <v>521</v>
      </c>
      <c r="F40" s="177"/>
      <c r="G40" s="196"/>
      <c r="H40" s="57"/>
      <c r="I40" s="57"/>
      <c r="J40" s="82" t="s">
        <v>1304</v>
      </c>
      <c r="K40" s="83" t="s">
        <v>1306</v>
      </c>
      <c r="L40" s="152" t="s">
        <v>1304</v>
      </c>
      <c r="M40" s="153" t="s">
        <v>1306</v>
      </c>
      <c r="N40" s="153" t="s">
        <v>1311</v>
      </c>
      <c r="O40" s="82" t="s">
        <v>1304</v>
      </c>
      <c r="P40" s="83" t="s">
        <v>1306</v>
      </c>
      <c r="Q40" s="60"/>
      <c r="R40" s="57"/>
      <c r="S40" s="57"/>
    </row>
    <row r="41" spans="1:19" ht="55.5" customHeight="1" thickBot="1">
      <c r="A41" s="200" t="b">
        <v>1</v>
      </c>
      <c r="B41" s="57"/>
      <c r="C41" s="65" t="s">
        <v>4</v>
      </c>
      <c r="D41" s="179">
        <v>1</v>
      </c>
      <c r="E41" s="64">
        <v>1</v>
      </c>
      <c r="F41" s="178"/>
      <c r="G41" s="283"/>
      <c r="H41" s="57"/>
      <c r="I41" s="57"/>
      <c r="J41" s="111">
        <f>IF(A2=A41,0,INTRO!G14+INTRO!G16)</f>
        <v>189.33333333333334</v>
      </c>
      <c r="K41" s="141">
        <f>IF(A2=A41,0,INTRO!G15+INTRO!G17)</f>
        <v>56.333333333333336</v>
      </c>
      <c r="L41" s="85">
        <f>INTRO!F14</f>
        <v>2.0833333333333336E-2</v>
      </c>
      <c r="M41" s="86">
        <f>INTRO!F15</f>
        <v>2.0833333333333332E-2</v>
      </c>
      <c r="N41" s="86">
        <f>L41/$I$1</f>
        <v>2.0833333333333335E-4</v>
      </c>
      <c r="O41" s="85">
        <f>INTRO!F16</f>
        <v>0.15277777777777779</v>
      </c>
      <c r="P41" s="86">
        <f>INTRO!F17</f>
        <v>6.9444444444444441E-3</v>
      </c>
      <c r="Q41" s="60"/>
      <c r="R41" s="57"/>
      <c r="S41" s="57"/>
    </row>
    <row r="42" spans="1:19" ht="43.5" customHeight="1" thickBot="1">
      <c r="A42" s="200"/>
      <c r="B42" s="57"/>
      <c r="C42" s="71" t="s">
        <v>525</v>
      </c>
      <c r="D42" s="71" t="s">
        <v>527</v>
      </c>
      <c r="E42" s="71" t="s">
        <v>526</v>
      </c>
      <c r="F42" s="178"/>
      <c r="G42" s="196"/>
      <c r="H42" s="57"/>
      <c r="I42" s="57"/>
      <c r="J42" s="60"/>
      <c r="K42" s="60"/>
      <c r="L42" s="84"/>
      <c r="M42" s="84"/>
      <c r="N42" s="68"/>
      <c r="O42" s="84"/>
      <c r="P42" s="84"/>
      <c r="Q42" s="60"/>
      <c r="R42" s="57"/>
      <c r="S42" s="57"/>
    </row>
    <row r="43" spans="1:19" ht="56.25" customHeight="1" thickBot="1">
      <c r="A43" s="200"/>
      <c r="B43" s="57"/>
      <c r="C43" s="65" t="s">
        <v>26</v>
      </c>
      <c r="D43" s="75" t="s">
        <v>1315</v>
      </c>
      <c r="E43" s="64">
        <v>30</v>
      </c>
      <c r="F43" s="178"/>
      <c r="G43" s="283"/>
      <c r="H43" s="57"/>
      <c r="I43" s="57"/>
      <c r="J43" s="60"/>
      <c r="K43" s="60"/>
      <c r="L43" s="84"/>
      <c r="M43" s="84"/>
      <c r="N43" s="68"/>
      <c r="O43" s="84"/>
      <c r="P43" s="84"/>
      <c r="Q43" s="60"/>
      <c r="R43" s="57"/>
      <c r="S43" s="57"/>
    </row>
    <row r="44" spans="1:19" ht="16.5" thickBot="1">
      <c r="A44" s="200"/>
      <c r="B44" s="57"/>
      <c r="C44" s="68"/>
      <c r="D44" s="68"/>
      <c r="E44" s="426"/>
      <c r="F44" s="426"/>
      <c r="G44" s="196"/>
      <c r="H44" s="57"/>
      <c r="I44" s="57"/>
      <c r="J44" s="60"/>
      <c r="K44" s="60"/>
      <c r="L44" s="84"/>
      <c r="M44" s="84"/>
      <c r="N44" s="68"/>
      <c r="O44" s="84"/>
      <c r="P44" s="84"/>
      <c r="Q44" s="60"/>
      <c r="R44" s="57"/>
      <c r="S44" s="57"/>
    </row>
    <row r="45" spans="1:19" ht="15.75" customHeight="1" thickBot="1">
      <c r="A45" s="200"/>
      <c r="B45" s="57"/>
      <c r="C45" s="68"/>
      <c r="D45" s="68"/>
      <c r="E45" s="426"/>
      <c r="F45" s="426"/>
      <c r="G45" s="283"/>
      <c r="H45" s="57"/>
      <c r="I45" s="57"/>
      <c r="J45" s="464" t="s">
        <v>626</v>
      </c>
      <c r="K45" s="469"/>
      <c r="L45" s="464" t="s">
        <v>666</v>
      </c>
      <c r="M45" s="465"/>
      <c r="N45" s="466"/>
      <c r="O45" s="84"/>
      <c r="P45" s="84"/>
      <c r="Q45" s="60"/>
      <c r="R45" s="57"/>
      <c r="S45" s="57"/>
    </row>
    <row r="46" spans="1:19" ht="44.25" customHeight="1" thickBot="1">
      <c r="A46" s="200"/>
      <c r="B46" s="57"/>
      <c r="C46" s="71" t="s">
        <v>3</v>
      </c>
      <c r="D46" s="71" t="s">
        <v>725</v>
      </c>
      <c r="E46" s="426"/>
      <c r="F46" s="426"/>
      <c r="G46" s="196"/>
      <c r="H46" s="57"/>
      <c r="I46" s="57"/>
      <c r="J46" s="82" t="s">
        <v>1304</v>
      </c>
      <c r="K46" s="83" t="s">
        <v>1306</v>
      </c>
      <c r="L46" s="152" t="s">
        <v>1304</v>
      </c>
      <c r="M46" s="153" t="s">
        <v>1306</v>
      </c>
      <c r="N46" s="153" t="s">
        <v>1311</v>
      </c>
      <c r="O46" s="84"/>
      <c r="P46" s="84"/>
      <c r="Q46" s="60"/>
      <c r="R46" s="57"/>
      <c r="S46" s="57"/>
    </row>
    <row r="47" spans="1:19" ht="56.25" customHeight="1" thickBot="1">
      <c r="A47" s="199" t="b">
        <v>1</v>
      </c>
      <c r="B47" s="57"/>
      <c r="C47" s="65" t="s">
        <v>5</v>
      </c>
      <c r="D47" s="64">
        <v>1</v>
      </c>
      <c r="E47" s="68"/>
      <c r="F47" s="68"/>
      <c r="G47" s="283"/>
      <c r="H47" s="57"/>
      <c r="I47" s="57"/>
      <c r="J47" s="111">
        <f>IF(A2=A47,0,INTRO!N9)</f>
        <v>25.972222222222221</v>
      </c>
      <c r="K47" s="141">
        <f>IF(A2=A47,0,INTRO!N10)</f>
        <v>27.5</v>
      </c>
      <c r="L47" s="85">
        <f>INTRO!M9</f>
        <v>1.9675925925925927E-2</v>
      </c>
      <c r="M47" s="86">
        <f>INTRO!M10</f>
        <v>2.0833333333333332E-2</v>
      </c>
      <c r="N47" s="86">
        <f>L47/$I$1</f>
        <v>1.9675925925925926E-4</v>
      </c>
      <c r="O47" s="84"/>
      <c r="P47" s="84"/>
      <c r="Q47" s="60"/>
      <c r="R47" s="57"/>
      <c r="S47" s="57"/>
    </row>
    <row r="48" spans="1:19" ht="56.25" customHeight="1" thickBot="1">
      <c r="A48" s="200"/>
      <c r="B48" s="57"/>
      <c r="C48" s="87"/>
      <c r="D48" s="87"/>
      <c r="E48" s="68"/>
      <c r="F48" s="68"/>
      <c r="G48" s="196"/>
      <c r="H48" s="57"/>
      <c r="I48" s="57"/>
      <c r="J48" s="145"/>
      <c r="K48" s="143"/>
      <c r="L48" s="144"/>
      <c r="M48" s="144"/>
      <c r="N48" s="68"/>
      <c r="O48" s="84"/>
      <c r="P48" s="84"/>
      <c r="Q48" s="60"/>
      <c r="R48" s="57"/>
      <c r="S48" s="57"/>
    </row>
    <row r="49" spans="1:19" ht="15.75" customHeight="1" thickBot="1">
      <c r="A49" s="200"/>
      <c r="B49" s="57"/>
      <c r="C49" s="68"/>
      <c r="D49" s="68"/>
      <c r="E49" s="68"/>
      <c r="F49" s="68"/>
      <c r="G49" s="283"/>
      <c r="H49" s="57"/>
      <c r="I49" s="57"/>
      <c r="J49" s="464" t="s">
        <v>626</v>
      </c>
      <c r="K49" s="469"/>
      <c r="L49" s="464" t="s">
        <v>666</v>
      </c>
      <c r="M49" s="465"/>
      <c r="N49" s="466"/>
      <c r="O49" s="84"/>
      <c r="P49" s="84"/>
      <c r="Q49" s="60"/>
      <c r="R49" s="57"/>
      <c r="S49" s="57"/>
    </row>
    <row r="50" spans="1:19" ht="43.5" customHeight="1" thickBot="1">
      <c r="A50" s="200"/>
      <c r="B50" s="57"/>
      <c r="C50" s="71" t="s">
        <v>624</v>
      </c>
      <c r="D50" s="71" t="s">
        <v>725</v>
      </c>
      <c r="E50" s="71" t="s">
        <v>538</v>
      </c>
      <c r="F50" s="68"/>
      <c r="G50" s="196"/>
      <c r="H50" s="62"/>
      <c r="I50" s="62"/>
      <c r="J50" s="82" t="s">
        <v>1304</v>
      </c>
      <c r="K50" s="83" t="s">
        <v>1306</v>
      </c>
      <c r="L50" s="152" t="s">
        <v>1304</v>
      </c>
      <c r="M50" s="153" t="s">
        <v>1306</v>
      </c>
      <c r="N50" s="153" t="s">
        <v>1311</v>
      </c>
      <c r="O50" s="84"/>
      <c r="P50" s="84"/>
      <c r="Q50" s="60"/>
      <c r="R50" s="57"/>
      <c r="S50" s="57"/>
    </row>
    <row r="51" spans="1:19" ht="49.5" customHeight="1" thickBot="1">
      <c r="A51" s="201" t="b">
        <v>1</v>
      </c>
      <c r="B51" s="57"/>
      <c r="C51" s="64">
        <v>10</v>
      </c>
      <c r="D51" s="64">
        <v>2</v>
      </c>
      <c r="E51" s="65" t="s">
        <v>536</v>
      </c>
      <c r="F51" s="68"/>
      <c r="G51" s="283"/>
      <c r="H51" s="98"/>
      <c r="I51" s="98"/>
      <c r="J51" s="111" t="e">
        <f>IF(A2=A51,0,INTRO!X17)</f>
        <v>#VALUE!</v>
      </c>
      <c r="K51" s="141">
        <f>IF(A2=A51,0,INTRO!X18)</f>
        <v>13.75</v>
      </c>
      <c r="L51" s="85" t="e">
        <f>INTRO!W17</f>
        <v>#VALUE!</v>
      </c>
      <c r="M51" s="86">
        <f>INTRO!W18</f>
        <v>1.0416666666666666E-2</v>
      </c>
      <c r="N51" s="86" t="e">
        <f>L51/$I$1</f>
        <v>#VALUE!</v>
      </c>
      <c r="O51" s="84"/>
      <c r="P51" s="84"/>
      <c r="Q51" s="60"/>
      <c r="R51" s="57"/>
      <c r="S51" s="57"/>
    </row>
    <row r="52" spans="1:19" ht="49.5" customHeight="1" thickBot="1">
      <c r="A52" s="201"/>
      <c r="B52" s="57"/>
      <c r="C52" s="87"/>
      <c r="D52" s="87"/>
      <c r="E52" s="87"/>
      <c r="F52" s="68"/>
      <c r="G52" s="196"/>
      <c r="H52" s="98"/>
      <c r="I52" s="98"/>
      <c r="J52" s="151"/>
      <c r="K52" s="151"/>
      <c r="L52" s="421"/>
      <c r="M52" s="144"/>
      <c r="N52" s="68"/>
      <c r="O52" s="84"/>
      <c r="P52" s="84"/>
      <c r="Q52" s="60"/>
      <c r="R52" s="57"/>
      <c r="S52" s="57"/>
    </row>
    <row r="53" spans="1:19" ht="28.5" customHeight="1" thickBot="1">
      <c r="A53" s="201"/>
      <c r="B53" s="57"/>
      <c r="C53" s="68"/>
      <c r="D53" s="87"/>
      <c r="E53" s="87"/>
      <c r="F53" s="68"/>
      <c r="G53" s="283"/>
      <c r="H53" s="59"/>
      <c r="I53" s="59"/>
      <c r="J53" s="470" t="s">
        <v>626</v>
      </c>
      <c r="K53" s="471"/>
      <c r="L53" s="464" t="s">
        <v>666</v>
      </c>
      <c r="M53" s="465"/>
      <c r="N53" s="466"/>
      <c r="O53" s="84"/>
      <c r="P53" s="84"/>
      <c r="Q53" s="60"/>
      <c r="R53" s="57"/>
      <c r="S53" s="57"/>
    </row>
    <row r="54" spans="1:19" ht="15.75" customHeight="1" thickBot="1">
      <c r="A54" s="200"/>
      <c r="B54" s="57"/>
      <c r="C54" s="68"/>
      <c r="D54" s="68"/>
      <c r="E54" s="68"/>
      <c r="F54" s="68"/>
      <c r="G54" s="196"/>
      <c r="H54" s="57"/>
      <c r="I54" s="57"/>
      <c r="J54" s="472"/>
      <c r="K54" s="473"/>
      <c r="L54" s="464" t="s">
        <v>609</v>
      </c>
      <c r="M54" s="465"/>
      <c r="N54" s="466"/>
      <c r="O54" s="68"/>
      <c r="P54" s="68"/>
      <c r="Q54" s="57"/>
      <c r="R54" s="57"/>
      <c r="S54" s="57"/>
    </row>
    <row r="55" spans="1:19" ht="41.25" customHeight="1" thickBot="1">
      <c r="A55" s="200"/>
      <c r="B55" s="57"/>
      <c r="C55" s="71" t="s">
        <v>725</v>
      </c>
      <c r="D55" s="71" t="s">
        <v>607</v>
      </c>
      <c r="E55" s="68"/>
      <c r="F55" s="68"/>
      <c r="G55" s="283"/>
      <c r="H55" s="57"/>
      <c r="I55" s="57"/>
      <c r="J55" s="82" t="s">
        <v>1304</v>
      </c>
      <c r="K55" s="83" t="s">
        <v>1306</v>
      </c>
      <c r="L55" s="152" t="s">
        <v>1304</v>
      </c>
      <c r="M55" s="153" t="s">
        <v>1306</v>
      </c>
      <c r="N55" s="153" t="s">
        <v>1311</v>
      </c>
      <c r="O55" s="68"/>
      <c r="P55" s="68"/>
      <c r="Q55" s="57"/>
      <c r="R55" s="57"/>
      <c r="S55" s="57"/>
    </row>
    <row r="56" spans="1:19" ht="45.75" customHeight="1" thickBot="1">
      <c r="A56" s="199" t="b">
        <v>1</v>
      </c>
      <c r="B56" s="57"/>
      <c r="C56" s="64">
        <v>1</v>
      </c>
      <c r="D56" s="64">
        <v>2</v>
      </c>
      <c r="E56" s="68"/>
      <c r="F56" s="68"/>
      <c r="G56" s="196"/>
      <c r="H56" s="63"/>
      <c r="I56" s="63"/>
      <c r="J56" s="111">
        <f>IF(A2=A56,0,DREWNO!F5)</f>
        <v>105.55555555555556</v>
      </c>
      <c r="K56" s="141">
        <f>IF(A2=A56,0,DREWNO!F6)</f>
        <v>31.666666666666664</v>
      </c>
      <c r="L56" s="85">
        <f>DREWNO!E5</f>
        <v>4.6296296296296294E-2</v>
      </c>
      <c r="M56" s="86">
        <f>DREWNO!E6</f>
        <v>1.3888888888888888E-2</v>
      </c>
      <c r="N56" s="86">
        <f>L56/$I$1</f>
        <v>4.6296296296296293E-4</v>
      </c>
      <c r="O56" s="68"/>
      <c r="P56" s="68"/>
      <c r="Q56" s="57"/>
      <c r="R56" s="57"/>
      <c r="S56" s="57"/>
    </row>
    <row r="57" spans="1:19" ht="45.75" customHeight="1" thickBot="1">
      <c r="A57" s="199"/>
      <c r="B57" s="57"/>
      <c r="C57" s="87"/>
      <c r="D57" s="87"/>
      <c r="E57" s="68"/>
      <c r="F57" s="68"/>
      <c r="G57" s="283"/>
      <c r="H57" s="63"/>
      <c r="I57" s="63"/>
      <c r="J57" s="151"/>
      <c r="K57" s="151"/>
      <c r="L57" s="144"/>
      <c r="M57" s="144"/>
      <c r="N57" s="68"/>
      <c r="O57" s="68"/>
      <c r="P57" s="68"/>
      <c r="Q57" s="57"/>
      <c r="R57" s="57"/>
      <c r="S57" s="57"/>
    </row>
    <row r="58" spans="1:19" ht="16.5" thickBot="1">
      <c r="A58" s="199"/>
      <c r="B58" s="57"/>
      <c r="C58" s="87"/>
      <c r="D58" s="87"/>
      <c r="E58" s="68"/>
      <c r="F58" s="68"/>
      <c r="G58" s="196"/>
      <c r="H58" s="63"/>
      <c r="I58" s="63"/>
      <c r="J58" s="464" t="s">
        <v>626</v>
      </c>
      <c r="K58" s="469"/>
      <c r="L58" s="464" t="s">
        <v>666</v>
      </c>
      <c r="M58" s="465"/>
      <c r="N58" s="466"/>
      <c r="O58" s="68"/>
      <c r="P58" s="68"/>
      <c r="Q58" s="57"/>
      <c r="R58" s="57"/>
      <c r="S58" s="57"/>
    </row>
    <row r="59" spans="1:19" ht="45.75" customHeight="1" thickBot="1">
      <c r="A59" s="200" t="b">
        <v>1</v>
      </c>
      <c r="B59" s="57"/>
      <c r="C59" s="71" t="s">
        <v>725</v>
      </c>
      <c r="D59" s="71" t="s">
        <v>607</v>
      </c>
      <c r="E59" s="71" t="s">
        <v>2</v>
      </c>
      <c r="F59" s="68"/>
      <c r="G59" s="283"/>
      <c r="H59" s="63"/>
      <c r="I59" s="63"/>
      <c r="J59" s="82" t="s">
        <v>1304</v>
      </c>
      <c r="K59" s="83" t="s">
        <v>1306</v>
      </c>
      <c r="L59" s="152" t="s">
        <v>1304</v>
      </c>
      <c r="M59" s="153" t="s">
        <v>1306</v>
      </c>
      <c r="N59" s="153" t="s">
        <v>1311</v>
      </c>
      <c r="O59" s="68"/>
      <c r="P59" s="68"/>
      <c r="Q59" s="57"/>
      <c r="R59" s="57"/>
      <c r="S59" s="57"/>
    </row>
    <row r="60" spans="1:19" ht="45.75" customHeight="1" thickBot="1">
      <c r="A60" s="199"/>
      <c r="B60" s="57"/>
      <c r="C60" s="64">
        <v>1</v>
      </c>
      <c r="D60" s="64">
        <v>1</v>
      </c>
      <c r="E60" s="64">
        <v>1</v>
      </c>
      <c r="F60" s="68"/>
      <c r="G60" s="196"/>
      <c r="H60" s="63"/>
      <c r="I60" s="63"/>
      <c r="J60" s="111">
        <f>IF(A2=A59,0,DREWNO!F25)</f>
        <v>56.388888888888886</v>
      </c>
      <c r="K60" s="141">
        <f>IF(A2=A59,0,DREWNO!F26)</f>
        <v>11.666666666666666</v>
      </c>
      <c r="L60" s="85">
        <f>DREWNO!E25</f>
        <v>3.3564814814814811E-2</v>
      </c>
      <c r="M60" s="86">
        <f>DREWNO!E26</f>
        <v>6.9444444444444441E-3</v>
      </c>
      <c r="N60" s="86">
        <f>L60/$I$1</f>
        <v>3.3564814814814812E-4</v>
      </c>
      <c r="O60" s="68"/>
      <c r="P60" s="68"/>
      <c r="Q60" s="57"/>
      <c r="R60" s="57"/>
      <c r="S60" s="57"/>
    </row>
    <row r="61" spans="1:19" ht="22.5" customHeight="1">
      <c r="A61" s="199"/>
      <c r="B61" s="57"/>
      <c r="C61" s="87"/>
      <c r="D61" s="87"/>
      <c r="E61" s="68"/>
      <c r="F61" s="68"/>
      <c r="G61" s="283"/>
      <c r="H61" s="63"/>
      <c r="I61" s="63"/>
      <c r="J61" s="151"/>
      <c r="K61" s="151"/>
      <c r="L61" s="144"/>
      <c r="M61" s="144"/>
      <c r="N61" s="68"/>
      <c r="O61" s="68"/>
      <c r="P61" s="68"/>
      <c r="Q61" s="57"/>
      <c r="R61" s="57"/>
      <c r="S61" s="57"/>
    </row>
    <row r="62" spans="1:19" ht="16.5" thickBot="1">
      <c r="A62" s="200"/>
      <c r="B62" s="57"/>
      <c r="C62" s="68"/>
      <c r="D62" s="68"/>
      <c r="E62" s="68"/>
      <c r="F62" s="68"/>
      <c r="G62" s="196"/>
      <c r="H62" s="57"/>
      <c r="I62" s="57"/>
      <c r="J62" s="57"/>
      <c r="K62" s="57"/>
      <c r="L62" s="68"/>
      <c r="M62" s="68"/>
      <c r="N62" s="68"/>
      <c r="O62" s="68"/>
      <c r="P62" s="68"/>
      <c r="Q62" s="57"/>
      <c r="R62" s="57"/>
      <c r="S62" s="57"/>
    </row>
    <row r="63" spans="1:19" ht="15.75" customHeight="1" thickBot="1">
      <c r="A63" s="200"/>
      <c r="B63" s="57"/>
      <c r="C63" s="68"/>
      <c r="D63" s="68"/>
      <c r="E63" s="68"/>
      <c r="F63" s="68"/>
      <c r="G63" s="283"/>
      <c r="H63" s="57"/>
      <c r="I63" s="57"/>
      <c r="J63" s="464" t="s">
        <v>626</v>
      </c>
      <c r="K63" s="469"/>
      <c r="L63" s="464" t="s">
        <v>666</v>
      </c>
      <c r="M63" s="465"/>
      <c r="N63" s="466"/>
      <c r="O63" s="68"/>
      <c r="P63" s="68"/>
      <c r="Q63" s="57"/>
      <c r="R63" s="57"/>
      <c r="S63" s="57"/>
    </row>
    <row r="64" spans="1:19" ht="40.5" customHeight="1" thickBot="1">
      <c r="A64" s="200" t="b">
        <v>1</v>
      </c>
      <c r="B64" s="57"/>
      <c r="C64" s="71" t="s">
        <v>725</v>
      </c>
      <c r="D64" s="71" t="s">
        <v>624</v>
      </c>
      <c r="E64" s="68"/>
      <c r="F64" s="68"/>
      <c r="G64" s="196"/>
      <c r="H64" s="57"/>
      <c r="I64" s="57"/>
      <c r="J64" s="82" t="s">
        <v>1304</v>
      </c>
      <c r="K64" s="83" t="s">
        <v>1306</v>
      </c>
      <c r="L64" s="152" t="s">
        <v>1304</v>
      </c>
      <c r="M64" s="153" t="s">
        <v>1306</v>
      </c>
      <c r="N64" s="153" t="s">
        <v>1311</v>
      </c>
      <c r="O64" s="68"/>
      <c r="P64" s="68"/>
      <c r="Q64" s="57"/>
      <c r="R64" s="57"/>
      <c r="S64" s="57"/>
    </row>
    <row r="65" spans="1:19" ht="37.5" customHeight="1" thickBot="1">
      <c r="A65" s="200"/>
      <c r="B65" s="57"/>
      <c r="C65" s="64">
        <v>1</v>
      </c>
      <c r="D65" s="64">
        <v>2</v>
      </c>
      <c r="E65" s="68"/>
      <c r="F65" s="68"/>
      <c r="G65" s="283"/>
      <c r="H65" s="57"/>
      <c r="I65" s="57"/>
      <c r="J65" s="111">
        <f>IF(A2=A64,0,DREWNO!L6)</f>
        <v>201.38888888888889</v>
      </c>
      <c r="K65" s="141">
        <f>IF(A2=A64,0,DREWNO!L7)</f>
        <v>16.666666666666664</v>
      </c>
      <c r="L65" s="85">
        <f>DREWNO!K6</f>
        <v>8.3912037037037035E-2</v>
      </c>
      <c r="M65" s="86">
        <f>DREWNO!K7</f>
        <v>6.9444444444444441E-3</v>
      </c>
      <c r="N65" s="86">
        <f>L65/$I$1</f>
        <v>8.3912037037037039E-4</v>
      </c>
      <c r="O65" s="68"/>
      <c r="P65" s="68"/>
      <c r="Q65" s="57"/>
      <c r="R65" s="57"/>
      <c r="S65" s="57"/>
    </row>
    <row r="66" spans="1:19" ht="15.75">
      <c r="A66" s="200"/>
      <c r="B66" s="57"/>
      <c r="C66" s="68"/>
      <c r="D66" s="68"/>
      <c r="E66" s="68"/>
      <c r="F66" s="68"/>
      <c r="G66" s="196"/>
      <c r="H66" s="57"/>
      <c r="I66" s="57"/>
      <c r="J66" s="57"/>
      <c r="K66" s="57"/>
      <c r="L66" s="68"/>
      <c r="M66" s="68"/>
      <c r="N66" s="68"/>
      <c r="O66" s="68"/>
      <c r="P66" s="68"/>
      <c r="Q66" s="57"/>
      <c r="R66" s="57"/>
      <c r="S66" s="57"/>
    </row>
    <row r="67" spans="1:19" ht="13.5" thickBot="1">
      <c r="A67" s="200"/>
      <c r="B67" s="57"/>
      <c r="C67" s="68"/>
      <c r="D67" s="68"/>
      <c r="E67" s="68"/>
      <c r="F67" s="68"/>
      <c r="G67" s="283"/>
      <c r="H67" s="57"/>
      <c r="I67" s="57"/>
      <c r="J67" s="57"/>
      <c r="K67" s="57"/>
      <c r="L67" s="68"/>
      <c r="M67" s="68"/>
      <c r="N67" s="68"/>
      <c r="O67" s="68"/>
      <c r="P67" s="68"/>
      <c r="Q67" s="57"/>
      <c r="R67" s="57"/>
      <c r="S67" s="57"/>
    </row>
    <row r="68" spans="1:19" ht="16.5" thickBot="1">
      <c r="A68" s="200"/>
      <c r="B68" s="57"/>
      <c r="C68" s="68"/>
      <c r="D68" s="68"/>
      <c r="E68" s="68"/>
      <c r="F68" s="68"/>
      <c r="G68" s="196"/>
      <c r="H68" s="57"/>
      <c r="I68" s="57"/>
      <c r="J68" s="464" t="s">
        <v>626</v>
      </c>
      <c r="K68" s="469"/>
      <c r="L68" s="464" t="s">
        <v>666</v>
      </c>
      <c r="M68" s="465"/>
      <c r="N68" s="466"/>
      <c r="O68" s="68"/>
      <c r="P68" s="68"/>
      <c r="Q68" s="57"/>
      <c r="R68" s="57"/>
      <c r="S68" s="57"/>
    </row>
    <row r="69" spans="1:19" ht="34.5" customHeight="1" thickBot="1">
      <c r="A69" s="200" t="b">
        <v>1</v>
      </c>
      <c r="B69" s="57"/>
      <c r="C69" s="71" t="s">
        <v>725</v>
      </c>
      <c r="D69" s="71" t="s">
        <v>683</v>
      </c>
      <c r="E69" s="68"/>
      <c r="F69" s="68"/>
      <c r="G69" s="283"/>
      <c r="H69" s="57"/>
      <c r="I69" s="57"/>
      <c r="J69" s="82" t="s">
        <v>1304</v>
      </c>
      <c r="K69" s="83" t="s">
        <v>1306</v>
      </c>
      <c r="L69" s="152" t="s">
        <v>1304</v>
      </c>
      <c r="M69" s="153" t="s">
        <v>1306</v>
      </c>
      <c r="N69" s="153" t="s">
        <v>1311</v>
      </c>
      <c r="O69" s="68"/>
      <c r="P69" s="68"/>
      <c r="Q69" s="57"/>
      <c r="R69" s="57"/>
      <c r="S69" s="57"/>
    </row>
    <row r="70" spans="1:19" ht="38.25" customHeight="1" thickBot="1">
      <c r="A70" s="200"/>
      <c r="B70" s="57"/>
      <c r="C70" s="64">
        <v>1</v>
      </c>
      <c r="D70" s="64">
        <v>8000</v>
      </c>
      <c r="E70" s="68"/>
      <c r="F70" s="68"/>
      <c r="G70" s="196"/>
      <c r="H70" s="57"/>
      <c r="I70" s="57"/>
      <c r="J70" s="111">
        <f>IF(A2=A69,0,DREWNO!L29)</f>
        <v>266.66666666666663</v>
      </c>
      <c r="K70" s="141">
        <f>IF(A2=A69,0,DREWNO!L30)</f>
        <v>33.333333333333329</v>
      </c>
      <c r="L70" s="85">
        <f>DREWNO!K29</f>
        <v>0.1111111111111111</v>
      </c>
      <c r="M70" s="86">
        <f>DREWNO!K30</f>
        <v>1.3888888888888888E-2</v>
      </c>
      <c r="N70" s="86">
        <f>L70/$I$1</f>
        <v>1.1111111111111111E-3</v>
      </c>
      <c r="O70" s="68"/>
      <c r="P70" s="68"/>
      <c r="Q70" s="57"/>
      <c r="R70" s="57"/>
      <c r="S70" s="57"/>
    </row>
    <row r="71" spans="1:19">
      <c r="A71" s="200"/>
      <c r="B71" s="57"/>
      <c r="C71" s="68"/>
      <c r="D71" s="68"/>
      <c r="E71" s="68"/>
      <c r="F71" s="68"/>
      <c r="G71" s="283"/>
      <c r="H71" s="57"/>
      <c r="I71" s="57"/>
      <c r="J71" s="57"/>
      <c r="K71" s="57"/>
      <c r="L71" s="68"/>
      <c r="M71" s="68"/>
      <c r="N71" s="68"/>
      <c r="O71" s="68"/>
      <c r="P71" s="68"/>
      <c r="Q71" s="57"/>
      <c r="R71" s="57"/>
      <c r="S71" s="57"/>
    </row>
    <row r="72" spans="1:19" ht="16.5" thickBot="1">
      <c r="A72" s="200"/>
      <c r="B72" s="57"/>
      <c r="C72" s="68"/>
      <c r="D72" s="68"/>
      <c r="E72" s="68"/>
      <c r="F72" s="68"/>
      <c r="G72" s="196"/>
      <c r="H72" s="57"/>
      <c r="I72" s="57"/>
      <c r="J72" s="57"/>
      <c r="K72" s="57"/>
      <c r="L72" s="68"/>
      <c r="M72" s="68"/>
      <c r="N72" s="68"/>
      <c r="O72" s="68"/>
      <c r="P72" s="68"/>
      <c r="Q72" s="57"/>
      <c r="R72" s="57"/>
      <c r="S72" s="57"/>
    </row>
    <row r="73" spans="1:19" ht="24.75" customHeight="1" thickBot="1">
      <c r="A73" s="200"/>
      <c r="B73" s="57"/>
      <c r="C73" s="68"/>
      <c r="D73" s="68"/>
      <c r="E73" s="68"/>
      <c r="F73" s="68"/>
      <c r="G73" s="283"/>
      <c r="H73" s="57"/>
      <c r="I73" s="57"/>
      <c r="J73" s="58"/>
      <c r="K73" s="58"/>
      <c r="L73" s="84"/>
      <c r="M73" s="84"/>
      <c r="N73" s="68"/>
      <c r="O73" s="464" t="s">
        <v>695</v>
      </c>
      <c r="P73" s="465"/>
      <c r="Q73" s="465"/>
      <c r="R73" s="466"/>
      <c r="S73" s="57"/>
    </row>
    <row r="74" spans="1:19" ht="31.5" customHeight="1" thickBot="1">
      <c r="A74" s="200"/>
      <c r="B74" s="57"/>
      <c r="C74" s="68"/>
      <c r="D74" s="68"/>
      <c r="E74" s="68"/>
      <c r="F74" s="68"/>
      <c r="G74" s="196"/>
      <c r="H74" s="57"/>
      <c r="I74" s="57"/>
      <c r="J74" s="464" t="s">
        <v>626</v>
      </c>
      <c r="K74" s="469"/>
      <c r="L74" s="464" t="s">
        <v>700</v>
      </c>
      <c r="M74" s="465"/>
      <c r="N74" s="466"/>
      <c r="O74" s="464" t="s">
        <v>699</v>
      </c>
      <c r="P74" s="465"/>
      <c r="Q74" s="465"/>
      <c r="R74" s="466"/>
      <c r="S74" s="57"/>
    </row>
    <row r="75" spans="1:19" ht="36.75" customHeight="1" thickBot="1">
      <c r="A75" s="200" t="b">
        <v>1</v>
      </c>
      <c r="B75" s="57"/>
      <c r="C75" s="71" t="s">
        <v>725</v>
      </c>
      <c r="D75" s="71" t="s">
        <v>683</v>
      </c>
      <c r="E75" s="71" t="s">
        <v>684</v>
      </c>
      <c r="F75" s="68"/>
      <c r="G75" s="283"/>
      <c r="H75" s="57"/>
      <c r="I75" s="57"/>
      <c r="J75" s="82" t="s">
        <v>1304</v>
      </c>
      <c r="K75" s="83" t="s">
        <v>1306</v>
      </c>
      <c r="L75" s="152" t="s">
        <v>1304</v>
      </c>
      <c r="M75" s="153" t="s">
        <v>1306</v>
      </c>
      <c r="N75" s="153" t="s">
        <v>1311</v>
      </c>
      <c r="O75" s="82" t="s">
        <v>1307</v>
      </c>
      <c r="P75" s="83" t="s">
        <v>1308</v>
      </c>
      <c r="Q75" s="82" t="s">
        <v>1309</v>
      </c>
      <c r="R75" s="83" t="s">
        <v>1310</v>
      </c>
      <c r="S75" s="57"/>
    </row>
    <row r="76" spans="1:19" ht="36.75" customHeight="1" thickBot="1">
      <c r="A76" s="200"/>
      <c r="B76" s="57"/>
      <c r="C76" s="64">
        <v>1</v>
      </c>
      <c r="D76" s="64">
        <v>2300</v>
      </c>
      <c r="E76" s="64">
        <v>1</v>
      </c>
      <c r="F76" s="68"/>
      <c r="G76" s="196"/>
      <c r="H76" s="57"/>
      <c r="I76" s="57"/>
      <c r="J76" s="111">
        <f>IF(A2=A75,0,DREWNO!L49)</f>
        <v>427.9513888888888</v>
      </c>
      <c r="K76" s="141">
        <f>IF(A2=A75,0,DREWNO!L50)</f>
        <v>17</v>
      </c>
      <c r="L76" s="85">
        <f>DREWNO!K49</f>
        <v>0.20978009259259256</v>
      </c>
      <c r="M76" s="86">
        <f>DREWNO!L50</f>
        <v>17</v>
      </c>
      <c r="N76" s="86">
        <f>L76/$I$1</f>
        <v>2.0978009259259257E-3</v>
      </c>
      <c r="O76" s="85">
        <f>DREWNO!K54</f>
        <v>0.15972222222222221</v>
      </c>
      <c r="P76" s="86">
        <f>DREWNO!K55</f>
        <v>2.0833333333333332E-2</v>
      </c>
      <c r="Q76" s="85">
        <f>DREWNO!L54</f>
        <v>0.15787037037037038</v>
      </c>
      <c r="R76" s="86">
        <f>DREWNO!L55</f>
        <v>3.472222222222222E-3</v>
      </c>
      <c r="S76" s="57"/>
    </row>
    <row r="77" spans="1:19">
      <c r="A77" s="200"/>
      <c r="B77" s="57"/>
      <c r="C77" s="68"/>
      <c r="D77" s="68"/>
      <c r="E77" s="68"/>
      <c r="F77" s="68"/>
      <c r="G77" s="283"/>
      <c r="H77" s="57"/>
      <c r="I77" s="57"/>
      <c r="J77" s="57"/>
      <c r="K77" s="57"/>
      <c r="L77" s="68"/>
      <c r="M77" s="68"/>
      <c r="N77" s="68"/>
      <c r="O77" s="68"/>
      <c r="P77" s="68"/>
      <c r="Q77" s="57"/>
      <c r="R77" s="57"/>
      <c r="S77" s="57"/>
    </row>
    <row r="78" spans="1:19" ht="16.5" thickBot="1">
      <c r="A78" s="200"/>
      <c r="B78" s="57"/>
      <c r="C78" s="68"/>
      <c r="D78" s="68"/>
      <c r="E78" s="68"/>
      <c r="F78" s="68"/>
      <c r="G78" s="196"/>
      <c r="H78" s="57"/>
      <c r="I78" s="57"/>
      <c r="J78" s="57"/>
      <c r="K78" s="57"/>
      <c r="L78" s="68"/>
      <c r="M78" s="68"/>
      <c r="N78" s="68"/>
      <c r="O78" s="220"/>
      <c r="P78" s="220"/>
      <c r="Q78" s="57"/>
      <c r="R78" s="57"/>
      <c r="S78" s="57"/>
    </row>
    <row r="79" spans="1:19" ht="15.75" customHeight="1" thickBot="1">
      <c r="A79" s="200"/>
      <c r="B79" s="57"/>
      <c r="C79" s="68"/>
      <c r="D79" s="68"/>
      <c r="E79" s="68"/>
      <c r="F79" s="68"/>
      <c r="G79" s="283"/>
      <c r="H79" s="57"/>
      <c r="I79" s="57"/>
      <c r="J79" s="464" t="s">
        <v>626</v>
      </c>
      <c r="K79" s="469"/>
      <c r="L79" s="464" t="s">
        <v>700</v>
      </c>
      <c r="M79" s="465"/>
      <c r="N79" s="466"/>
      <c r="O79" s="220"/>
      <c r="P79" s="220"/>
      <c r="Q79" s="57"/>
      <c r="R79" s="57"/>
      <c r="S79" s="57"/>
    </row>
    <row r="80" spans="1:19" ht="45" customHeight="1" thickBot="1">
      <c r="A80" s="222" t="b">
        <v>1</v>
      </c>
      <c r="B80" s="57"/>
      <c r="C80" s="71" t="s">
        <v>357</v>
      </c>
      <c r="D80" s="71" t="s">
        <v>725</v>
      </c>
      <c r="E80" s="71" t="s">
        <v>724</v>
      </c>
      <c r="F80" s="68"/>
      <c r="G80" s="196"/>
      <c r="H80" s="57"/>
      <c r="I80" s="57"/>
      <c r="J80" s="82" t="s">
        <v>1304</v>
      </c>
      <c r="K80" s="83" t="s">
        <v>1306</v>
      </c>
      <c r="L80" s="152" t="s">
        <v>1304</v>
      </c>
      <c r="M80" s="153" t="s">
        <v>1306</v>
      </c>
      <c r="N80" s="153" t="s">
        <v>1311</v>
      </c>
      <c r="O80" s="219"/>
      <c r="P80" s="219"/>
      <c r="Q80" s="57"/>
      <c r="R80" s="57"/>
      <c r="S80" s="57"/>
    </row>
    <row r="81" spans="1:19" ht="42" customHeight="1" thickBot="1">
      <c r="A81" s="200"/>
      <c r="B81" s="57"/>
      <c r="C81" s="65" t="s">
        <v>726</v>
      </c>
      <c r="D81" s="64">
        <v>1</v>
      </c>
      <c r="E81" s="64">
        <v>1500</v>
      </c>
      <c r="F81" s="68"/>
      <c r="G81" s="283"/>
      <c r="H81" s="57"/>
      <c r="I81" s="57"/>
      <c r="J81" s="111">
        <f>IF(A2=A80,0,DREWNO!E52)</f>
        <v>134.58333333333334</v>
      </c>
      <c r="K81" s="141">
        <f>IF(A2=A80,0,DREWNO!E53)</f>
        <v>14.166666666666668</v>
      </c>
      <c r="L81" s="85">
        <f>DREWNO!D52</f>
        <v>6.5972222222222224E-2</v>
      </c>
      <c r="M81" s="86">
        <f>DREWNO!D53</f>
        <v>6.9444444444444441E-3</v>
      </c>
      <c r="N81" s="86">
        <f>L81/$I$1</f>
        <v>6.5972222222222224E-4</v>
      </c>
      <c r="O81" s="144"/>
      <c r="P81" s="144"/>
      <c r="Q81" s="57"/>
      <c r="R81" s="57"/>
      <c r="S81" s="57"/>
    </row>
    <row r="82" spans="1:19" ht="16.5" thickBot="1">
      <c r="A82" s="200"/>
      <c r="B82" s="57"/>
      <c r="C82" s="68"/>
      <c r="D82" s="68"/>
      <c r="E82" s="68"/>
      <c r="F82" s="68"/>
      <c r="G82" s="196"/>
      <c r="H82" s="57"/>
      <c r="I82" s="57"/>
      <c r="J82" s="57"/>
      <c r="K82" s="57"/>
      <c r="L82" s="68"/>
      <c r="M82" s="68"/>
      <c r="N82" s="68"/>
      <c r="O82" s="68"/>
      <c r="P82" s="68"/>
      <c r="Q82" s="57"/>
      <c r="R82" s="57"/>
      <c r="S82" s="57"/>
    </row>
    <row r="83" spans="1:19" ht="15.75" customHeight="1" thickBot="1">
      <c r="A83" s="200"/>
      <c r="B83" s="57"/>
      <c r="C83" s="68"/>
      <c r="D83" s="68"/>
      <c r="E83" s="68"/>
      <c r="F83" s="68"/>
      <c r="G83" s="283"/>
      <c r="H83" s="57"/>
      <c r="I83" s="57"/>
      <c r="J83" s="464" t="s">
        <v>626</v>
      </c>
      <c r="K83" s="469"/>
      <c r="L83" s="464" t="s">
        <v>666</v>
      </c>
      <c r="M83" s="465"/>
      <c r="N83" s="466"/>
      <c r="O83" s="68"/>
      <c r="P83" s="68"/>
      <c r="Q83" s="57"/>
      <c r="R83" s="57"/>
      <c r="S83" s="57"/>
    </row>
    <row r="84" spans="1:19" ht="49.5" customHeight="1" thickBot="1">
      <c r="A84" s="200" t="b">
        <v>1</v>
      </c>
      <c r="B84" s="57"/>
      <c r="C84" s="71" t="s">
        <v>725</v>
      </c>
      <c r="D84" s="71" t="s">
        <v>724</v>
      </c>
      <c r="E84" s="71" t="s">
        <v>790</v>
      </c>
      <c r="F84" s="68"/>
      <c r="G84" s="196"/>
      <c r="H84" s="57"/>
      <c r="I84" s="57"/>
      <c r="J84" s="82" t="s">
        <v>1304</v>
      </c>
      <c r="K84" s="83" t="s">
        <v>1306</v>
      </c>
      <c r="L84" s="152" t="s">
        <v>1304</v>
      </c>
      <c r="M84" s="153" t="s">
        <v>1306</v>
      </c>
      <c r="N84" s="153" t="s">
        <v>1311</v>
      </c>
      <c r="O84" s="68"/>
      <c r="P84" s="68"/>
      <c r="Q84" s="57"/>
      <c r="R84" s="57"/>
      <c r="S84" s="57"/>
    </row>
    <row r="85" spans="1:19" ht="51.75" customHeight="1" thickBot="1">
      <c r="B85" s="57"/>
      <c r="C85" s="64">
        <v>1</v>
      </c>
      <c r="D85" s="64">
        <v>2000</v>
      </c>
      <c r="E85" s="188" t="s">
        <v>757</v>
      </c>
      <c r="F85" s="68"/>
      <c r="G85" s="283"/>
      <c r="H85" s="57"/>
      <c r="I85" s="57"/>
      <c r="J85" s="111">
        <f>IF(A2=A84,0,FORMY!G9)</f>
        <v>333.33333333333337</v>
      </c>
      <c r="K85" s="141">
        <f>IF(A2=A84,0,FORMY!G10)</f>
        <v>16.666666666666664</v>
      </c>
      <c r="L85" s="85">
        <f>FORMY!F9</f>
        <v>0.27777777777777779</v>
      </c>
      <c r="M85" s="86">
        <f>FORMY!F10</f>
        <v>1.3888888888888888E-2</v>
      </c>
      <c r="N85" s="86">
        <f>L85/$I$1</f>
        <v>2.7777777777777779E-3</v>
      </c>
      <c r="O85" s="68"/>
      <c r="P85" s="68"/>
      <c r="Q85" s="57"/>
      <c r="R85" s="57"/>
      <c r="S85" s="57"/>
    </row>
    <row r="86" spans="1:19" ht="16.5" thickBot="1">
      <c r="B86" s="57"/>
      <c r="C86" s="68"/>
      <c r="D86" s="68"/>
      <c r="E86" s="68"/>
      <c r="F86" s="68"/>
      <c r="G86" s="196"/>
      <c r="H86" s="57"/>
      <c r="I86" s="57"/>
      <c r="J86" s="57"/>
      <c r="K86" s="57"/>
      <c r="L86" s="68"/>
      <c r="M86" s="68"/>
      <c r="N86" s="68"/>
      <c r="O86" s="68"/>
      <c r="P86" s="68"/>
      <c r="Q86" s="57"/>
      <c r="R86" s="57"/>
      <c r="S86" s="57"/>
    </row>
    <row r="87" spans="1:19" ht="15.75" customHeight="1" thickBot="1">
      <c r="B87" s="57"/>
      <c r="C87" s="68"/>
      <c r="D87" s="68"/>
      <c r="E87" s="68"/>
      <c r="F87" s="68"/>
      <c r="G87" s="283"/>
      <c r="H87" s="57"/>
      <c r="I87" s="57"/>
      <c r="J87" s="464" t="s">
        <v>626</v>
      </c>
      <c r="K87" s="469"/>
      <c r="L87" s="464" t="s">
        <v>666</v>
      </c>
      <c r="M87" s="465"/>
      <c r="N87" s="466"/>
      <c r="O87" s="68"/>
      <c r="P87" s="68"/>
      <c r="Q87" s="57"/>
      <c r="R87" s="57"/>
      <c r="S87" s="57"/>
    </row>
    <row r="88" spans="1:19" ht="51" customHeight="1" thickBot="1">
      <c r="A88" s="200" t="b">
        <v>1</v>
      </c>
      <c r="B88" s="57"/>
      <c r="C88" s="71" t="s">
        <v>725</v>
      </c>
      <c r="D88" s="71" t="s">
        <v>724</v>
      </c>
      <c r="E88" s="191"/>
      <c r="F88" s="68"/>
      <c r="G88" s="196"/>
      <c r="H88" s="57"/>
      <c r="I88" s="57"/>
      <c r="J88" s="82" t="s">
        <v>1304</v>
      </c>
      <c r="K88" s="83" t="s">
        <v>1306</v>
      </c>
      <c r="L88" s="152" t="s">
        <v>1304</v>
      </c>
      <c r="M88" s="153" t="s">
        <v>1306</v>
      </c>
      <c r="N88" s="153" t="s">
        <v>1311</v>
      </c>
      <c r="O88" s="68"/>
      <c r="P88" s="68"/>
      <c r="Q88" s="57"/>
      <c r="R88" s="57"/>
      <c r="S88" s="57"/>
    </row>
    <row r="89" spans="1:19" ht="51" customHeight="1" thickBot="1">
      <c r="B89" s="57"/>
      <c r="C89" s="64">
        <v>1</v>
      </c>
      <c r="D89" s="64">
        <v>2500</v>
      </c>
      <c r="E89" s="192"/>
      <c r="F89" s="68"/>
      <c r="G89" s="283"/>
      <c r="H89" s="57"/>
      <c r="I89" s="57"/>
      <c r="J89" s="111">
        <f>IF(A2=A88,0,FORMY!P13)</f>
        <v>336.88271604938274</v>
      </c>
      <c r="K89" s="141">
        <f>IF(A2=A88,0,FORMY!P14)</f>
        <v>16.666666666666664</v>
      </c>
      <c r="L89" s="85">
        <f>FORMY!O13</f>
        <v>0.28073559670781895</v>
      </c>
      <c r="M89" s="86">
        <f>FORMY!O14</f>
        <v>1.3888888888888888E-2</v>
      </c>
      <c r="N89" s="86">
        <f>L89/$I$1</f>
        <v>2.8073559670781893E-3</v>
      </c>
      <c r="O89" s="68"/>
      <c r="P89" s="68"/>
      <c r="Q89" s="57"/>
      <c r="R89" s="57"/>
      <c r="S89" s="57"/>
    </row>
    <row r="90" spans="1:19" ht="19.5" thickBot="1">
      <c r="B90" s="57"/>
      <c r="C90" s="87"/>
      <c r="D90" s="87"/>
      <c r="E90" s="194"/>
      <c r="F90" s="68"/>
      <c r="G90" s="196"/>
      <c r="H90" s="57"/>
      <c r="I90" s="57"/>
      <c r="J90" s="151"/>
      <c r="K90" s="151"/>
      <c r="L90" s="144"/>
      <c r="M90" s="144"/>
      <c r="N90" s="68"/>
      <c r="O90" s="68"/>
      <c r="P90" s="68"/>
      <c r="Q90" s="57"/>
      <c r="R90" s="57"/>
      <c r="S90" s="57"/>
    </row>
    <row r="91" spans="1:19" ht="13.5" thickBot="1">
      <c r="B91" s="57"/>
      <c r="C91" s="68"/>
      <c r="D91" s="68"/>
      <c r="E91" s="68"/>
      <c r="F91" s="68"/>
      <c r="G91" s="283"/>
      <c r="H91" s="57"/>
      <c r="I91" s="57"/>
      <c r="J91" s="57"/>
      <c r="K91" s="57"/>
      <c r="L91" s="68"/>
      <c r="M91" s="68"/>
      <c r="N91" s="68"/>
      <c r="O91" s="464" t="s">
        <v>783</v>
      </c>
      <c r="P91" s="469"/>
      <c r="Q91" s="57"/>
      <c r="R91" s="57"/>
      <c r="S91" s="57"/>
    </row>
    <row r="92" spans="1:19" ht="16.5" customHeight="1" thickBot="1">
      <c r="B92" s="57"/>
      <c r="C92" s="68"/>
      <c r="D92" s="68"/>
      <c r="E92" s="68"/>
      <c r="F92" s="68"/>
      <c r="G92" s="196"/>
      <c r="H92" s="57"/>
      <c r="I92" s="57"/>
      <c r="J92" s="464" t="s">
        <v>626</v>
      </c>
      <c r="K92" s="469"/>
      <c r="L92" s="464" t="s">
        <v>781</v>
      </c>
      <c r="M92" s="465"/>
      <c r="N92" s="466"/>
      <c r="O92" s="464" t="s">
        <v>782</v>
      </c>
      <c r="P92" s="469"/>
      <c r="Q92" s="57"/>
      <c r="R92" s="57"/>
      <c r="S92" s="57"/>
    </row>
    <row r="93" spans="1:19" ht="39" thickBot="1">
      <c r="B93" s="57"/>
      <c r="C93" s="71" t="s">
        <v>725</v>
      </c>
      <c r="D93" s="71" t="s">
        <v>724</v>
      </c>
      <c r="E93" s="68"/>
      <c r="F93" s="68"/>
      <c r="G93" s="283"/>
      <c r="H93" s="57"/>
      <c r="I93" s="57"/>
      <c r="J93" s="82" t="s">
        <v>1304</v>
      </c>
      <c r="K93" s="83" t="s">
        <v>1306</v>
      </c>
      <c r="L93" s="152" t="s">
        <v>1304</v>
      </c>
      <c r="M93" s="153" t="s">
        <v>1306</v>
      </c>
      <c r="N93" s="153" t="s">
        <v>1311</v>
      </c>
      <c r="O93" s="82" t="s">
        <v>1304</v>
      </c>
      <c r="P93" s="83" t="s">
        <v>1306</v>
      </c>
      <c r="Q93" s="57"/>
      <c r="R93" s="57"/>
      <c r="S93" s="57"/>
    </row>
    <row r="94" spans="1:19" ht="51" customHeight="1" thickBot="1">
      <c r="A94" s="199" t="b">
        <v>1</v>
      </c>
      <c r="B94" s="57"/>
      <c r="C94" s="64">
        <v>1</v>
      </c>
      <c r="D94" s="64">
        <v>2000</v>
      </c>
      <c r="E94" s="68"/>
      <c r="F94" s="68"/>
      <c r="G94" s="196"/>
      <c r="H94" s="57"/>
      <c r="I94" s="57"/>
      <c r="J94" s="111">
        <f>IF(A2=A94,0,FORMY!Y10)</f>
        <v>105.67738791423</v>
      </c>
      <c r="K94" s="141">
        <f>IF(A2=A94,0,FORMY!Y11)</f>
        <v>16.666666666666664</v>
      </c>
      <c r="L94" s="85">
        <f>FORMY!X10</f>
        <v>9.5403197422568753E-2</v>
      </c>
      <c r="M94" s="86">
        <f>FORMY!X11</f>
        <v>1.3888888888888888E-2</v>
      </c>
      <c r="N94" s="86">
        <f>L94/$I$1</f>
        <v>9.5403197422568758E-4</v>
      </c>
      <c r="O94" s="85">
        <f>FORMY!Z10</f>
        <v>9.5403197422568753E-2</v>
      </c>
      <c r="P94" s="86">
        <f>FORMY!Z11</f>
        <v>1.3888888888888888E-2</v>
      </c>
      <c r="Q94" s="57"/>
      <c r="R94" s="57"/>
      <c r="S94" s="57"/>
    </row>
    <row r="95" spans="1:19" ht="13.5" thickBot="1">
      <c r="B95" s="57"/>
      <c r="C95" s="68"/>
      <c r="D95" s="68"/>
      <c r="E95" s="68"/>
      <c r="F95" s="68"/>
      <c r="G95" s="283"/>
      <c r="H95" s="57"/>
      <c r="I95" s="57"/>
      <c r="J95" s="57"/>
      <c r="K95" s="57"/>
      <c r="L95" s="68"/>
      <c r="M95" s="68"/>
      <c r="N95" s="68"/>
      <c r="O95" s="68"/>
      <c r="P95" s="68"/>
      <c r="Q95" s="57"/>
      <c r="R95" s="57"/>
      <c r="S95" s="57"/>
    </row>
    <row r="96" spans="1:19" ht="13.5" customHeight="1" thickBot="1">
      <c r="B96" s="57"/>
      <c r="C96" s="68"/>
      <c r="D96" s="68"/>
      <c r="E96" s="68"/>
      <c r="F96" s="68"/>
      <c r="G96" s="196"/>
      <c r="H96" s="57"/>
      <c r="I96" s="57"/>
      <c r="J96" s="464" t="s">
        <v>806</v>
      </c>
      <c r="K96" s="469"/>
      <c r="L96" s="464" t="s">
        <v>803</v>
      </c>
      <c r="M96" s="465"/>
      <c r="N96" s="466"/>
      <c r="O96" s="68"/>
      <c r="P96" s="68"/>
      <c r="Q96" s="57"/>
      <c r="R96" s="464" t="s">
        <v>803</v>
      </c>
      <c r="S96" s="466"/>
    </row>
    <row r="97" spans="1:19" ht="54" customHeight="1" thickBot="1">
      <c r="B97" s="57"/>
      <c r="C97" s="71" t="s">
        <v>798</v>
      </c>
      <c r="D97" s="71" t="s">
        <v>882</v>
      </c>
      <c r="E97" s="71" t="s">
        <v>799</v>
      </c>
      <c r="F97" s="235" t="s">
        <v>800</v>
      </c>
      <c r="G97" s="283"/>
      <c r="H97" s="57"/>
      <c r="I97" s="57"/>
      <c r="J97" s="82" t="s">
        <v>1304</v>
      </c>
      <c r="K97" s="83" t="s">
        <v>1306</v>
      </c>
      <c r="L97" s="152" t="s">
        <v>1304</v>
      </c>
      <c r="M97" s="153" t="s">
        <v>1306</v>
      </c>
      <c r="N97" s="153" t="s">
        <v>1311</v>
      </c>
      <c r="O97" s="68"/>
      <c r="P97" s="227" t="s">
        <v>917</v>
      </c>
      <c r="Q97" s="57"/>
      <c r="R97" s="82" t="s">
        <v>1304</v>
      </c>
      <c r="S97" s="83" t="s">
        <v>1306</v>
      </c>
    </row>
    <row r="98" spans="1:19" ht="47.25" customHeight="1" thickBot="1">
      <c r="B98" s="57"/>
      <c r="C98" s="65" t="s">
        <v>794</v>
      </c>
      <c r="D98" s="64">
        <v>1</v>
      </c>
      <c r="E98" s="65" t="s">
        <v>25</v>
      </c>
      <c r="F98" s="236">
        <v>150</v>
      </c>
      <c r="G98" s="196"/>
      <c r="H98" s="57"/>
      <c r="I98" s="57"/>
      <c r="J98" s="111">
        <f>IF(A2=A100,0,TERMO!L7)</f>
        <v>572.24999999999989</v>
      </c>
      <c r="K98" s="141">
        <f>IF(A2=A100,0,TERMO!L8)</f>
        <v>52.5</v>
      </c>
      <c r="L98" s="85">
        <f>TERMO!K7</f>
        <v>0.30937499999999996</v>
      </c>
      <c r="M98" s="86">
        <f>TERMO!K8</f>
        <v>3.125E-2</v>
      </c>
      <c r="N98" s="86">
        <f>L98/$I$1</f>
        <v>3.0937499999999997E-3</v>
      </c>
      <c r="O98" s="68"/>
      <c r="P98" s="237" t="s">
        <v>718</v>
      </c>
      <c r="Q98" s="57"/>
      <c r="R98" s="85">
        <f>VLOOKUP(P98,TERMO!I34:L41,2,FALSE)</f>
        <v>0.33020833333333333</v>
      </c>
      <c r="S98" s="86">
        <f>VLOOKUP(P98,TERMO!I34:L41,3,FALSE)</f>
        <v>8.3333333333333329E-2</v>
      </c>
    </row>
    <row r="99" spans="1:19" ht="13.5" customHeight="1" thickBot="1">
      <c r="B99" s="57"/>
      <c r="C99" s="57"/>
      <c r="D99" s="68"/>
      <c r="E99" s="68"/>
      <c r="F99" s="68"/>
      <c r="G99" s="283"/>
      <c r="H99" s="57"/>
      <c r="I99" s="57"/>
      <c r="J99" s="464" t="s">
        <v>807</v>
      </c>
      <c r="K99" s="469"/>
      <c r="L99" s="464" t="s">
        <v>809</v>
      </c>
      <c r="M99" s="465"/>
      <c r="N99" s="466"/>
      <c r="O99" s="68"/>
      <c r="P99" s="68"/>
      <c r="Q99" s="57"/>
      <c r="R99" s="57"/>
      <c r="S99" s="57"/>
    </row>
    <row r="100" spans="1:19" ht="47.25" customHeight="1" thickBot="1">
      <c r="A100" s="55" t="b">
        <v>1</v>
      </c>
      <c r="B100" s="57"/>
      <c r="C100" s="71" t="s">
        <v>804</v>
      </c>
      <c r="D100" s="71" t="s">
        <v>873</v>
      </c>
      <c r="E100" s="68"/>
      <c r="F100" s="68"/>
      <c r="G100" s="196"/>
      <c r="H100" s="57"/>
      <c r="I100" s="57"/>
      <c r="J100" s="82" t="s">
        <v>1304</v>
      </c>
      <c r="K100" s="83" t="s">
        <v>1306</v>
      </c>
      <c r="L100" s="152" t="s">
        <v>1304</v>
      </c>
      <c r="M100" s="153" t="s">
        <v>1306</v>
      </c>
      <c r="N100" s="153" t="s">
        <v>1311</v>
      </c>
      <c r="O100" s="68"/>
      <c r="P100" s="68"/>
      <c r="Q100" s="57"/>
      <c r="R100" s="57"/>
      <c r="S100" s="57"/>
    </row>
    <row r="101" spans="1:19" ht="46.5" customHeight="1" thickBot="1">
      <c r="B101" s="57"/>
      <c r="C101" s="228" t="s">
        <v>25</v>
      </c>
      <c r="D101" s="65" t="s">
        <v>884</v>
      </c>
      <c r="E101" s="68"/>
      <c r="F101" s="68"/>
      <c r="G101" s="283"/>
      <c r="H101" s="57"/>
      <c r="I101" s="57"/>
      <c r="J101" s="111">
        <f>IF(OR(C101="nie",A2=A100),0,TERMO!AH8)</f>
        <v>0</v>
      </c>
      <c r="K101" s="141">
        <f>IF(OR(C101="nie",A2=A100),0,TERMO!AH9)</f>
        <v>0</v>
      </c>
      <c r="L101" s="85">
        <f>IF(C101="nie",0,TERMO!AG8)</f>
        <v>0</v>
      </c>
      <c r="M101" s="86">
        <f>IF(C101="nie",0,TERMO!AG9)</f>
        <v>0</v>
      </c>
      <c r="N101" s="86">
        <f>L101/$I$1</f>
        <v>0</v>
      </c>
      <c r="O101" s="68"/>
      <c r="P101" s="68"/>
      <c r="Q101" s="57"/>
      <c r="R101" s="57"/>
      <c r="S101" s="57"/>
    </row>
    <row r="102" spans="1:19" ht="16.5" thickBot="1">
      <c r="B102" s="57"/>
      <c r="C102" s="68"/>
      <c r="D102" s="68"/>
      <c r="E102" s="68"/>
      <c r="F102" s="68"/>
      <c r="G102" s="196"/>
      <c r="H102" s="57"/>
      <c r="I102" s="57"/>
      <c r="J102" s="464" t="s">
        <v>808</v>
      </c>
      <c r="K102" s="469"/>
      <c r="L102" s="464" t="s">
        <v>810</v>
      </c>
      <c r="M102" s="465"/>
      <c r="N102" s="466"/>
      <c r="O102" s="68"/>
      <c r="P102" s="68"/>
      <c r="Q102" s="57"/>
      <c r="R102" s="57"/>
      <c r="S102" s="57"/>
    </row>
    <row r="103" spans="1:19" ht="45.75" customHeight="1" thickBot="1">
      <c r="B103" s="57"/>
      <c r="C103" s="71" t="s">
        <v>805</v>
      </c>
      <c r="D103" s="71" t="s">
        <v>898</v>
      </c>
      <c r="E103" s="71" t="s">
        <v>899</v>
      </c>
      <c r="F103" s="68"/>
      <c r="G103" s="283"/>
      <c r="H103" s="57"/>
      <c r="I103" s="57"/>
      <c r="J103" s="82" t="s">
        <v>1304</v>
      </c>
      <c r="K103" s="83" t="s">
        <v>1306</v>
      </c>
      <c r="L103" s="152" t="s">
        <v>1304</v>
      </c>
      <c r="M103" s="153" t="s">
        <v>1306</v>
      </c>
      <c r="N103" s="153" t="s">
        <v>1311</v>
      </c>
      <c r="O103" s="68"/>
      <c r="P103" s="68"/>
      <c r="Q103" s="57"/>
      <c r="R103" s="57"/>
      <c r="S103" s="57"/>
    </row>
    <row r="104" spans="1:19" ht="45.75" customHeight="1" thickBot="1">
      <c r="B104" s="57"/>
      <c r="C104" s="65" t="s">
        <v>26</v>
      </c>
      <c r="D104" s="75" t="s">
        <v>893</v>
      </c>
      <c r="E104" s="65" t="s">
        <v>895</v>
      </c>
      <c r="F104" s="68"/>
      <c r="G104" s="196"/>
      <c r="H104" s="57"/>
      <c r="I104" s="57"/>
      <c r="J104" s="111">
        <f>IF(OR(C104="nie",A2=A100),0,TERMO!W8)</f>
        <v>28.611111111111107</v>
      </c>
      <c r="K104" s="141">
        <f>IF(OR(C104="nie",A2=A100),0,TERMO!W9)</f>
        <v>5.833333333333333</v>
      </c>
      <c r="L104" s="85">
        <f>IF(C104="nie",0,TERMO!V8)</f>
        <v>3.4060846560846555E-2</v>
      </c>
      <c r="M104" s="86">
        <f>IF(C104="nie",0,TERMO!V9)</f>
        <v>6.9444444444444441E-3</v>
      </c>
      <c r="N104" s="86">
        <f>L104/$I$1</f>
        <v>3.4060846560846558E-4</v>
      </c>
      <c r="O104" s="68"/>
      <c r="P104" s="68"/>
      <c r="Q104" s="57"/>
      <c r="R104" s="57"/>
      <c r="S104" s="57"/>
    </row>
    <row r="105" spans="1:19" ht="13.5" thickBot="1">
      <c r="B105" s="57"/>
      <c r="C105" s="68"/>
      <c r="D105" s="68"/>
      <c r="E105" s="68"/>
      <c r="F105" s="68"/>
      <c r="G105" s="283"/>
      <c r="H105" s="57"/>
      <c r="I105" s="57"/>
      <c r="J105" s="57"/>
      <c r="K105" s="57"/>
      <c r="L105" s="68"/>
      <c r="M105" s="68"/>
      <c r="N105" s="68"/>
      <c r="O105" s="68"/>
      <c r="P105" s="68"/>
      <c r="Q105" s="57"/>
      <c r="R105" s="57"/>
      <c r="S105" s="57"/>
    </row>
    <row r="106" spans="1:19" ht="16.5" thickBot="1">
      <c r="B106" s="57"/>
      <c r="C106" s="68"/>
      <c r="D106" s="68"/>
      <c r="E106" s="68"/>
      <c r="F106" s="68"/>
      <c r="G106" s="196"/>
      <c r="H106" s="57"/>
      <c r="I106" s="57"/>
      <c r="J106" s="464" t="s">
        <v>626</v>
      </c>
      <c r="K106" s="469"/>
      <c r="L106" s="464" t="s">
        <v>666</v>
      </c>
      <c r="M106" s="465"/>
      <c r="N106" s="466"/>
      <c r="O106" s="68"/>
      <c r="P106" s="68"/>
      <c r="Q106" s="57"/>
      <c r="R106" s="57"/>
      <c r="S106" s="57"/>
    </row>
    <row r="107" spans="1:19" ht="39" thickBot="1">
      <c r="A107" s="55" t="b">
        <v>1</v>
      </c>
      <c r="B107" s="57"/>
      <c r="C107" s="71" t="s">
        <v>811</v>
      </c>
      <c r="D107" s="71" t="s">
        <v>725</v>
      </c>
      <c r="E107" s="71" t="s">
        <v>760</v>
      </c>
      <c r="F107" s="68"/>
      <c r="G107" s="283"/>
      <c r="H107" s="57"/>
      <c r="I107" s="57"/>
      <c r="J107" s="82" t="s">
        <v>1304</v>
      </c>
      <c r="K107" s="83" t="s">
        <v>1306</v>
      </c>
      <c r="L107" s="152" t="s">
        <v>1304</v>
      </c>
      <c r="M107" s="153" t="s">
        <v>1306</v>
      </c>
      <c r="N107" s="153" t="s">
        <v>1311</v>
      </c>
      <c r="O107" s="68"/>
      <c r="P107" s="68"/>
      <c r="Q107" s="57"/>
      <c r="R107" s="57"/>
      <c r="S107" s="57"/>
    </row>
    <row r="108" spans="1:19" ht="51" customHeight="1" thickBot="1">
      <c r="B108" s="57"/>
      <c r="C108" s="214" t="s">
        <v>816</v>
      </c>
      <c r="D108" s="64">
        <v>1</v>
      </c>
      <c r="E108" s="64">
        <v>250</v>
      </c>
      <c r="F108" s="68"/>
      <c r="G108" s="196"/>
      <c r="H108" s="57"/>
      <c r="I108" s="57"/>
      <c r="J108" s="111">
        <f>IF(A2=A107,0,FREZ!G8)</f>
        <v>55.681818181818194</v>
      </c>
      <c r="K108" s="141">
        <f>IF(A2=A107,0,FREZ!G9)</f>
        <v>8.75</v>
      </c>
      <c r="L108" s="85">
        <f>FREZ!F8</f>
        <v>6.6287878787878798E-2</v>
      </c>
      <c r="M108" s="86">
        <f>FREZ!F9</f>
        <v>1.0416666666666666E-2</v>
      </c>
      <c r="N108" s="86">
        <f>L108/$I$1</f>
        <v>6.6287878787878803E-4</v>
      </c>
      <c r="O108" s="68"/>
      <c r="P108" s="68"/>
      <c r="Q108" s="57"/>
      <c r="R108" s="57"/>
      <c r="S108" s="57"/>
    </row>
    <row r="109" spans="1:19" ht="13.5" thickBot="1">
      <c r="B109" s="57"/>
      <c r="C109" s="68"/>
      <c r="D109" s="68"/>
      <c r="E109" s="68"/>
      <c r="F109" s="68"/>
      <c r="G109" s="283"/>
      <c r="H109" s="57"/>
      <c r="I109" s="57"/>
      <c r="J109" s="57"/>
      <c r="K109" s="57"/>
      <c r="L109" s="68"/>
      <c r="M109" s="68"/>
      <c r="N109" s="68"/>
      <c r="O109" s="68"/>
      <c r="P109" s="68"/>
      <c r="Q109" s="57"/>
      <c r="R109" s="57"/>
      <c r="S109" s="57"/>
    </row>
    <row r="110" spans="1:19" ht="16.5" thickBot="1">
      <c r="B110" s="57"/>
      <c r="C110" s="68"/>
      <c r="D110" s="68"/>
      <c r="E110" s="68"/>
      <c r="F110" s="68"/>
      <c r="G110" s="196"/>
      <c r="H110" s="57"/>
      <c r="I110" s="57"/>
      <c r="J110" s="464" t="s">
        <v>626</v>
      </c>
      <c r="K110" s="469"/>
      <c r="L110" s="464" t="s">
        <v>666</v>
      </c>
      <c r="M110" s="465"/>
      <c r="N110" s="466"/>
      <c r="O110" s="68"/>
      <c r="P110" s="68"/>
      <c r="Q110" s="57"/>
      <c r="R110" s="57"/>
      <c r="S110" s="57"/>
    </row>
    <row r="111" spans="1:19" ht="48.75" customHeight="1" thickBot="1">
      <c r="A111" s="55" t="b">
        <v>1</v>
      </c>
      <c r="B111" s="57"/>
      <c r="C111" s="71" t="s">
        <v>841</v>
      </c>
      <c r="D111" s="71" t="s">
        <v>725</v>
      </c>
      <c r="E111" s="71" t="s">
        <v>840</v>
      </c>
      <c r="F111" s="68"/>
      <c r="G111" s="283"/>
      <c r="H111" s="57"/>
      <c r="I111" s="57"/>
      <c r="J111" s="82" t="s">
        <v>1304</v>
      </c>
      <c r="K111" s="83" t="s">
        <v>1306</v>
      </c>
      <c r="L111" s="152" t="s">
        <v>1304</v>
      </c>
      <c r="M111" s="153" t="s">
        <v>1306</v>
      </c>
      <c r="N111" s="153" t="s">
        <v>1311</v>
      </c>
      <c r="O111" s="68"/>
      <c r="P111" s="68"/>
      <c r="Q111" s="57"/>
      <c r="R111" s="57"/>
      <c r="S111" s="57"/>
    </row>
    <row r="112" spans="1:19" ht="45.75" customHeight="1" thickBot="1">
      <c r="B112" s="57"/>
      <c r="C112" s="214" t="s">
        <v>820</v>
      </c>
      <c r="D112" s="64">
        <v>1</v>
      </c>
      <c r="E112" s="64">
        <v>200</v>
      </c>
      <c r="F112" s="68"/>
      <c r="G112" s="196"/>
      <c r="H112" s="57"/>
      <c r="I112" s="57"/>
      <c r="J112" s="111">
        <f>IF(A2=A111,0,FREZ!P8)</f>
        <v>26.25</v>
      </c>
      <c r="K112" s="141">
        <f>IF(A2=A111,0,FREZ!P9)</f>
        <v>8.75</v>
      </c>
      <c r="L112" s="85">
        <f>FREZ!O8</f>
        <v>3.125E-2</v>
      </c>
      <c r="M112" s="86">
        <f>FREZ!O9</f>
        <v>1.0416666666666666E-2</v>
      </c>
      <c r="N112" s="86">
        <f>L112/$I$1</f>
        <v>3.1250000000000001E-4</v>
      </c>
      <c r="O112" s="68"/>
      <c r="P112" s="68"/>
      <c r="Q112" s="57"/>
      <c r="R112" s="57"/>
      <c r="S112" s="57"/>
    </row>
    <row r="113" spans="1:19" ht="13.5" thickBot="1">
      <c r="B113" s="57"/>
      <c r="C113" s="68"/>
      <c r="D113" s="68"/>
      <c r="E113" s="68"/>
      <c r="F113" s="68"/>
      <c r="G113" s="283"/>
      <c r="H113" s="57"/>
      <c r="I113" s="57"/>
      <c r="J113" s="57"/>
      <c r="K113" s="57"/>
      <c r="L113" s="68"/>
      <c r="M113" s="68"/>
      <c r="N113" s="68"/>
      <c r="O113" s="68"/>
      <c r="P113" s="68"/>
      <c r="Q113" s="57"/>
      <c r="R113" s="57"/>
      <c r="S113" s="57"/>
    </row>
    <row r="114" spans="1:19" ht="16.5" thickBot="1">
      <c r="B114" s="57"/>
      <c r="C114" s="68"/>
      <c r="D114" s="68"/>
      <c r="E114" s="68"/>
      <c r="F114" s="68"/>
      <c r="G114" s="196"/>
      <c r="H114" s="57"/>
      <c r="I114" s="57"/>
      <c r="J114" s="464" t="s">
        <v>626</v>
      </c>
      <c r="K114" s="469"/>
      <c r="L114" s="464" t="s">
        <v>666</v>
      </c>
      <c r="M114" s="465"/>
      <c r="N114" s="466"/>
      <c r="O114" s="68"/>
      <c r="P114" s="68"/>
      <c r="Q114" s="57"/>
      <c r="R114" s="57"/>
      <c r="S114" s="57"/>
    </row>
    <row r="115" spans="1:19" ht="44.25" customHeight="1" thickBot="1">
      <c r="B115" s="57"/>
      <c r="C115" s="71" t="s">
        <v>873</v>
      </c>
      <c r="D115" s="71" t="s">
        <v>880</v>
      </c>
      <c r="E115" s="71" t="s">
        <v>725</v>
      </c>
      <c r="F115" s="68"/>
      <c r="G115" s="283"/>
      <c r="H115" s="57"/>
      <c r="I115" s="57"/>
      <c r="J115" s="82" t="s">
        <v>1304</v>
      </c>
      <c r="K115" s="83" t="s">
        <v>1306</v>
      </c>
      <c r="L115" s="152" t="s">
        <v>1304</v>
      </c>
      <c r="M115" s="153" t="s">
        <v>1306</v>
      </c>
      <c r="N115" s="153" t="s">
        <v>1311</v>
      </c>
      <c r="O115" s="68"/>
      <c r="P115" s="68"/>
      <c r="Q115" s="57"/>
      <c r="R115" s="57"/>
      <c r="S115" s="57"/>
    </row>
    <row r="116" spans="1:19" ht="49.5" customHeight="1" thickBot="1">
      <c r="A116" s="217" t="b">
        <v>1</v>
      </c>
      <c r="B116" s="57"/>
      <c r="C116" s="214" t="s">
        <v>831</v>
      </c>
      <c r="D116" s="214" t="s">
        <v>831</v>
      </c>
      <c r="E116" s="64">
        <v>1</v>
      </c>
      <c r="F116" s="68"/>
      <c r="G116" s="196"/>
      <c r="H116" s="57"/>
      <c r="I116" s="57"/>
      <c r="J116" s="111">
        <f>IF(A2=A116,0,FREZ!I32)</f>
        <v>30</v>
      </c>
      <c r="K116" s="141">
        <f>IF(A2=A116,0,0)</f>
        <v>0</v>
      </c>
      <c r="L116" s="85">
        <f>FREZ!E58</f>
        <v>2.0833333333333336E-2</v>
      </c>
      <c r="M116" s="86" t="s">
        <v>916</v>
      </c>
      <c r="N116" s="86">
        <f>L116/$I$1</f>
        <v>2.0833333333333335E-4</v>
      </c>
      <c r="O116" s="68"/>
      <c r="P116" s="68"/>
      <c r="Q116" s="57"/>
      <c r="R116" s="57"/>
      <c r="S116" s="57"/>
    </row>
    <row r="117" spans="1:19" ht="13.5" thickBot="1">
      <c r="B117" s="57"/>
      <c r="C117" s="68"/>
      <c r="D117" s="68"/>
      <c r="E117" s="68"/>
      <c r="F117" s="68"/>
      <c r="G117" s="283"/>
      <c r="H117" s="57"/>
      <c r="I117" s="57"/>
      <c r="J117" s="57"/>
      <c r="K117" s="57"/>
      <c r="L117" s="68"/>
      <c r="M117" s="68"/>
      <c r="N117" s="68"/>
      <c r="O117" s="68"/>
      <c r="P117" s="68"/>
      <c r="Q117" s="57"/>
      <c r="R117" s="57"/>
      <c r="S117" s="57"/>
    </row>
    <row r="118" spans="1:19" ht="16.5" thickBot="1">
      <c r="B118" s="57"/>
      <c r="C118" s="68"/>
      <c r="D118" s="68"/>
      <c r="E118" s="68"/>
      <c r="F118" s="68"/>
      <c r="G118" s="196"/>
      <c r="H118" s="57"/>
      <c r="I118" s="57"/>
      <c r="J118" s="464" t="s">
        <v>626</v>
      </c>
      <c r="K118" s="469"/>
      <c r="L118" s="464" t="s">
        <v>666</v>
      </c>
      <c r="M118" s="465"/>
      <c r="N118" s="466"/>
      <c r="O118" s="68"/>
      <c r="P118" s="68"/>
      <c r="Q118" s="57"/>
      <c r="R118" s="57"/>
      <c r="S118" s="57"/>
    </row>
    <row r="119" spans="1:19" ht="43.5" customHeight="1" thickBot="1">
      <c r="B119" s="57"/>
      <c r="C119" s="71" t="s">
        <v>873</v>
      </c>
      <c r="D119" s="71" t="s">
        <v>880</v>
      </c>
      <c r="E119" s="71" t="s">
        <v>725</v>
      </c>
      <c r="F119" s="68"/>
      <c r="G119" s="283"/>
      <c r="H119" s="57"/>
      <c r="I119" s="57"/>
      <c r="J119" s="82" t="s">
        <v>1304</v>
      </c>
      <c r="K119" s="83" t="s">
        <v>1306</v>
      </c>
      <c r="L119" s="152" t="s">
        <v>1304</v>
      </c>
      <c r="M119" s="153" t="s">
        <v>1306</v>
      </c>
      <c r="N119" s="153" t="s">
        <v>1311</v>
      </c>
      <c r="O119" s="68"/>
      <c r="P119" s="68"/>
      <c r="Q119" s="57"/>
      <c r="R119" s="57"/>
      <c r="S119" s="57"/>
    </row>
    <row r="120" spans="1:19" ht="49.5" customHeight="1" thickBot="1">
      <c r="A120" s="217" t="b">
        <v>1</v>
      </c>
      <c r="B120" s="57"/>
      <c r="C120" s="214" t="s">
        <v>829</v>
      </c>
      <c r="D120" s="214" t="s">
        <v>850</v>
      </c>
      <c r="E120" s="64">
        <v>1</v>
      </c>
      <c r="F120" s="68"/>
      <c r="G120" s="196"/>
      <c r="H120" s="57"/>
      <c r="I120" s="57"/>
      <c r="J120" s="111">
        <f>IF(A2=A120,0,FREZ!R32)</f>
        <v>40</v>
      </c>
      <c r="K120" s="141">
        <f>IF(A2=A120,0,0)</f>
        <v>0</v>
      </c>
      <c r="L120" s="85">
        <f>FREZ!Q32</f>
        <v>2.7777777777777776E-2</v>
      </c>
      <c r="M120" s="86" t="s">
        <v>916</v>
      </c>
      <c r="N120" s="86">
        <f>L120/$I$1</f>
        <v>2.7777777777777778E-4</v>
      </c>
      <c r="O120" s="68"/>
      <c r="P120" s="68"/>
      <c r="Q120" s="57"/>
      <c r="R120" s="57"/>
      <c r="S120" s="57"/>
    </row>
    <row r="121" spans="1:19" ht="13.5" thickBot="1">
      <c r="B121" s="57"/>
      <c r="C121" s="68"/>
      <c r="D121" s="68"/>
      <c r="E121" s="68"/>
      <c r="F121" s="68"/>
      <c r="G121" s="283"/>
      <c r="H121" s="57"/>
      <c r="I121" s="57"/>
      <c r="J121" s="57"/>
      <c r="K121" s="57"/>
      <c r="L121" s="68"/>
      <c r="M121" s="68"/>
      <c r="N121" s="68"/>
      <c r="O121" s="68"/>
      <c r="P121" s="68"/>
      <c r="Q121" s="57"/>
      <c r="R121" s="57"/>
      <c r="S121" s="57"/>
    </row>
    <row r="122" spans="1:19" ht="15.75" customHeight="1" thickBot="1">
      <c r="B122" s="57"/>
      <c r="C122" s="68"/>
      <c r="D122" s="68"/>
      <c r="E122" s="68"/>
      <c r="F122" s="68"/>
      <c r="G122" s="196"/>
      <c r="H122" s="57"/>
      <c r="I122" s="57"/>
      <c r="J122" s="464" t="s">
        <v>626</v>
      </c>
      <c r="K122" s="466"/>
      <c r="L122" s="464" t="s">
        <v>666</v>
      </c>
      <c r="M122" s="465"/>
      <c r="N122" s="466"/>
      <c r="O122" s="68"/>
      <c r="P122" s="68"/>
      <c r="Q122" s="57"/>
      <c r="R122" s="57"/>
      <c r="S122" s="57"/>
    </row>
    <row r="123" spans="1:19" ht="51" customHeight="1" thickBot="1">
      <c r="A123" s="55" t="b">
        <v>1</v>
      </c>
      <c r="B123" s="57"/>
      <c r="C123" s="71" t="s">
        <v>725</v>
      </c>
      <c r="D123" s="71" t="s">
        <v>724</v>
      </c>
      <c r="E123" s="71" t="s">
        <v>991</v>
      </c>
      <c r="F123" s="68"/>
      <c r="G123" s="283"/>
      <c r="H123" s="57"/>
      <c r="I123" s="57"/>
      <c r="J123" s="82" t="s">
        <v>1304</v>
      </c>
      <c r="K123" s="83" t="s">
        <v>1306</v>
      </c>
      <c r="L123" s="152" t="s">
        <v>1304</v>
      </c>
      <c r="M123" s="153" t="s">
        <v>1306</v>
      </c>
      <c r="N123" s="153" t="s">
        <v>1311</v>
      </c>
      <c r="O123" s="68"/>
      <c r="P123" s="68"/>
      <c r="Q123" s="57"/>
      <c r="R123" s="57"/>
      <c r="S123" s="57"/>
    </row>
    <row r="124" spans="1:19" ht="41.25" customHeight="1" thickBot="1">
      <c r="B124" s="57"/>
      <c r="C124" s="64">
        <v>1</v>
      </c>
      <c r="D124" s="64">
        <v>2000</v>
      </c>
      <c r="E124" s="64">
        <v>15</v>
      </c>
      <c r="F124" s="68"/>
      <c r="G124" s="196"/>
      <c r="H124" s="57"/>
      <c r="I124" s="57"/>
      <c r="J124" s="111" t="e">
        <f>IF(A2=A123,0,METAL!N4)</f>
        <v>#N/A</v>
      </c>
      <c r="K124" s="141">
        <f>IF(A2=A123,0,METAL!N5)</f>
        <v>0.33333333333333331</v>
      </c>
      <c r="L124" s="85" t="e">
        <f>METAL!M4</f>
        <v>#N/A</v>
      </c>
      <c r="M124" s="86">
        <f>METAL!M5</f>
        <v>1.3888888888888888E-2</v>
      </c>
      <c r="N124" s="86" t="e">
        <f>L124/$I$1</f>
        <v>#N/A</v>
      </c>
      <c r="O124" s="68"/>
      <c r="P124" s="68"/>
      <c r="Q124" s="57"/>
      <c r="R124" s="57"/>
      <c r="S124" s="57"/>
    </row>
    <row r="125" spans="1:19" ht="13.5" thickBot="1">
      <c r="B125" s="57"/>
      <c r="C125" s="68"/>
      <c r="D125" s="68"/>
      <c r="E125" s="68"/>
      <c r="F125" s="68"/>
      <c r="G125" s="283"/>
      <c r="H125" s="57"/>
      <c r="I125" s="57"/>
      <c r="J125" s="68"/>
      <c r="K125" s="68"/>
      <c r="L125" s="68"/>
      <c r="M125" s="68"/>
      <c r="N125" s="68"/>
      <c r="O125" s="68"/>
      <c r="P125" s="68"/>
      <c r="Q125" s="57"/>
      <c r="R125" s="57"/>
      <c r="S125" s="57"/>
    </row>
    <row r="126" spans="1:19" ht="16.5" thickBot="1">
      <c r="B126" s="57"/>
      <c r="C126" s="68"/>
      <c r="D126" s="68"/>
      <c r="E126" s="68"/>
      <c r="F126" s="68"/>
      <c r="G126" s="196"/>
      <c r="H126" s="57"/>
      <c r="I126" s="57"/>
      <c r="J126" s="464" t="s">
        <v>626</v>
      </c>
      <c r="K126" s="466"/>
      <c r="L126" s="464" t="s">
        <v>666</v>
      </c>
      <c r="M126" s="465"/>
      <c r="N126" s="466"/>
      <c r="O126" s="68"/>
      <c r="P126" s="68"/>
      <c r="Q126" s="57"/>
      <c r="R126" s="57"/>
      <c r="S126" s="57"/>
    </row>
    <row r="127" spans="1:19" ht="59.25" customHeight="1" thickBot="1">
      <c r="B127" s="57"/>
      <c r="C127" s="71" t="s">
        <v>1000</v>
      </c>
      <c r="D127" s="386" t="s">
        <v>999</v>
      </c>
      <c r="E127" s="68"/>
      <c r="F127" s="68"/>
      <c r="G127" s="283"/>
      <c r="H127" s="57"/>
      <c r="I127" s="57"/>
      <c r="J127" s="82" t="s">
        <v>1304</v>
      </c>
      <c r="K127" s="83" t="s">
        <v>1306</v>
      </c>
      <c r="L127" s="152" t="s">
        <v>1304</v>
      </c>
      <c r="M127" s="153" t="s">
        <v>1306</v>
      </c>
      <c r="N127" s="153" t="s">
        <v>1311</v>
      </c>
      <c r="O127" s="68"/>
      <c r="P127" s="68"/>
      <c r="Q127" s="57"/>
      <c r="R127" s="57"/>
      <c r="S127" s="57"/>
    </row>
    <row r="128" spans="1:19" ht="47.25" customHeight="1" thickBot="1">
      <c r="A128" s="55" t="b">
        <v>1</v>
      </c>
      <c r="B128" s="57"/>
      <c r="C128" s="214" t="s">
        <v>997</v>
      </c>
      <c r="D128" s="387">
        <v>4</v>
      </c>
      <c r="E128" s="68"/>
      <c r="F128" s="68"/>
      <c r="G128" s="196"/>
      <c r="H128" s="57"/>
      <c r="I128" s="57"/>
      <c r="J128" s="111">
        <f>IF($A$2=A128,0,METAL!N28)</f>
        <v>1.6666666666666667</v>
      </c>
      <c r="K128" s="273">
        <f>IF($A$2=A128,0,METAL!N29)</f>
        <v>0.66666666666666663</v>
      </c>
      <c r="L128" s="85">
        <f>METAL!M28</f>
        <v>6.9444444444444448E-2</v>
      </c>
      <c r="M128" s="86">
        <f>METAL!M29</f>
        <v>2.7777777777777776E-2</v>
      </c>
      <c r="N128" s="86">
        <f>L128/$I$1</f>
        <v>6.9444444444444447E-4</v>
      </c>
      <c r="O128" s="68"/>
      <c r="P128" s="68"/>
      <c r="Q128" s="57"/>
      <c r="R128" s="57"/>
      <c r="S128" s="57"/>
    </row>
    <row r="129" spans="1:19" ht="13.5" thickBot="1">
      <c r="B129" s="57"/>
      <c r="C129" s="68"/>
      <c r="D129" s="68"/>
      <c r="E129" s="68"/>
      <c r="F129" s="68"/>
      <c r="G129" s="283"/>
      <c r="H129" s="57"/>
      <c r="I129" s="57"/>
      <c r="J129" s="57"/>
      <c r="K129" s="57"/>
      <c r="L129" s="68"/>
      <c r="M129" s="68"/>
      <c r="N129" s="68"/>
      <c r="O129" s="68"/>
      <c r="P129" s="68"/>
      <c r="Q129" s="57"/>
      <c r="R129" s="57"/>
      <c r="S129" s="57"/>
    </row>
    <row r="130" spans="1:19" ht="16.5" thickBot="1">
      <c r="B130" s="57"/>
      <c r="C130" s="68"/>
      <c r="D130" s="68"/>
      <c r="E130" s="68"/>
      <c r="F130" s="68"/>
      <c r="G130" s="196"/>
      <c r="H130" s="57"/>
      <c r="I130" s="57"/>
      <c r="J130" s="464" t="s">
        <v>1001</v>
      </c>
      <c r="K130" s="466"/>
      <c r="L130" s="464" t="s">
        <v>1002</v>
      </c>
      <c r="M130" s="465"/>
      <c r="N130" s="466"/>
      <c r="O130" s="68"/>
      <c r="P130" s="68"/>
      <c r="Q130" s="57"/>
      <c r="R130" s="57"/>
      <c r="S130" s="57"/>
    </row>
    <row r="131" spans="1:19" ht="60.75" thickBot="1">
      <c r="B131" s="57"/>
      <c r="C131" s="269" t="s">
        <v>1003</v>
      </c>
      <c r="D131" s="269" t="s">
        <v>1004</v>
      </c>
      <c r="E131" s="269" t="s">
        <v>1005</v>
      </c>
      <c r="F131" s="269" t="s">
        <v>1006</v>
      </c>
      <c r="G131" s="283"/>
      <c r="H131" s="68"/>
      <c r="I131" s="57"/>
      <c r="J131" s="82" t="s">
        <v>1304</v>
      </c>
      <c r="K131" s="83" t="s">
        <v>1306</v>
      </c>
      <c r="L131" s="152" t="s">
        <v>1304</v>
      </c>
      <c r="M131" s="153" t="s">
        <v>1306</v>
      </c>
      <c r="N131" s="153" t="s">
        <v>1311</v>
      </c>
      <c r="O131" s="68"/>
      <c r="P131" s="68"/>
      <c r="Q131" s="57"/>
      <c r="R131" s="57"/>
      <c r="S131" s="57"/>
    </row>
    <row r="132" spans="1:19" ht="57" customHeight="1" thickBot="1">
      <c r="A132" s="55" t="b">
        <v>1</v>
      </c>
      <c r="B132" s="57"/>
      <c r="C132" s="265">
        <v>2</v>
      </c>
      <c r="D132" s="265">
        <v>8</v>
      </c>
      <c r="E132" s="265"/>
      <c r="F132" s="265"/>
      <c r="G132" s="196"/>
      <c r="H132" s="68"/>
      <c r="I132" s="57"/>
      <c r="J132" s="111">
        <f>IF($A$2=A132,0,METAL!N38)</f>
        <v>4.333333333333333</v>
      </c>
      <c r="K132" s="273">
        <f>IF($A$2=A132,0,METAL!N39)</f>
        <v>0.16666666666666666</v>
      </c>
      <c r="L132" s="85">
        <f>METAL!M38</f>
        <v>0.18055555555555555</v>
      </c>
      <c r="M132" s="86">
        <f>METAL!M39</f>
        <v>6.9444444444444441E-3</v>
      </c>
      <c r="N132" s="86">
        <f>L132/$I$1</f>
        <v>1.8055555555555555E-3</v>
      </c>
      <c r="O132" s="68"/>
      <c r="P132" s="68"/>
      <c r="Q132" s="57"/>
      <c r="R132" s="57"/>
      <c r="S132" s="57"/>
    </row>
    <row r="133" spans="1:19" ht="13.5" customHeight="1" thickBot="1">
      <c r="B133" s="57"/>
      <c r="C133" s="68"/>
      <c r="D133" s="68"/>
      <c r="E133" s="68"/>
      <c r="F133" s="68"/>
      <c r="G133" s="283"/>
      <c r="H133" s="57"/>
      <c r="I133" s="57"/>
      <c r="J133" s="464" t="s">
        <v>1022</v>
      </c>
      <c r="K133" s="466"/>
      <c r="L133" s="464" t="s">
        <v>1023</v>
      </c>
      <c r="M133" s="465"/>
      <c r="N133" s="466"/>
      <c r="O133" s="68"/>
      <c r="P133" s="68"/>
      <c r="Q133" s="57"/>
      <c r="R133" s="57"/>
      <c r="S133" s="57"/>
    </row>
    <row r="134" spans="1:19" ht="52.5" customHeight="1" thickBot="1">
      <c r="B134" s="57"/>
      <c r="C134" s="71" t="s">
        <v>1019</v>
      </c>
      <c r="D134" s="68"/>
      <c r="E134" s="68"/>
      <c r="F134" s="68"/>
      <c r="G134" s="196"/>
      <c r="H134" s="57"/>
      <c r="I134" s="57"/>
      <c r="J134" s="82" t="s">
        <v>1304</v>
      </c>
      <c r="K134" s="83" t="s">
        <v>1306</v>
      </c>
      <c r="L134" s="152" t="s">
        <v>1304</v>
      </c>
      <c r="M134" s="153" t="s">
        <v>1306</v>
      </c>
      <c r="N134" s="153" t="s">
        <v>1311</v>
      </c>
      <c r="O134" s="68"/>
      <c r="P134" s="68"/>
      <c r="Q134" s="57"/>
      <c r="R134" s="57"/>
      <c r="S134" s="57"/>
    </row>
    <row r="135" spans="1:19" ht="52.5" customHeight="1" thickBot="1">
      <c r="B135" s="57"/>
      <c r="C135" s="266">
        <v>1</v>
      </c>
      <c r="D135" s="68"/>
      <c r="E135" s="68"/>
      <c r="F135" s="68"/>
      <c r="G135" s="283"/>
      <c r="H135" s="57"/>
      <c r="I135" s="57"/>
      <c r="J135" s="111">
        <f>IF($A$2=A132,0,METAL!N42)</f>
        <v>1.833333333333333</v>
      </c>
      <c r="K135" s="273">
        <f>IF($A$2=A132,0,METAL!N43)</f>
        <v>8.3333333333333329E-2</v>
      </c>
      <c r="L135" s="85">
        <f>METAL!M42</f>
        <v>7.6388888888888881E-2</v>
      </c>
      <c r="M135" s="86">
        <f>METAL!M43</f>
        <v>3.472222222222222E-3</v>
      </c>
      <c r="N135" s="86">
        <f>L135/$I$1</f>
        <v>7.6388888888888882E-4</v>
      </c>
      <c r="O135" s="68"/>
      <c r="P135" s="68"/>
      <c r="Q135" s="57"/>
      <c r="R135" s="57"/>
      <c r="S135" s="57"/>
    </row>
    <row r="136" spans="1:19" ht="16.5" thickBot="1">
      <c r="B136" s="57"/>
      <c r="C136" s="68"/>
      <c r="D136" s="68"/>
      <c r="E136" s="68"/>
      <c r="F136" s="68"/>
      <c r="G136" s="196"/>
      <c r="H136" s="57"/>
      <c r="I136" s="57"/>
      <c r="J136" s="57"/>
      <c r="K136" s="57"/>
      <c r="L136" s="68"/>
      <c r="M136" s="68"/>
      <c r="N136" s="68"/>
      <c r="O136" s="68"/>
      <c r="P136" s="68"/>
      <c r="Q136" s="57"/>
      <c r="R136" s="57"/>
      <c r="S136" s="57"/>
    </row>
    <row r="137" spans="1:19" ht="15.75" customHeight="1" thickBot="1">
      <c r="B137" s="57"/>
      <c r="C137" s="68"/>
      <c r="D137" s="68"/>
      <c r="E137" s="68"/>
      <c r="F137" s="68"/>
      <c r="G137" s="283"/>
      <c r="H137" s="57"/>
      <c r="I137" s="57"/>
      <c r="J137" s="464" t="s">
        <v>626</v>
      </c>
      <c r="K137" s="466"/>
      <c r="L137" s="464" t="s">
        <v>666</v>
      </c>
      <c r="M137" s="465"/>
      <c r="N137" s="466"/>
      <c r="O137" s="68"/>
      <c r="P137" s="68"/>
      <c r="Q137" s="57"/>
      <c r="R137" s="57"/>
      <c r="S137" s="57"/>
    </row>
    <row r="138" spans="1:19" ht="48.75" customHeight="1" thickBot="1">
      <c r="A138" s="55" t="b">
        <v>1</v>
      </c>
      <c r="B138" s="57"/>
      <c r="C138" s="270" t="s">
        <v>1020</v>
      </c>
      <c r="D138" s="68"/>
      <c r="E138" s="68"/>
      <c r="F138" s="68"/>
      <c r="G138" s="196"/>
      <c r="H138" s="57"/>
      <c r="I138" s="57"/>
      <c r="J138" s="82" t="s">
        <v>1304</v>
      </c>
      <c r="K138" s="83" t="s">
        <v>1306</v>
      </c>
      <c r="L138" s="152" t="s">
        <v>1304</v>
      </c>
      <c r="M138" s="153" t="s">
        <v>1306</v>
      </c>
      <c r="N138" s="153" t="s">
        <v>1311</v>
      </c>
      <c r="O138" s="68"/>
      <c r="P138" s="68"/>
      <c r="Q138" s="57"/>
      <c r="R138" s="57"/>
      <c r="S138" s="57"/>
    </row>
    <row r="139" spans="1:19" ht="46.5" customHeight="1" thickBot="1">
      <c r="B139" s="57"/>
      <c r="C139" s="268">
        <v>0.5</v>
      </c>
      <c r="D139" s="68"/>
      <c r="E139" s="68"/>
      <c r="F139" s="68"/>
      <c r="G139" s="283"/>
      <c r="H139" s="57"/>
      <c r="I139" s="57"/>
      <c r="J139" s="111">
        <f>IF($A$2=A138,0,METAL!N52)</f>
        <v>1.5151515151515149</v>
      </c>
      <c r="K139" s="273">
        <f>IF($A$2=A138,0,METAL!N53)</f>
        <v>0</v>
      </c>
      <c r="L139" s="85">
        <f>METAL!M52</f>
        <v>6.3131313131313122E-2</v>
      </c>
      <c r="M139" s="86">
        <f>METAL!M53</f>
        <v>0</v>
      </c>
      <c r="N139" s="86">
        <f>L139/$I$1</f>
        <v>6.3131313131313126E-4</v>
      </c>
      <c r="O139" s="68"/>
      <c r="P139" s="68"/>
      <c r="Q139" s="57"/>
      <c r="R139" s="57"/>
      <c r="S139" s="57"/>
    </row>
    <row r="140" spans="1:19" ht="16.5" thickBot="1">
      <c r="B140" s="57"/>
      <c r="C140" s="68"/>
      <c r="D140" s="68"/>
      <c r="E140" s="68"/>
      <c r="F140" s="68"/>
      <c r="G140" s="196"/>
      <c r="H140" s="57"/>
      <c r="I140" s="57"/>
      <c r="J140" s="57"/>
      <c r="K140" s="57"/>
      <c r="L140" s="68"/>
      <c r="M140" s="68"/>
      <c r="N140" s="68"/>
      <c r="O140" s="68"/>
      <c r="P140" s="68"/>
      <c r="Q140" s="57"/>
      <c r="R140" s="57"/>
      <c r="S140" s="57"/>
    </row>
    <row r="141" spans="1:19" ht="19.5" customHeight="1" thickBot="1">
      <c r="B141" s="57"/>
      <c r="C141" s="68"/>
      <c r="D141" s="68"/>
      <c r="E141" s="68"/>
      <c r="F141" s="68"/>
      <c r="G141" s="283"/>
      <c r="H141" s="57"/>
      <c r="I141" s="57"/>
      <c r="J141" s="467" t="s">
        <v>626</v>
      </c>
      <c r="K141" s="468"/>
      <c r="L141" s="464" t="s">
        <v>666</v>
      </c>
      <c r="M141" s="465"/>
      <c r="N141" s="466"/>
      <c r="O141" s="68"/>
      <c r="P141" s="68"/>
      <c r="Q141" s="57"/>
      <c r="R141" s="57"/>
      <c r="S141" s="57"/>
    </row>
    <row r="142" spans="1:19" ht="43.5" customHeight="1" thickBot="1">
      <c r="A142" s="55" t="b">
        <v>1</v>
      </c>
      <c r="B142" s="57"/>
      <c r="C142" s="278" t="s">
        <v>1029</v>
      </c>
      <c r="D142" s="68"/>
      <c r="E142" s="68"/>
      <c r="F142" s="68"/>
      <c r="G142" s="196"/>
      <c r="H142" s="57"/>
      <c r="I142" s="57"/>
      <c r="J142" s="82" t="s">
        <v>1304</v>
      </c>
      <c r="K142" s="83" t="s">
        <v>1306</v>
      </c>
      <c r="L142" s="152" t="s">
        <v>1304</v>
      </c>
      <c r="M142" s="153" t="s">
        <v>1306</v>
      </c>
      <c r="N142" s="153" t="s">
        <v>1311</v>
      </c>
      <c r="O142" s="68"/>
      <c r="P142" s="68"/>
      <c r="Q142" s="57"/>
      <c r="R142" s="57"/>
      <c r="S142" s="57"/>
    </row>
    <row r="143" spans="1:19" ht="42" customHeight="1" thickBot="1">
      <c r="B143" s="57"/>
      <c r="C143" s="272">
        <v>1</v>
      </c>
      <c r="D143" s="68"/>
      <c r="E143" s="68"/>
      <c r="F143" s="68"/>
      <c r="G143" s="283"/>
      <c r="H143" s="57"/>
      <c r="I143" s="57"/>
      <c r="J143" s="111">
        <f>IF($A$2=A142,0,METAL!V4)</f>
        <v>0.61111111111111105</v>
      </c>
      <c r="K143" s="141">
        <f>IF($A$2=A142,0,METAL!V5)</f>
        <v>8.3333333333333329E-2</v>
      </c>
      <c r="L143" s="85">
        <f>METAL!U4</f>
        <v>2.5462962962962962E-2</v>
      </c>
      <c r="M143" s="86">
        <f>METAL!U5</f>
        <v>3.472222222222222E-3</v>
      </c>
      <c r="N143" s="86">
        <f>L143/$I$1</f>
        <v>2.5462962962962961E-4</v>
      </c>
      <c r="O143" s="68"/>
      <c r="P143" s="68"/>
      <c r="Q143" s="57"/>
      <c r="R143" s="57"/>
      <c r="S143" s="57"/>
    </row>
    <row r="144" spans="1:19" ht="16.5" thickBot="1">
      <c r="B144" s="57"/>
      <c r="C144" s="68"/>
      <c r="D144" s="68"/>
      <c r="E144" s="68"/>
      <c r="F144" s="68"/>
      <c r="G144" s="196"/>
      <c r="H144" s="57"/>
      <c r="I144" s="57"/>
      <c r="J144" s="57"/>
      <c r="K144" s="57"/>
      <c r="L144" s="68"/>
      <c r="M144" s="68"/>
      <c r="N144" s="68"/>
      <c r="O144" s="68"/>
      <c r="P144" s="68"/>
      <c r="Q144" s="57"/>
      <c r="R144" s="57"/>
      <c r="S144" s="57"/>
    </row>
    <row r="145" spans="1:19" ht="15.75" customHeight="1" thickBot="1">
      <c r="B145" s="57"/>
      <c r="C145" s="68"/>
      <c r="D145" s="68"/>
      <c r="E145" s="68"/>
      <c r="F145" s="68"/>
      <c r="G145" s="283"/>
      <c r="H145" s="57"/>
      <c r="I145" s="57"/>
      <c r="J145" s="467" t="s">
        <v>626</v>
      </c>
      <c r="K145" s="468"/>
      <c r="L145" s="464" t="s">
        <v>666</v>
      </c>
      <c r="M145" s="465"/>
      <c r="N145" s="466"/>
      <c r="O145" s="68"/>
      <c r="P145" s="68"/>
      <c r="Q145" s="57"/>
      <c r="R145" s="57"/>
      <c r="S145" s="57"/>
    </row>
    <row r="146" spans="1:19" ht="46.5" customHeight="1" thickBot="1">
      <c r="A146" s="55" t="b">
        <v>1</v>
      </c>
      <c r="B146" s="57"/>
      <c r="C146" s="280" t="s">
        <v>1080</v>
      </c>
      <c r="D146" s="278" t="s">
        <v>1081</v>
      </c>
      <c r="E146" s="68"/>
      <c r="F146" s="68"/>
      <c r="G146" s="196"/>
      <c r="H146" s="57"/>
      <c r="I146" s="57"/>
      <c r="J146" s="82" t="s">
        <v>1304</v>
      </c>
      <c r="K146" s="83" t="s">
        <v>1306</v>
      </c>
      <c r="L146" s="152" t="s">
        <v>1304</v>
      </c>
      <c r="M146" s="153" t="s">
        <v>1306</v>
      </c>
      <c r="N146" s="153" t="s">
        <v>1311</v>
      </c>
      <c r="O146" s="68"/>
      <c r="P146" s="68"/>
      <c r="Q146" s="57"/>
      <c r="R146" s="57"/>
      <c r="S146" s="57"/>
    </row>
    <row r="147" spans="1:19" ht="45.75" customHeight="1" thickBot="1">
      <c r="B147" s="57"/>
      <c r="C147" s="275" t="s">
        <v>1034</v>
      </c>
      <c r="D147" s="272">
        <v>2</v>
      </c>
      <c r="E147" s="68"/>
      <c r="F147" s="68"/>
      <c r="G147" s="283"/>
      <c r="H147" s="57"/>
      <c r="I147" s="57"/>
      <c r="J147" s="111">
        <f>IF($A$2=A146,0,METAL!V12)</f>
        <v>2.0777777777777775</v>
      </c>
      <c r="K147" s="141">
        <f>IF($A$2=A146,0,METAL!V13)</f>
        <v>8.3333333333333329E-2</v>
      </c>
      <c r="L147" s="85">
        <f>METAL!U12</f>
        <v>8.6574074074074067E-2</v>
      </c>
      <c r="M147" s="86">
        <f>METAL!U13</f>
        <v>3.472222222222222E-3</v>
      </c>
      <c r="N147" s="86">
        <f>L147/$I$1</f>
        <v>8.6574074074074071E-4</v>
      </c>
      <c r="O147" s="68"/>
      <c r="P147" s="68"/>
      <c r="Q147" s="57"/>
      <c r="R147" s="57"/>
      <c r="S147" s="57"/>
    </row>
    <row r="148" spans="1:19" ht="16.5" thickBot="1">
      <c r="B148" s="57"/>
      <c r="C148" s="68"/>
      <c r="D148" s="68"/>
      <c r="E148" s="68"/>
      <c r="F148" s="68"/>
      <c r="G148" s="196"/>
      <c r="H148" s="57"/>
      <c r="I148" s="57"/>
      <c r="J148" s="57"/>
      <c r="K148" s="57"/>
      <c r="L148" s="68"/>
      <c r="M148" s="68"/>
      <c r="N148" s="68"/>
      <c r="O148" s="68"/>
      <c r="P148" s="68"/>
      <c r="Q148" s="57"/>
      <c r="R148" s="57"/>
      <c r="S148" s="57"/>
    </row>
    <row r="149" spans="1:19" ht="15.75" customHeight="1" thickBot="1">
      <c r="B149" s="57"/>
      <c r="C149" s="68"/>
      <c r="D149" s="68"/>
      <c r="E149" s="68"/>
      <c r="F149" s="68"/>
      <c r="G149" s="283"/>
      <c r="H149" s="57"/>
      <c r="I149" s="57"/>
      <c r="J149" s="467" t="s">
        <v>626</v>
      </c>
      <c r="K149" s="468"/>
      <c r="L149" s="464" t="s">
        <v>666</v>
      </c>
      <c r="M149" s="465"/>
      <c r="N149" s="466"/>
      <c r="O149" s="68"/>
      <c r="P149" s="68"/>
      <c r="Q149" s="57"/>
      <c r="R149" s="57"/>
      <c r="S149" s="57"/>
    </row>
    <row r="150" spans="1:19" ht="39" thickBot="1">
      <c r="A150" s="55" t="b">
        <v>1</v>
      </c>
      <c r="B150" s="57"/>
      <c r="C150" s="271" t="s">
        <v>1093</v>
      </c>
      <c r="D150" s="68"/>
      <c r="E150" s="68"/>
      <c r="F150" s="68"/>
      <c r="G150" s="196"/>
      <c r="H150" s="57"/>
      <c r="I150" s="57"/>
      <c r="J150" s="82" t="s">
        <v>1304</v>
      </c>
      <c r="K150" s="83" t="s">
        <v>1306</v>
      </c>
      <c r="L150" s="152" t="s">
        <v>1304</v>
      </c>
      <c r="M150" s="153" t="s">
        <v>1306</v>
      </c>
      <c r="N150" s="153" t="s">
        <v>1311</v>
      </c>
      <c r="O150" s="68"/>
      <c r="P150" s="68"/>
      <c r="Q150" s="57"/>
      <c r="R150" s="57"/>
      <c r="S150" s="57"/>
    </row>
    <row r="151" spans="1:19" ht="48.75" customHeight="1" thickBot="1">
      <c r="B151" s="57"/>
      <c r="C151" s="277">
        <v>2</v>
      </c>
      <c r="D151" s="68"/>
      <c r="E151" s="68"/>
      <c r="F151" s="68"/>
      <c r="G151" s="283"/>
      <c r="H151" s="57"/>
      <c r="I151" s="57"/>
      <c r="J151" s="111">
        <f>IF($A$2=A150,0,METAL!V23)</f>
        <v>1.1333333333333333</v>
      </c>
      <c r="K151" s="141">
        <f>IF($A$2=A150,0,METAL!V24)</f>
        <v>8.3333333333333329E-2</v>
      </c>
      <c r="L151" s="85">
        <f>METAL!U23</f>
        <v>4.7222222222222221E-2</v>
      </c>
      <c r="M151" s="86">
        <f>METAL!U24</f>
        <v>3.472222222222222E-3</v>
      </c>
      <c r="N151" s="86">
        <f>L151/$I$1</f>
        <v>4.7222222222222218E-4</v>
      </c>
      <c r="O151" s="68"/>
      <c r="P151" s="68"/>
      <c r="Q151" s="57"/>
      <c r="R151" s="57"/>
      <c r="S151" s="57"/>
    </row>
    <row r="152" spans="1:19" ht="16.5" thickBot="1">
      <c r="B152" s="57"/>
      <c r="C152" s="68"/>
      <c r="D152" s="68"/>
      <c r="E152" s="68"/>
      <c r="F152" s="68"/>
      <c r="G152" s="196"/>
      <c r="H152" s="57"/>
      <c r="I152" s="57"/>
      <c r="J152" s="57"/>
      <c r="K152" s="57"/>
      <c r="L152" s="68"/>
      <c r="M152" s="68"/>
      <c r="N152" s="68"/>
      <c r="O152" s="68"/>
      <c r="P152" s="68"/>
      <c r="Q152" s="57"/>
      <c r="R152" s="57"/>
      <c r="S152" s="57"/>
    </row>
    <row r="153" spans="1:19" ht="15.75" customHeight="1" thickBot="1">
      <c r="B153" s="57"/>
      <c r="C153" s="68"/>
      <c r="D153" s="68"/>
      <c r="E153" s="68"/>
      <c r="F153" s="68"/>
      <c r="G153" s="283"/>
      <c r="H153" s="57"/>
      <c r="I153" s="57"/>
      <c r="J153" s="467" t="s">
        <v>626</v>
      </c>
      <c r="K153" s="468"/>
      <c r="L153" s="464" t="s">
        <v>666</v>
      </c>
      <c r="M153" s="465"/>
      <c r="N153" s="466"/>
      <c r="O153" s="68"/>
      <c r="P153" s="68"/>
      <c r="Q153" s="57"/>
      <c r="R153" s="57"/>
      <c r="S153" s="57"/>
    </row>
    <row r="154" spans="1:19" ht="40.5" customHeight="1" thickBot="1">
      <c r="A154" s="55" t="b">
        <v>1</v>
      </c>
      <c r="B154" s="57"/>
      <c r="C154" s="278" t="s">
        <v>1099</v>
      </c>
      <c r="D154" s="68"/>
      <c r="E154" s="68"/>
      <c r="F154" s="68"/>
      <c r="G154" s="196"/>
      <c r="H154" s="57"/>
      <c r="I154" s="57"/>
      <c r="J154" s="82" t="s">
        <v>1304</v>
      </c>
      <c r="K154" s="83" t="s">
        <v>1306</v>
      </c>
      <c r="L154" s="152" t="s">
        <v>1304</v>
      </c>
      <c r="M154" s="153" t="s">
        <v>1306</v>
      </c>
      <c r="N154" s="153" t="s">
        <v>1311</v>
      </c>
      <c r="O154" s="68"/>
      <c r="P154" s="68"/>
      <c r="Q154" s="57"/>
      <c r="R154" s="57"/>
      <c r="S154" s="57"/>
    </row>
    <row r="155" spans="1:19" ht="39" customHeight="1" thickBot="1">
      <c r="B155" s="57"/>
      <c r="C155" s="272">
        <v>2</v>
      </c>
      <c r="D155" s="68"/>
      <c r="E155" s="68"/>
      <c r="F155" s="68"/>
      <c r="G155" s="283"/>
      <c r="H155" s="57"/>
      <c r="I155" s="57"/>
      <c r="J155" s="111">
        <f>IF($A$2=A154,0,METAL!V31)</f>
        <v>0.80555555555555547</v>
      </c>
      <c r="K155" s="141">
        <f>IF($A$2=A154,0,METAL!V32)</f>
        <v>8.3333333333333329E-2</v>
      </c>
      <c r="L155" s="85">
        <f>METAL!U31</f>
        <v>3.3564814814814811E-2</v>
      </c>
      <c r="M155" s="86">
        <f>METAL!U32</f>
        <v>3.472222222222222E-3</v>
      </c>
      <c r="N155" s="86">
        <f>L155/$I$1</f>
        <v>3.3564814814814812E-4</v>
      </c>
      <c r="O155" s="68"/>
      <c r="P155" s="68"/>
      <c r="Q155" s="57"/>
      <c r="R155" s="57"/>
      <c r="S155" s="57"/>
    </row>
    <row r="156" spans="1:19" ht="16.5" thickBot="1">
      <c r="B156" s="57"/>
      <c r="C156" s="68"/>
      <c r="D156" s="68"/>
      <c r="E156" s="68"/>
      <c r="F156" s="68"/>
      <c r="G156" s="196"/>
      <c r="H156" s="57"/>
      <c r="I156" s="57"/>
      <c r="J156" s="57"/>
      <c r="K156" s="57"/>
      <c r="L156" s="68"/>
      <c r="M156" s="68"/>
      <c r="N156" s="68"/>
      <c r="O156" s="68"/>
      <c r="P156" s="68"/>
      <c r="Q156" s="57"/>
      <c r="R156" s="57"/>
      <c r="S156" s="57"/>
    </row>
    <row r="157" spans="1:19" ht="15.75" customHeight="1" thickBot="1">
      <c r="B157" s="57"/>
      <c r="C157" s="68"/>
      <c r="D157" s="68"/>
      <c r="E157" s="68"/>
      <c r="F157" s="68"/>
      <c r="G157" s="283"/>
      <c r="H157" s="57"/>
      <c r="I157" s="57"/>
      <c r="J157" s="467" t="s">
        <v>626</v>
      </c>
      <c r="K157" s="468"/>
      <c r="L157" s="464" t="s">
        <v>666</v>
      </c>
      <c r="M157" s="465"/>
      <c r="N157" s="466"/>
      <c r="O157" s="68"/>
      <c r="P157" s="68"/>
      <c r="Q157" s="57"/>
      <c r="R157" s="57"/>
      <c r="S157" s="57"/>
    </row>
    <row r="158" spans="1:19" ht="45.75" customHeight="1" thickBot="1">
      <c r="A158" s="55" t="b">
        <v>1</v>
      </c>
      <c r="B158" s="57"/>
      <c r="C158" s="278" t="s">
        <v>1099</v>
      </c>
      <c r="D158" s="68"/>
      <c r="E158" s="68"/>
      <c r="F158" s="68"/>
      <c r="G158" s="196"/>
      <c r="H158" s="57"/>
      <c r="I158" s="57"/>
      <c r="J158" s="82" t="s">
        <v>1304</v>
      </c>
      <c r="K158" s="83" t="s">
        <v>1306</v>
      </c>
      <c r="L158" s="152" t="s">
        <v>1304</v>
      </c>
      <c r="M158" s="153" t="s">
        <v>1306</v>
      </c>
      <c r="N158" s="153" t="s">
        <v>1311</v>
      </c>
      <c r="O158" s="68"/>
      <c r="P158" s="68"/>
      <c r="Q158" s="57"/>
      <c r="R158" s="57"/>
      <c r="S158" s="57"/>
    </row>
    <row r="159" spans="1:19" ht="47.25" customHeight="1" thickBot="1">
      <c r="B159" s="57"/>
      <c r="C159" s="272">
        <v>3</v>
      </c>
      <c r="D159" s="68"/>
      <c r="E159" s="68"/>
      <c r="F159" s="68"/>
      <c r="G159" s="283"/>
      <c r="H159" s="57"/>
      <c r="I159" s="57"/>
      <c r="J159" s="111">
        <f>IF($A$2=A158,0,METAL!V43)</f>
        <v>0.95833333333333326</v>
      </c>
      <c r="K159" s="141">
        <f>IF($A$2=A158,0,METAL!V44)</f>
        <v>8.3333333333333329E-2</v>
      </c>
      <c r="L159" s="85">
        <f>METAL!U43</f>
        <v>3.9930555555555552E-2</v>
      </c>
      <c r="M159" s="86">
        <f>METAL!U44</f>
        <v>3.472222222222222E-3</v>
      </c>
      <c r="N159" s="86">
        <f>L159/$I$1</f>
        <v>3.9930555555555552E-4</v>
      </c>
      <c r="O159" s="68"/>
      <c r="P159" s="68"/>
      <c r="Q159" s="57"/>
      <c r="R159" s="57"/>
      <c r="S159" s="57"/>
    </row>
    <row r="160" spans="1:19" ht="16.5" thickBot="1">
      <c r="B160" s="57"/>
      <c r="C160" s="68"/>
      <c r="D160" s="68"/>
      <c r="E160" s="68"/>
      <c r="F160" s="68"/>
      <c r="G160" s="196"/>
      <c r="H160" s="57"/>
      <c r="I160" s="57"/>
      <c r="J160" s="57"/>
      <c r="K160" s="57"/>
      <c r="L160" s="68"/>
      <c r="M160" s="68"/>
      <c r="N160" s="68"/>
      <c r="O160" s="68"/>
      <c r="P160" s="68"/>
      <c r="Q160" s="57"/>
      <c r="R160" s="57"/>
      <c r="S160" s="57"/>
    </row>
    <row r="161" spans="1:19" ht="15.75" customHeight="1" thickBot="1">
      <c r="B161" s="57"/>
      <c r="C161" s="68"/>
      <c r="D161" s="68"/>
      <c r="E161" s="68"/>
      <c r="F161" s="68"/>
      <c r="G161" s="283"/>
      <c r="H161" s="57"/>
      <c r="I161" s="57"/>
      <c r="J161" s="467" t="s">
        <v>626</v>
      </c>
      <c r="K161" s="468"/>
      <c r="L161" s="464" t="s">
        <v>666</v>
      </c>
      <c r="M161" s="465"/>
      <c r="N161" s="466"/>
      <c r="O161" s="68"/>
      <c r="P161" s="68"/>
      <c r="Q161" s="57"/>
      <c r="R161" s="57"/>
      <c r="S161" s="57"/>
    </row>
    <row r="162" spans="1:19" ht="46.5" customHeight="1">
      <c r="A162" s="55" t="b">
        <v>1</v>
      </c>
      <c r="B162" s="57"/>
      <c r="C162" s="271" t="s">
        <v>1099</v>
      </c>
      <c r="D162" s="68"/>
      <c r="E162" s="68"/>
      <c r="F162" s="68"/>
      <c r="G162" s="196"/>
      <c r="H162" s="57"/>
      <c r="I162" s="57"/>
      <c r="J162" s="82" t="s">
        <v>1304</v>
      </c>
      <c r="K162" s="83" t="s">
        <v>1306</v>
      </c>
      <c r="L162" s="152" t="s">
        <v>1304</v>
      </c>
      <c r="M162" s="153" t="s">
        <v>1306</v>
      </c>
      <c r="N162" s="153" t="s">
        <v>1311</v>
      </c>
      <c r="O162" s="68"/>
      <c r="P162" s="68"/>
      <c r="Q162" s="57"/>
      <c r="R162" s="57"/>
      <c r="S162" s="57"/>
    </row>
    <row r="163" spans="1:19" ht="46.5" customHeight="1" thickBot="1">
      <c r="B163" s="57"/>
      <c r="C163" s="272">
        <v>3</v>
      </c>
      <c r="D163" s="68"/>
      <c r="E163" s="68"/>
      <c r="F163" s="68"/>
      <c r="G163" s="283"/>
      <c r="H163" s="57"/>
      <c r="I163" s="57"/>
      <c r="J163" s="111">
        <f>IF($A$2=A162,0,METAL!V52)</f>
        <v>1.7861111111111114</v>
      </c>
      <c r="K163" s="141">
        <f>IF($A$2=A162,0,METAL!V53)</f>
        <v>8.3333333333333329E-2</v>
      </c>
      <c r="L163" s="85">
        <f>METAL!U52</f>
        <v>7.4421296296296305E-2</v>
      </c>
      <c r="M163" s="86">
        <f>METAL!U53</f>
        <v>3.472222222222222E-3</v>
      </c>
      <c r="N163" s="86">
        <f>L163/$I$1</f>
        <v>7.4421296296296301E-4</v>
      </c>
      <c r="O163" s="68"/>
      <c r="P163" s="68"/>
      <c r="Q163" s="57"/>
      <c r="R163" s="57"/>
      <c r="S163" s="57"/>
    </row>
    <row r="164" spans="1:19" ht="16.5" thickBot="1">
      <c r="B164" s="57"/>
      <c r="C164" s="68"/>
      <c r="D164" s="68"/>
      <c r="E164" s="68"/>
      <c r="F164" s="68"/>
      <c r="G164" s="196"/>
      <c r="H164" s="57"/>
      <c r="I164" s="57"/>
      <c r="J164" s="57"/>
      <c r="K164" s="57"/>
      <c r="L164" s="68"/>
      <c r="M164" s="68"/>
      <c r="N164" s="68"/>
      <c r="O164" s="68"/>
      <c r="P164" s="68"/>
      <c r="Q164" s="57"/>
      <c r="R164" s="57"/>
      <c r="S164" s="57"/>
    </row>
    <row r="165" spans="1:19" ht="15.75" customHeight="1" thickBot="1">
      <c r="B165" s="57"/>
      <c r="C165" s="68"/>
      <c r="D165" s="68"/>
      <c r="E165" s="68"/>
      <c r="F165" s="68"/>
      <c r="G165" s="283"/>
      <c r="H165" s="57"/>
      <c r="I165" s="57"/>
      <c r="J165" s="467" t="s">
        <v>626</v>
      </c>
      <c r="K165" s="468"/>
      <c r="L165" s="464" t="s">
        <v>666</v>
      </c>
      <c r="M165" s="465"/>
      <c r="N165" s="466"/>
      <c r="O165" s="68"/>
      <c r="P165" s="68"/>
      <c r="Q165" s="57"/>
      <c r="R165" s="57"/>
      <c r="S165" s="57"/>
    </row>
    <row r="166" spans="1:19" ht="40.5" customHeight="1">
      <c r="A166" s="55" t="b">
        <v>1</v>
      </c>
      <c r="B166" s="57"/>
      <c r="C166" s="362" t="s">
        <v>1150</v>
      </c>
      <c r="D166" s="363" t="s">
        <v>1151</v>
      </c>
      <c r="E166" s="68"/>
      <c r="F166" s="68"/>
      <c r="G166" s="196"/>
      <c r="H166" s="57"/>
      <c r="I166" s="57"/>
      <c r="J166" s="82" t="s">
        <v>1304</v>
      </c>
      <c r="K166" s="83" t="s">
        <v>1306</v>
      </c>
      <c r="L166" s="152" t="s">
        <v>1304</v>
      </c>
      <c r="M166" s="153" t="s">
        <v>1306</v>
      </c>
      <c r="N166" s="153" t="s">
        <v>1311</v>
      </c>
      <c r="O166" s="68"/>
      <c r="P166" s="68"/>
      <c r="Q166" s="57"/>
      <c r="R166" s="57"/>
      <c r="S166" s="57"/>
    </row>
    <row r="167" spans="1:19" ht="40.5" customHeight="1" thickBot="1">
      <c r="B167" s="57"/>
      <c r="C167" s="265">
        <v>1500</v>
      </c>
      <c r="D167" s="364" t="s">
        <v>1152</v>
      </c>
      <c r="E167" s="68"/>
      <c r="F167" s="68"/>
      <c r="G167" s="283"/>
      <c r="H167" s="57"/>
      <c r="I167" s="57"/>
      <c r="J167" s="111" t="e">
        <f>IF($A$2=A166,0,METAL!AG4)</f>
        <v>#DIV/0!</v>
      </c>
      <c r="K167" s="141">
        <f>IF($A$2=A166,0,METAL!AG5)</f>
        <v>8.3333333333333329E-2</v>
      </c>
      <c r="L167" s="85" t="e">
        <f>METAL!AF4</f>
        <v>#DIV/0!</v>
      </c>
      <c r="M167" s="86">
        <f>METAL!AF5</f>
        <v>3.472222222222222E-3</v>
      </c>
      <c r="N167" s="86" t="e">
        <f>L167/$I$1</f>
        <v>#DIV/0!</v>
      </c>
      <c r="O167" s="68"/>
      <c r="P167" s="68"/>
      <c r="Q167" s="57"/>
      <c r="R167" s="57"/>
      <c r="S167" s="57"/>
    </row>
    <row r="168" spans="1:19" ht="13.5" thickBot="1">
      <c r="B168" s="57"/>
      <c r="C168" s="68"/>
      <c r="D168" s="68"/>
      <c r="E168" s="68"/>
      <c r="F168" s="68"/>
      <c r="G168" s="68"/>
      <c r="H168" s="57"/>
      <c r="I168" s="57"/>
      <c r="J168" s="57"/>
      <c r="K168" s="57"/>
      <c r="L168" s="68"/>
      <c r="M168" s="68"/>
      <c r="N168" s="68"/>
      <c r="O168" s="68"/>
      <c r="P168" s="68"/>
      <c r="Q168" s="57"/>
      <c r="R168" s="57"/>
      <c r="S168" s="57"/>
    </row>
    <row r="169" spans="1:19" ht="15.75" customHeight="1" thickBot="1">
      <c r="B169" s="57"/>
      <c r="C169" s="68"/>
      <c r="D169" s="68"/>
      <c r="E169" s="68"/>
      <c r="F169" s="68"/>
      <c r="G169" s="68"/>
      <c r="H169" s="57"/>
      <c r="I169" s="57"/>
      <c r="J169" s="467" t="s">
        <v>626</v>
      </c>
      <c r="K169" s="468"/>
      <c r="L169" s="464" t="s">
        <v>666</v>
      </c>
      <c r="M169" s="465"/>
      <c r="N169" s="466"/>
      <c r="O169" s="68"/>
      <c r="P169" s="68"/>
      <c r="Q169" s="57"/>
      <c r="R169" s="57"/>
      <c r="S169" s="57"/>
    </row>
    <row r="170" spans="1:19" ht="45" customHeight="1">
      <c r="A170" s="55" t="b">
        <v>1</v>
      </c>
      <c r="B170" s="57"/>
      <c r="C170" s="365" t="s">
        <v>1163</v>
      </c>
      <c r="D170" s="68"/>
      <c r="E170" s="68"/>
      <c r="F170" s="68"/>
      <c r="G170" s="68"/>
      <c r="H170" s="57"/>
      <c r="I170" s="57"/>
      <c r="J170" s="82" t="s">
        <v>1304</v>
      </c>
      <c r="K170" s="83" t="s">
        <v>1306</v>
      </c>
      <c r="L170" s="152" t="s">
        <v>1304</v>
      </c>
      <c r="M170" s="153" t="s">
        <v>1306</v>
      </c>
      <c r="N170" s="153" t="s">
        <v>1311</v>
      </c>
      <c r="O170" s="68"/>
      <c r="P170" s="68"/>
      <c r="Q170" s="57"/>
      <c r="R170" s="57"/>
      <c r="S170" s="57"/>
    </row>
    <row r="171" spans="1:19" ht="45" customHeight="1" thickBot="1">
      <c r="B171" s="57"/>
      <c r="C171" s="272">
        <v>1</v>
      </c>
      <c r="D171" s="68"/>
      <c r="E171" s="68"/>
      <c r="F171" s="68"/>
      <c r="G171" s="68"/>
      <c r="H171" s="57"/>
      <c r="I171" s="57"/>
      <c r="J171" s="111" t="e">
        <f>IF($A$2=A170,0,METAL!AG23)</f>
        <v>#N/A</v>
      </c>
      <c r="K171" s="141">
        <f>IF($A$2=A170,0,METAL!AG24)</f>
        <v>8.3333333333333329E-2</v>
      </c>
      <c r="L171" s="85" t="e">
        <f>METAL!AF23</f>
        <v>#N/A</v>
      </c>
      <c r="M171" s="86">
        <f>METAL!AF24</f>
        <v>3.472222222222222E-3</v>
      </c>
      <c r="N171" s="86" t="e">
        <f>L171/$I$1</f>
        <v>#N/A</v>
      </c>
      <c r="O171" s="68"/>
      <c r="P171" s="68"/>
      <c r="Q171" s="57"/>
      <c r="R171" s="57"/>
      <c r="S171" s="57"/>
    </row>
    <row r="172" spans="1:19" ht="13.5" thickBot="1">
      <c r="B172" s="57"/>
      <c r="C172" s="68"/>
      <c r="D172" s="68"/>
      <c r="E172" s="68"/>
      <c r="F172" s="68"/>
      <c r="G172" s="68"/>
      <c r="H172" s="57"/>
      <c r="I172" s="57"/>
      <c r="J172" s="57"/>
      <c r="K172" s="57"/>
      <c r="L172" s="68"/>
      <c r="M172" s="68"/>
      <c r="N172" s="68"/>
      <c r="O172" s="68"/>
      <c r="P172" s="68"/>
      <c r="Q172" s="57"/>
      <c r="R172" s="57"/>
      <c r="S172" s="57"/>
    </row>
    <row r="173" spans="1:19" ht="15.75" customHeight="1" thickBot="1">
      <c r="B173" s="57"/>
      <c r="C173" s="68"/>
      <c r="D173" s="68"/>
      <c r="E173" s="68"/>
      <c r="F173" s="68"/>
      <c r="G173" s="68"/>
      <c r="H173" s="57"/>
      <c r="I173" s="57"/>
      <c r="J173" s="467" t="s">
        <v>626</v>
      </c>
      <c r="K173" s="468"/>
      <c r="L173" s="464" t="s">
        <v>666</v>
      </c>
      <c r="M173" s="465"/>
      <c r="N173" s="466"/>
      <c r="O173" s="68"/>
      <c r="P173" s="68"/>
      <c r="Q173" s="57"/>
      <c r="R173" s="57"/>
      <c r="S173" s="57"/>
    </row>
    <row r="174" spans="1:19" ht="45">
      <c r="A174" s="55" t="b">
        <v>1</v>
      </c>
      <c r="B174" s="57"/>
      <c r="C174" s="365" t="s">
        <v>1164</v>
      </c>
      <c r="D174" s="68"/>
      <c r="E174" s="68"/>
      <c r="F174" s="68"/>
      <c r="G174" s="68"/>
      <c r="H174" s="57"/>
      <c r="I174" s="57"/>
      <c r="J174" s="82" t="s">
        <v>1304</v>
      </c>
      <c r="K174" s="83" t="s">
        <v>1306</v>
      </c>
      <c r="L174" s="152" t="s">
        <v>1304</v>
      </c>
      <c r="M174" s="153" t="s">
        <v>1306</v>
      </c>
      <c r="N174" s="153" t="s">
        <v>1311</v>
      </c>
      <c r="O174" s="68"/>
      <c r="P174" s="68"/>
      <c r="Q174" s="57"/>
      <c r="R174" s="57"/>
      <c r="S174" s="57"/>
    </row>
    <row r="175" spans="1:19" ht="50.25" customHeight="1" thickBot="1">
      <c r="B175" s="57"/>
      <c r="C175" s="272">
        <v>2</v>
      </c>
      <c r="D175" s="68"/>
      <c r="E175" s="68"/>
      <c r="F175" s="68"/>
      <c r="G175" s="68"/>
      <c r="H175" s="57"/>
      <c r="I175" s="57"/>
      <c r="J175" s="111" t="e">
        <f>IF($A$2=A174,0,METAL!AG34)</f>
        <v>#N/A</v>
      </c>
      <c r="K175" s="141">
        <f>IF($A$2=A174,0,METAL!AG35)</f>
        <v>8.3333333333333329E-2</v>
      </c>
      <c r="L175" s="86" t="e">
        <f>METAL!AF34</f>
        <v>#N/A</v>
      </c>
      <c r="M175" s="86">
        <f>METAL!AF35</f>
        <v>3.472222222222222E-3</v>
      </c>
      <c r="N175" s="86" t="e">
        <f>L175/$I$1</f>
        <v>#N/A</v>
      </c>
      <c r="O175" s="68"/>
      <c r="P175" s="68"/>
      <c r="Q175" s="57"/>
      <c r="R175" s="57"/>
      <c r="S175" s="57"/>
    </row>
    <row r="176" spans="1:19" ht="13.5" thickBot="1">
      <c r="B176" s="57"/>
      <c r="C176" s="68"/>
      <c r="D176" s="68"/>
      <c r="E176" s="68"/>
      <c r="F176" s="68"/>
      <c r="G176" s="68"/>
      <c r="H176" s="57"/>
      <c r="I176" s="57"/>
      <c r="J176" s="57"/>
      <c r="K176" s="57"/>
      <c r="L176" s="68"/>
      <c r="M176" s="68"/>
      <c r="N176" s="68"/>
      <c r="O176" s="68"/>
      <c r="P176" s="68"/>
      <c r="Q176" s="57"/>
      <c r="R176" s="57"/>
      <c r="S176" s="57"/>
    </row>
    <row r="177" spans="1:19" ht="15.75" customHeight="1" thickBot="1">
      <c r="B177" s="57"/>
      <c r="C177" s="68"/>
      <c r="D177" s="68"/>
      <c r="E177" s="68"/>
      <c r="F177" s="68"/>
      <c r="G177" s="68"/>
      <c r="H177" s="57"/>
      <c r="I177" s="57"/>
      <c r="J177" s="467" t="s">
        <v>626</v>
      </c>
      <c r="K177" s="468"/>
      <c r="L177" s="464" t="s">
        <v>666</v>
      </c>
      <c r="M177" s="465"/>
      <c r="N177" s="466"/>
      <c r="O177" s="68"/>
      <c r="P177" s="68"/>
      <c r="Q177" s="57"/>
      <c r="R177" s="57"/>
      <c r="S177" s="57"/>
    </row>
    <row r="178" spans="1:19" ht="56.25" customHeight="1">
      <c r="A178" s="55" t="b">
        <v>1</v>
      </c>
      <c r="B178" s="57"/>
      <c r="C178" s="377" t="s">
        <v>1173</v>
      </c>
      <c r="D178" s="68"/>
      <c r="E178" s="68"/>
      <c r="F178" s="68"/>
      <c r="G178" s="68"/>
      <c r="H178" s="57"/>
      <c r="I178" s="57"/>
      <c r="J178" s="82" t="s">
        <v>1304</v>
      </c>
      <c r="K178" s="83" t="s">
        <v>1306</v>
      </c>
      <c r="L178" s="152" t="s">
        <v>1304</v>
      </c>
      <c r="M178" s="153" t="s">
        <v>1306</v>
      </c>
      <c r="N178" s="153" t="s">
        <v>1311</v>
      </c>
      <c r="O178" s="68"/>
      <c r="P178" s="68"/>
      <c r="Q178" s="57"/>
      <c r="R178" s="57"/>
      <c r="S178" s="57"/>
    </row>
    <row r="179" spans="1:19" ht="56.25" customHeight="1" thickBot="1">
      <c r="B179" s="57"/>
      <c r="C179" s="265">
        <v>3</v>
      </c>
      <c r="D179" s="68"/>
      <c r="E179" s="68"/>
      <c r="F179" s="68"/>
      <c r="G179" s="68"/>
      <c r="H179" s="57"/>
      <c r="I179" s="57"/>
      <c r="J179" s="111" t="e">
        <f>IF($A$2=A178,0,METAL!AG43)</f>
        <v>#N/A</v>
      </c>
      <c r="K179" s="141">
        <f>IF($A$2=A178,0,METAL!AG44)</f>
        <v>8.3333333333333329E-2</v>
      </c>
      <c r="L179" s="86" t="e">
        <f>METAL!AF43</f>
        <v>#N/A</v>
      </c>
      <c r="M179" s="86">
        <f>METAL!AF44</f>
        <v>3.472222222222222E-3</v>
      </c>
      <c r="N179" s="86" t="e">
        <f>L179/$I$1</f>
        <v>#N/A</v>
      </c>
      <c r="O179" s="68"/>
      <c r="P179" s="68"/>
      <c r="Q179" s="57"/>
      <c r="R179" s="57"/>
      <c r="S179" s="57"/>
    </row>
    <row r="180" spans="1:19" ht="13.5" thickBot="1">
      <c r="B180" s="57"/>
      <c r="C180" s="68"/>
      <c r="D180" s="68"/>
      <c r="E180" s="68"/>
      <c r="F180" s="68"/>
      <c r="G180" s="68"/>
      <c r="H180" s="57"/>
      <c r="I180" s="57"/>
      <c r="J180" s="57"/>
      <c r="K180" s="57"/>
      <c r="L180" s="68"/>
      <c r="M180" s="68"/>
      <c r="N180" s="68"/>
      <c r="O180" s="68"/>
      <c r="P180" s="68"/>
      <c r="Q180" s="57"/>
      <c r="R180" s="57"/>
      <c r="S180" s="57"/>
    </row>
    <row r="181" spans="1:19" ht="15.75" customHeight="1" thickBot="1">
      <c r="B181" s="57"/>
      <c r="C181" s="68"/>
      <c r="D181" s="68"/>
      <c r="E181" s="68"/>
      <c r="F181" s="68"/>
      <c r="G181" s="68"/>
      <c r="H181" s="57"/>
      <c r="I181" s="57"/>
      <c r="J181" s="467" t="s">
        <v>626</v>
      </c>
      <c r="K181" s="468"/>
      <c r="L181" s="464" t="s">
        <v>666</v>
      </c>
      <c r="M181" s="465"/>
      <c r="N181" s="466"/>
      <c r="O181" s="68"/>
      <c r="P181" s="68"/>
      <c r="Q181" s="57"/>
      <c r="R181" s="57"/>
      <c r="S181" s="57"/>
    </row>
    <row r="182" spans="1:19" ht="55.5" customHeight="1">
      <c r="A182" s="55" t="b">
        <v>1</v>
      </c>
      <c r="B182" s="57"/>
      <c r="C182" s="377" t="s">
        <v>1174</v>
      </c>
      <c r="D182" s="68"/>
      <c r="E182" s="68"/>
      <c r="F182" s="68"/>
      <c r="G182" s="68"/>
      <c r="H182" s="57"/>
      <c r="I182" s="57"/>
      <c r="J182" s="82" t="s">
        <v>1304</v>
      </c>
      <c r="K182" s="83" t="s">
        <v>1306</v>
      </c>
      <c r="L182" s="152" t="s">
        <v>1304</v>
      </c>
      <c r="M182" s="153" t="s">
        <v>1306</v>
      </c>
      <c r="N182" s="153" t="s">
        <v>1311</v>
      </c>
      <c r="O182" s="68"/>
      <c r="P182" s="68"/>
      <c r="Q182" s="57"/>
      <c r="R182" s="57"/>
      <c r="S182" s="57"/>
    </row>
    <row r="183" spans="1:19" ht="55.5" customHeight="1" thickBot="1">
      <c r="B183" s="57"/>
      <c r="C183" s="265">
        <v>4</v>
      </c>
      <c r="D183" s="68"/>
      <c r="E183" s="68"/>
      <c r="F183" s="68"/>
      <c r="G183" s="68"/>
      <c r="H183" s="57"/>
      <c r="I183" s="57"/>
      <c r="J183" s="111" t="e">
        <f>IF($A$2=A182,0,METAL!AG52)</f>
        <v>#N/A</v>
      </c>
      <c r="K183" s="141">
        <f>IF($A$2=A182,0,METAL!AG53)</f>
        <v>8.3333333333333329E-2</v>
      </c>
      <c r="L183" s="86" t="e">
        <f>METAL!AF52</f>
        <v>#N/A</v>
      </c>
      <c r="M183" s="86">
        <f>METAL!AF53</f>
        <v>3.472222222222222E-3</v>
      </c>
      <c r="N183" s="86" t="e">
        <f>L183/$I$1</f>
        <v>#N/A</v>
      </c>
      <c r="O183" s="68"/>
      <c r="P183" s="68"/>
      <c r="Q183" s="57"/>
      <c r="R183" s="57"/>
      <c r="S183" s="57"/>
    </row>
    <row r="184" spans="1:19" ht="13.5" thickBot="1">
      <c r="B184" s="57"/>
      <c r="C184" s="68"/>
      <c r="D184" s="68"/>
      <c r="E184" s="68"/>
      <c r="F184" s="68"/>
      <c r="G184" s="68"/>
      <c r="H184" s="57"/>
      <c r="I184" s="57"/>
      <c r="J184" s="57"/>
      <c r="K184" s="57"/>
      <c r="L184" s="68"/>
      <c r="M184" s="68"/>
      <c r="N184" s="68"/>
      <c r="O184" s="68"/>
      <c r="P184" s="68"/>
      <c r="Q184" s="57"/>
      <c r="R184" s="57"/>
      <c r="S184" s="57"/>
    </row>
    <row r="185" spans="1:19" ht="15.75" customHeight="1" thickBot="1">
      <c r="B185" s="57"/>
      <c r="C185" s="68"/>
      <c r="D185" s="68"/>
      <c r="E185" s="68"/>
      <c r="F185" s="68"/>
      <c r="G185" s="68"/>
      <c r="H185" s="57"/>
      <c r="I185" s="57"/>
      <c r="J185" s="467" t="s">
        <v>626</v>
      </c>
      <c r="K185" s="468"/>
      <c r="L185" s="464" t="s">
        <v>666</v>
      </c>
      <c r="M185" s="465"/>
      <c r="N185" s="466"/>
      <c r="O185" s="68"/>
      <c r="P185" s="68"/>
      <c r="Q185" s="57"/>
      <c r="R185" s="57"/>
      <c r="S185" s="57"/>
    </row>
    <row r="186" spans="1:19" ht="51.75" customHeight="1">
      <c r="A186" s="55" t="b">
        <v>1</v>
      </c>
      <c r="B186" s="57"/>
      <c r="C186" s="377" t="s">
        <v>1179</v>
      </c>
      <c r="D186" s="68"/>
      <c r="E186" s="68"/>
      <c r="F186" s="68"/>
      <c r="G186" s="68"/>
      <c r="H186" s="57"/>
      <c r="I186" s="57"/>
      <c r="J186" s="82" t="s">
        <v>1304</v>
      </c>
      <c r="K186" s="83" t="s">
        <v>1306</v>
      </c>
      <c r="L186" s="152" t="s">
        <v>1304</v>
      </c>
      <c r="M186" s="153" t="s">
        <v>1306</v>
      </c>
      <c r="N186" s="153" t="s">
        <v>1311</v>
      </c>
      <c r="O186" s="68"/>
      <c r="P186" s="68"/>
      <c r="Q186" s="57"/>
      <c r="R186" s="57"/>
      <c r="S186" s="57"/>
    </row>
    <row r="187" spans="1:19" ht="42" customHeight="1" thickBot="1">
      <c r="B187" s="57"/>
      <c r="C187" s="265">
        <v>5</v>
      </c>
      <c r="D187" s="68"/>
      <c r="E187" s="68"/>
      <c r="F187" s="68"/>
      <c r="G187" s="68"/>
      <c r="H187" s="57"/>
      <c r="I187" s="57"/>
      <c r="J187" s="111" t="e">
        <f>IF($A$2=A186,0,METAL!AG62)</f>
        <v>#N/A</v>
      </c>
      <c r="K187" s="141">
        <f>IF($A$2=A186,0,METAL!AG63)</f>
        <v>8.3333333333333329E-2</v>
      </c>
      <c r="L187" s="86" t="e">
        <f>METAL!AF62</f>
        <v>#N/A</v>
      </c>
      <c r="M187" s="86">
        <f>METAL!AF63</f>
        <v>3.472222222222222E-3</v>
      </c>
      <c r="N187" s="86" t="e">
        <f>L187/$I$1</f>
        <v>#N/A</v>
      </c>
      <c r="O187" s="68"/>
      <c r="P187" s="68"/>
      <c r="Q187" s="57"/>
      <c r="R187" s="57"/>
      <c r="S187" s="57"/>
    </row>
    <row r="188" spans="1:19" ht="13.5" thickBot="1">
      <c r="B188" s="57"/>
      <c r="C188" s="68"/>
      <c r="D188" s="68"/>
      <c r="E188" s="68"/>
      <c r="F188" s="68"/>
      <c r="G188" s="68"/>
      <c r="H188" s="57"/>
      <c r="I188" s="57"/>
      <c r="J188" s="57"/>
      <c r="K188" s="57"/>
      <c r="L188" s="68"/>
      <c r="M188" s="68"/>
      <c r="N188" s="68"/>
      <c r="O188" s="68"/>
      <c r="P188" s="68"/>
      <c r="Q188" s="57"/>
      <c r="R188" s="57"/>
      <c r="S188" s="57"/>
    </row>
    <row r="189" spans="1:19" ht="15.75" customHeight="1" thickBot="1">
      <c r="B189" s="57"/>
      <c r="C189" s="68"/>
      <c r="D189" s="68"/>
      <c r="E189" s="68"/>
      <c r="F189" s="68"/>
      <c r="G189" s="68"/>
      <c r="H189" s="57"/>
      <c r="I189" s="57"/>
      <c r="J189" s="467" t="s">
        <v>626</v>
      </c>
      <c r="K189" s="468"/>
      <c r="L189" s="464" t="s">
        <v>666</v>
      </c>
      <c r="M189" s="465"/>
      <c r="N189" s="466"/>
      <c r="O189" s="68"/>
      <c r="P189" s="68"/>
      <c r="Q189" s="57"/>
      <c r="R189" s="57"/>
      <c r="S189" s="57"/>
    </row>
    <row r="190" spans="1:19" ht="41.25" customHeight="1">
      <c r="A190" s="55" t="b">
        <v>1</v>
      </c>
      <c r="B190" s="57"/>
      <c r="C190" s="392" t="s">
        <v>1180</v>
      </c>
      <c r="D190" s="68"/>
      <c r="E190" s="68"/>
      <c r="F190" s="68"/>
      <c r="G190" s="68"/>
      <c r="H190" s="57"/>
      <c r="I190" s="57"/>
      <c r="J190" s="82" t="s">
        <v>1304</v>
      </c>
      <c r="K190" s="83" t="s">
        <v>1306</v>
      </c>
      <c r="L190" s="152" t="s">
        <v>1304</v>
      </c>
      <c r="M190" s="153" t="s">
        <v>1306</v>
      </c>
      <c r="N190" s="153" t="s">
        <v>1311</v>
      </c>
      <c r="O190" s="68"/>
      <c r="P190" s="68"/>
      <c r="Q190" s="57"/>
      <c r="R190" s="57"/>
      <c r="S190" s="57"/>
    </row>
    <row r="191" spans="1:19" ht="41.25" customHeight="1" thickBot="1">
      <c r="B191" s="57"/>
      <c r="C191" s="265">
        <v>150</v>
      </c>
      <c r="D191" s="68"/>
      <c r="E191" s="68"/>
      <c r="F191" s="68"/>
      <c r="G191" s="68"/>
      <c r="H191" s="57"/>
      <c r="I191" s="57"/>
      <c r="J191" s="111" t="e">
        <f>IF($A$2=A190,0,METAL!AG71)</f>
        <v>#N/A</v>
      </c>
      <c r="K191" s="141">
        <f>IF($A$2=A190,0,METAL!AG72)</f>
        <v>8.3333333333333329E-2</v>
      </c>
      <c r="L191" s="86" t="e">
        <f>METAL!AF71</f>
        <v>#N/A</v>
      </c>
      <c r="M191" s="86">
        <f>METAL!AF72</f>
        <v>3.472222222222222E-3</v>
      </c>
      <c r="N191" s="86" t="e">
        <f>L191/$I$1</f>
        <v>#N/A</v>
      </c>
      <c r="O191" s="68"/>
      <c r="P191" s="68"/>
      <c r="Q191" s="57"/>
      <c r="R191" s="57"/>
      <c r="S191" s="57"/>
    </row>
    <row r="192" spans="1:19" ht="13.5" thickBot="1">
      <c r="B192" s="57"/>
      <c r="C192" s="68"/>
      <c r="D192" s="68"/>
      <c r="E192" s="68"/>
      <c r="F192" s="68"/>
      <c r="G192" s="68"/>
      <c r="H192" s="57"/>
      <c r="I192" s="57"/>
      <c r="J192" s="57"/>
      <c r="K192" s="57"/>
      <c r="L192" s="68"/>
      <c r="M192" s="68"/>
      <c r="N192" s="68"/>
      <c r="O192" s="68"/>
      <c r="P192" s="68"/>
      <c r="Q192" s="57"/>
      <c r="R192" s="57"/>
      <c r="S192" s="57"/>
    </row>
    <row r="193" spans="1:19" ht="15.75" customHeight="1" thickBot="1">
      <c r="B193" s="57"/>
      <c r="C193" s="68"/>
      <c r="D193" s="68"/>
      <c r="E193" s="68"/>
      <c r="F193" s="68"/>
      <c r="G193" s="68"/>
      <c r="H193" s="57"/>
      <c r="I193" s="57"/>
      <c r="J193" s="467" t="s">
        <v>626</v>
      </c>
      <c r="K193" s="468"/>
      <c r="L193" s="464" t="s">
        <v>666</v>
      </c>
      <c r="M193" s="465"/>
      <c r="N193" s="466"/>
      <c r="O193" s="68"/>
      <c r="P193" s="68"/>
      <c r="Q193" s="57"/>
      <c r="R193" s="57"/>
      <c r="S193" s="57"/>
    </row>
    <row r="194" spans="1:19" ht="45">
      <c r="A194" s="55" t="b">
        <v>1</v>
      </c>
      <c r="B194" s="57"/>
      <c r="C194" s="392" t="s">
        <v>1193</v>
      </c>
      <c r="D194" s="392" t="s">
        <v>774</v>
      </c>
      <c r="E194" s="392" t="s">
        <v>1194</v>
      </c>
      <c r="F194" s="68"/>
      <c r="G194" s="68"/>
      <c r="H194" s="57"/>
      <c r="I194" s="57"/>
      <c r="J194" s="82" t="s">
        <v>1304</v>
      </c>
      <c r="K194" s="83" t="s">
        <v>1306</v>
      </c>
      <c r="L194" s="152" t="s">
        <v>1304</v>
      </c>
      <c r="M194" s="153" t="s">
        <v>1306</v>
      </c>
      <c r="N194" s="153" t="s">
        <v>1311</v>
      </c>
      <c r="O194" s="68"/>
      <c r="P194" s="68"/>
      <c r="Q194" s="57"/>
      <c r="R194" s="57"/>
      <c r="S194" s="57"/>
    </row>
    <row r="195" spans="1:19" ht="35.25" customHeight="1" thickBot="1">
      <c r="B195" s="57"/>
      <c r="C195" s="265">
        <v>1</v>
      </c>
      <c r="D195" s="265">
        <v>7</v>
      </c>
      <c r="E195" s="364" t="s">
        <v>1195</v>
      </c>
      <c r="F195" s="68"/>
      <c r="G195" s="68"/>
      <c r="H195" s="57"/>
      <c r="I195" s="57"/>
      <c r="J195" s="111">
        <f>IF($A$2=A194,0,METAL!V62)</f>
        <v>38.888888888888893</v>
      </c>
      <c r="K195" s="141">
        <f>IF($A$2=A194,0,METAL!V63)</f>
        <v>140</v>
      </c>
      <c r="L195" s="86">
        <f>METAL!U62</f>
        <v>2.3148148148148147E-2</v>
      </c>
      <c r="M195" s="86">
        <f>METAL!U63</f>
        <v>8.3333333333333329E-2</v>
      </c>
      <c r="N195" s="86">
        <f>L195/$I$1</f>
        <v>2.3148148148148146E-4</v>
      </c>
      <c r="O195" s="68"/>
      <c r="P195" s="68"/>
      <c r="Q195" s="57"/>
      <c r="R195" s="57"/>
      <c r="S195" s="57"/>
    </row>
    <row r="196" spans="1:19" ht="13.5" thickBot="1">
      <c r="B196" s="57"/>
      <c r="C196" s="68"/>
      <c r="D196" s="68"/>
      <c r="E196" s="68"/>
      <c r="F196" s="68"/>
      <c r="G196" s="68"/>
      <c r="H196" s="57"/>
      <c r="I196" s="57"/>
      <c r="J196" s="57"/>
      <c r="K196" s="57"/>
      <c r="L196" s="68"/>
      <c r="M196" s="68"/>
      <c r="N196" s="68"/>
      <c r="O196" s="68"/>
      <c r="P196" s="68"/>
      <c r="Q196" s="57"/>
      <c r="R196" s="57"/>
      <c r="S196" s="57"/>
    </row>
    <row r="197" spans="1:19" ht="15.75" customHeight="1" thickBot="1">
      <c r="B197" s="57"/>
      <c r="C197" s="68"/>
      <c r="D197" s="68"/>
      <c r="E197" s="68"/>
      <c r="F197" s="68"/>
      <c r="G197" s="68"/>
      <c r="H197" s="57"/>
      <c r="I197" s="57"/>
      <c r="J197" s="467" t="s">
        <v>626</v>
      </c>
      <c r="K197" s="468"/>
      <c r="L197" s="464" t="s">
        <v>666</v>
      </c>
      <c r="M197" s="465"/>
      <c r="N197" s="466"/>
      <c r="O197" s="68"/>
      <c r="P197" s="68"/>
      <c r="Q197" s="57"/>
      <c r="R197" s="57"/>
      <c r="S197" s="57"/>
    </row>
    <row r="198" spans="1:19" ht="44.25" customHeight="1">
      <c r="A198" s="55" t="b">
        <v>1</v>
      </c>
      <c r="B198" s="57"/>
      <c r="C198" s="392" t="s">
        <v>1197</v>
      </c>
      <c r="D198" s="392" t="s">
        <v>1198</v>
      </c>
      <c r="E198" s="411"/>
      <c r="F198" s="68"/>
      <c r="G198" s="68"/>
      <c r="H198" s="57"/>
      <c r="I198" s="57"/>
      <c r="J198" s="82" t="s">
        <v>1304</v>
      </c>
      <c r="K198" s="83" t="s">
        <v>1306</v>
      </c>
      <c r="L198" s="82" t="s">
        <v>1304</v>
      </c>
      <c r="M198" s="153" t="s">
        <v>1306</v>
      </c>
      <c r="N198" s="153" t="s">
        <v>1311</v>
      </c>
      <c r="O198" s="68"/>
      <c r="P198" s="68"/>
      <c r="Q198" s="57"/>
      <c r="R198" s="57"/>
      <c r="S198" s="57"/>
    </row>
    <row r="199" spans="1:19" ht="34.5" customHeight="1" thickBot="1">
      <c r="B199" s="57"/>
      <c r="C199" s="265">
        <v>2</v>
      </c>
      <c r="D199" s="265">
        <v>7</v>
      </c>
      <c r="E199" s="412"/>
      <c r="F199" s="68"/>
      <c r="G199" s="68"/>
      <c r="H199" s="57"/>
      <c r="I199" s="57"/>
      <c r="J199" s="111">
        <f>IF($A$2=A198,0,METAL!N62)</f>
        <v>1.8055555555555554E-2</v>
      </c>
      <c r="K199" s="141">
        <f>IF($A$2=A198,0,METAL!N63)</f>
        <v>8.3333333333333329E-2</v>
      </c>
      <c r="L199" s="86">
        <f>METAL!M62</f>
        <v>7.5231481481481482E-4</v>
      </c>
      <c r="M199" s="86">
        <f>METAL!M63</f>
        <v>3.472222222222222E-3</v>
      </c>
      <c r="N199" s="86">
        <f>L199/$I$1</f>
        <v>7.5231481481481484E-6</v>
      </c>
      <c r="O199" s="68"/>
      <c r="P199" s="68"/>
      <c r="Q199" s="57"/>
      <c r="R199" s="57"/>
      <c r="S199" s="57"/>
    </row>
    <row r="200" spans="1:19" ht="13.5" thickBot="1">
      <c r="B200" s="57"/>
      <c r="C200" s="68"/>
      <c r="D200" s="68"/>
      <c r="E200" s="68"/>
      <c r="F200" s="68"/>
      <c r="G200" s="68"/>
      <c r="H200" s="57"/>
      <c r="I200" s="57"/>
      <c r="J200" s="57"/>
      <c r="K200" s="57"/>
      <c r="L200" s="68"/>
      <c r="M200" s="68"/>
      <c r="N200" s="68"/>
      <c r="O200" s="68"/>
      <c r="P200" s="68"/>
      <c r="Q200" s="57"/>
      <c r="R200" s="57"/>
      <c r="S200" s="57"/>
    </row>
    <row r="201" spans="1:19" ht="21.75" customHeight="1" thickBot="1">
      <c r="B201" s="57"/>
      <c r="C201" s="68"/>
      <c r="D201" s="68"/>
      <c r="E201" s="68"/>
      <c r="F201" s="68"/>
      <c r="G201" s="68"/>
      <c r="H201" s="57"/>
      <c r="I201" s="57"/>
      <c r="J201" s="467" t="s">
        <v>626</v>
      </c>
      <c r="K201" s="468"/>
      <c r="L201" s="467" t="s">
        <v>666</v>
      </c>
      <c r="M201" s="495"/>
      <c r="N201" s="468"/>
      <c r="O201" s="68"/>
      <c r="P201" s="68"/>
      <c r="Q201" s="57"/>
      <c r="R201" s="57"/>
      <c r="S201" s="57"/>
    </row>
    <row r="202" spans="1:19" ht="30">
      <c r="A202" s="55" t="b">
        <v>1</v>
      </c>
      <c r="B202" s="57"/>
      <c r="C202" s="448" t="s">
        <v>1080</v>
      </c>
      <c r="D202" s="446" t="s">
        <v>1352</v>
      </c>
      <c r="E202" s="411"/>
      <c r="F202" s="68"/>
      <c r="G202" s="68"/>
      <c r="H202" s="57"/>
      <c r="I202" s="57"/>
      <c r="J202" s="152" t="s">
        <v>1304</v>
      </c>
      <c r="K202" s="153" t="s">
        <v>1306</v>
      </c>
      <c r="L202" s="152" t="s">
        <v>1304</v>
      </c>
      <c r="M202" s="445" t="s">
        <v>1306</v>
      </c>
      <c r="N202" s="153" t="s">
        <v>1311</v>
      </c>
      <c r="O202" s="68"/>
      <c r="P202" s="68"/>
      <c r="Q202" s="57"/>
      <c r="R202" s="57"/>
      <c r="S202" s="57"/>
    </row>
    <row r="203" spans="1:19" ht="35.25" customHeight="1" thickBot="1">
      <c r="B203" s="57"/>
      <c r="C203" s="449" t="s">
        <v>1348</v>
      </c>
      <c r="D203" s="447">
        <v>10</v>
      </c>
      <c r="E203" s="412"/>
      <c r="F203" s="68"/>
      <c r="G203" s="68"/>
      <c r="H203" s="57"/>
      <c r="I203" s="57"/>
      <c r="J203" s="111">
        <f>METAL!V72</f>
        <v>2</v>
      </c>
      <c r="K203" s="141">
        <f>METAL!V73</f>
        <v>17.5</v>
      </c>
      <c r="L203" s="85">
        <f>METAL!U72</f>
        <v>8.3333333333333343E-2</v>
      </c>
      <c r="M203" s="444">
        <f>METAL!U73</f>
        <v>1.0416666666666666E-2</v>
      </c>
      <c r="N203" s="86">
        <f>L203/$I$1</f>
        <v>8.3333333333333339E-4</v>
      </c>
      <c r="O203" s="68"/>
      <c r="P203" s="68"/>
      <c r="Q203" s="57"/>
      <c r="R203" s="57"/>
      <c r="S203" s="57"/>
    </row>
    <row r="204" spans="1:19">
      <c r="B204" s="57"/>
      <c r="C204" s="68"/>
      <c r="D204" s="68"/>
      <c r="E204" s="68"/>
      <c r="F204" s="68"/>
      <c r="G204" s="68"/>
      <c r="H204" s="57"/>
      <c r="I204" s="57"/>
      <c r="J204" s="57"/>
      <c r="K204" s="57"/>
      <c r="L204" s="68"/>
      <c r="M204" s="68"/>
      <c r="N204" s="68"/>
      <c r="O204" s="68"/>
      <c r="P204" s="68"/>
      <c r="Q204" s="57"/>
      <c r="R204" s="57"/>
      <c r="S204" s="57"/>
    </row>
    <row r="205" spans="1:19">
      <c r="B205" s="57"/>
      <c r="C205" s="68"/>
      <c r="D205" s="68"/>
      <c r="E205" s="68"/>
      <c r="F205" s="68"/>
      <c r="G205" s="68"/>
      <c r="H205" s="57"/>
      <c r="I205" s="57"/>
      <c r="J205" s="57"/>
      <c r="K205" s="57"/>
      <c r="L205" s="68"/>
      <c r="M205" s="68"/>
      <c r="N205" s="68"/>
      <c r="O205" s="68"/>
      <c r="P205" s="68"/>
      <c r="Q205" s="57"/>
      <c r="R205" s="57"/>
      <c r="S205" s="57"/>
    </row>
    <row r="206" spans="1:19">
      <c r="B206" s="57"/>
      <c r="C206" s="68"/>
      <c r="D206" s="68"/>
      <c r="E206" s="68"/>
      <c r="F206" s="68"/>
      <c r="G206" s="68"/>
      <c r="H206" s="57"/>
      <c r="I206" s="57"/>
      <c r="J206" s="57"/>
      <c r="K206" s="57"/>
      <c r="L206" s="68"/>
      <c r="M206" s="68"/>
      <c r="N206" s="68"/>
      <c r="O206" s="68"/>
      <c r="P206" s="68"/>
      <c r="Q206" s="57"/>
      <c r="R206" s="57"/>
      <c r="S206" s="57"/>
    </row>
    <row r="207" spans="1:19">
      <c r="B207" s="57"/>
      <c r="C207" s="68"/>
      <c r="D207" s="68"/>
      <c r="E207" s="68"/>
      <c r="F207" s="68"/>
      <c r="G207" s="68"/>
      <c r="H207" s="57"/>
      <c r="I207" s="57"/>
      <c r="J207" s="57"/>
      <c r="K207" s="57"/>
      <c r="L207" s="68"/>
      <c r="M207" s="68"/>
      <c r="N207" s="68"/>
      <c r="O207" s="68"/>
      <c r="P207" s="68"/>
      <c r="Q207" s="57"/>
      <c r="R207" s="57"/>
      <c r="S207" s="57"/>
    </row>
    <row r="208" spans="1:19">
      <c r="B208" s="57"/>
      <c r="C208" s="68"/>
      <c r="D208" s="68"/>
      <c r="E208" s="68"/>
      <c r="F208" s="68"/>
      <c r="G208" s="68"/>
      <c r="H208" s="57"/>
      <c r="I208" s="57"/>
      <c r="J208" s="57"/>
      <c r="K208" s="57"/>
      <c r="L208" s="68"/>
      <c r="M208" s="68"/>
      <c r="N208" s="68"/>
      <c r="O208" s="68"/>
      <c r="P208" s="68"/>
      <c r="Q208" s="57"/>
      <c r="R208" s="57"/>
      <c r="S208" s="57"/>
    </row>
    <row r="209" spans="2:19">
      <c r="B209" s="57"/>
      <c r="C209" s="68"/>
      <c r="D209" s="68"/>
      <c r="E209" s="68"/>
      <c r="F209" s="68"/>
      <c r="G209" s="68"/>
      <c r="H209" s="57"/>
      <c r="I209" s="57"/>
      <c r="J209" s="57"/>
      <c r="K209" s="57"/>
      <c r="L209" s="68"/>
      <c r="M209" s="68"/>
      <c r="N209" s="68"/>
      <c r="O209" s="68"/>
      <c r="P209" s="68"/>
      <c r="Q209" s="57"/>
      <c r="R209" s="57"/>
      <c r="S209" s="57"/>
    </row>
    <row r="210" spans="2:19">
      <c r="B210" s="57"/>
      <c r="C210" s="68"/>
      <c r="D210" s="68"/>
      <c r="E210" s="68"/>
      <c r="F210" s="68"/>
      <c r="G210" s="68"/>
      <c r="H210" s="57"/>
      <c r="I210" s="57"/>
      <c r="J210" s="57"/>
      <c r="K210" s="57"/>
      <c r="L210" s="68"/>
      <c r="M210" s="68"/>
      <c r="N210" s="68"/>
      <c r="O210" s="68"/>
      <c r="P210" s="68"/>
      <c r="Q210" s="57"/>
      <c r="R210" s="57"/>
      <c r="S210" s="57"/>
    </row>
    <row r="211" spans="2:19">
      <c r="B211" s="57"/>
      <c r="C211" s="68"/>
      <c r="D211" s="68"/>
      <c r="E211" s="68"/>
      <c r="F211" s="68"/>
      <c r="G211" s="68"/>
      <c r="H211" s="57"/>
      <c r="I211" s="57"/>
      <c r="J211" s="57"/>
      <c r="K211" s="57"/>
      <c r="L211" s="68"/>
      <c r="M211" s="68"/>
      <c r="N211" s="68"/>
      <c r="O211" s="68"/>
      <c r="P211" s="68"/>
      <c r="Q211" s="57"/>
      <c r="R211" s="57"/>
      <c r="S211" s="57"/>
    </row>
    <row r="212" spans="2:19">
      <c r="B212" s="57"/>
      <c r="C212" s="68"/>
      <c r="D212" s="68"/>
      <c r="E212" s="68"/>
      <c r="F212" s="68"/>
      <c r="G212" s="68"/>
      <c r="H212" s="57"/>
      <c r="I212" s="57"/>
      <c r="J212" s="57"/>
      <c r="K212" s="57"/>
      <c r="L212" s="68"/>
      <c r="M212" s="68"/>
      <c r="N212" s="68"/>
      <c r="O212" s="68"/>
      <c r="P212" s="68"/>
      <c r="Q212" s="57"/>
      <c r="R212" s="57"/>
      <c r="S212" s="57"/>
    </row>
    <row r="213" spans="2:19">
      <c r="B213" s="57"/>
      <c r="C213" s="68"/>
      <c r="D213" s="68"/>
      <c r="E213" s="68"/>
      <c r="F213" s="68"/>
      <c r="G213" s="68"/>
      <c r="H213" s="57"/>
      <c r="I213" s="57"/>
      <c r="J213" s="57"/>
      <c r="K213" s="57"/>
      <c r="L213" s="68"/>
      <c r="M213" s="68"/>
      <c r="N213" s="68"/>
      <c r="O213" s="68"/>
      <c r="P213" s="68"/>
      <c r="Q213" s="57"/>
      <c r="R213" s="57"/>
      <c r="S213" s="57"/>
    </row>
    <row r="214" spans="2:19">
      <c r="B214" s="57"/>
      <c r="C214" s="68"/>
      <c r="D214" s="68"/>
      <c r="E214" s="68"/>
      <c r="F214" s="68"/>
      <c r="G214" s="68"/>
      <c r="H214" s="57"/>
      <c r="I214" s="57"/>
      <c r="J214" s="57"/>
      <c r="K214" s="57"/>
      <c r="L214" s="68"/>
      <c r="M214" s="68"/>
      <c r="N214" s="68"/>
      <c r="O214" s="68"/>
      <c r="P214" s="68"/>
      <c r="Q214" s="57"/>
      <c r="R214" s="57"/>
      <c r="S214" s="57"/>
    </row>
    <row r="215" spans="2:19">
      <c r="B215" s="57"/>
      <c r="C215" s="68"/>
      <c r="D215" s="68"/>
      <c r="E215" s="68"/>
      <c r="F215" s="68"/>
      <c r="G215" s="68"/>
      <c r="H215" s="57"/>
      <c r="I215" s="57"/>
      <c r="J215" s="57"/>
      <c r="K215" s="57"/>
      <c r="L215" s="68"/>
      <c r="M215" s="68"/>
      <c r="N215" s="68"/>
      <c r="O215" s="68"/>
      <c r="P215" s="68"/>
      <c r="Q215" s="57"/>
      <c r="R215" s="57"/>
      <c r="S215" s="57"/>
    </row>
    <row r="216" spans="2:19">
      <c r="B216" s="57"/>
      <c r="C216" s="68"/>
      <c r="D216" s="68"/>
      <c r="E216" s="68"/>
      <c r="F216" s="68"/>
      <c r="G216" s="68"/>
      <c r="H216" s="57"/>
      <c r="I216" s="57"/>
      <c r="J216" s="57"/>
      <c r="K216" s="57"/>
      <c r="L216" s="68"/>
      <c r="M216" s="68"/>
      <c r="N216" s="68"/>
      <c r="O216" s="68"/>
      <c r="P216" s="68"/>
      <c r="Q216" s="57"/>
      <c r="R216" s="57"/>
      <c r="S216" s="57"/>
    </row>
    <row r="217" spans="2:19">
      <c r="B217" s="57"/>
      <c r="C217" s="68"/>
      <c r="D217" s="68"/>
      <c r="E217" s="68"/>
      <c r="F217" s="68"/>
      <c r="G217" s="68"/>
      <c r="H217" s="57"/>
      <c r="I217" s="57"/>
      <c r="J217" s="57"/>
      <c r="K217" s="57"/>
      <c r="L217" s="68"/>
      <c r="M217" s="68"/>
      <c r="N217" s="68"/>
      <c r="O217" s="68"/>
      <c r="P217" s="68"/>
      <c r="Q217" s="57"/>
      <c r="R217" s="57"/>
      <c r="S217" s="57"/>
    </row>
    <row r="218" spans="2:19">
      <c r="B218" s="57"/>
      <c r="C218" s="68"/>
      <c r="D218" s="68"/>
      <c r="E218" s="68"/>
      <c r="F218" s="68"/>
      <c r="G218" s="68"/>
      <c r="H218" s="57"/>
      <c r="I218" s="57"/>
      <c r="J218" s="57"/>
      <c r="K218" s="57"/>
      <c r="L218" s="68"/>
      <c r="M218" s="68"/>
      <c r="N218" s="68"/>
      <c r="O218" s="68"/>
      <c r="P218" s="68"/>
      <c r="Q218" s="57"/>
      <c r="R218" s="57"/>
      <c r="S218" s="57"/>
    </row>
    <row r="219" spans="2:19">
      <c r="B219" s="57"/>
      <c r="C219" s="68"/>
      <c r="D219" s="68"/>
      <c r="E219" s="68"/>
      <c r="F219" s="68"/>
      <c r="G219" s="68"/>
      <c r="H219" s="57"/>
      <c r="I219" s="57"/>
      <c r="J219" s="57"/>
      <c r="K219" s="57"/>
      <c r="L219" s="68"/>
      <c r="M219" s="68"/>
      <c r="N219" s="68"/>
      <c r="O219" s="68"/>
      <c r="P219" s="68"/>
      <c r="Q219" s="57"/>
      <c r="R219" s="57"/>
      <c r="S219" s="57"/>
    </row>
    <row r="220" spans="2:19">
      <c r="B220" s="57"/>
      <c r="C220" s="68"/>
      <c r="D220" s="68"/>
      <c r="E220" s="68"/>
      <c r="F220" s="68"/>
      <c r="G220" s="68"/>
      <c r="H220" s="57"/>
      <c r="I220" s="57"/>
      <c r="J220" s="57"/>
      <c r="K220" s="57"/>
      <c r="L220" s="68"/>
      <c r="M220" s="68"/>
      <c r="N220" s="68"/>
      <c r="O220" s="68"/>
      <c r="P220" s="68"/>
      <c r="Q220" s="57"/>
      <c r="R220" s="57"/>
      <c r="S220" s="57"/>
    </row>
  </sheetData>
  <mergeCells count="120">
    <mergeCell ref="J201:K201"/>
    <mergeCell ref="L201:N201"/>
    <mergeCell ref="L130:N130"/>
    <mergeCell ref="L53:N53"/>
    <mergeCell ref="L49:N49"/>
    <mergeCell ref="L45:N45"/>
    <mergeCell ref="L39:N39"/>
    <mergeCell ref="L32:N32"/>
    <mergeCell ref="L27:N27"/>
    <mergeCell ref="L118:N118"/>
    <mergeCell ref="L114:N114"/>
    <mergeCell ref="L110:N110"/>
    <mergeCell ref="L106:N106"/>
    <mergeCell ref="L102:N102"/>
    <mergeCell ref="L99:N99"/>
    <mergeCell ref="L83:N83"/>
    <mergeCell ref="L79:N79"/>
    <mergeCell ref="L96:N96"/>
    <mergeCell ref="L54:N54"/>
    <mergeCell ref="L197:N197"/>
    <mergeCell ref="L193:N193"/>
    <mergeCell ref="L189:N189"/>
    <mergeCell ref="L185:N185"/>
    <mergeCell ref="L181:N181"/>
    <mergeCell ref="L177:N177"/>
    <mergeCell ref="L173:N173"/>
    <mergeCell ref="L169:N169"/>
    <mergeCell ref="J141:K141"/>
    <mergeCell ref="J173:K173"/>
    <mergeCell ref="J157:K157"/>
    <mergeCell ref="J161:K161"/>
    <mergeCell ref="J153:K153"/>
    <mergeCell ref="L165:N165"/>
    <mergeCell ref="L161:N161"/>
    <mergeCell ref="L157:N157"/>
    <mergeCell ref="L153:N153"/>
    <mergeCell ref="L149:N149"/>
    <mergeCell ref="L145:N145"/>
    <mergeCell ref="L141:N141"/>
    <mergeCell ref="J197:K197"/>
    <mergeCell ref="J177:K177"/>
    <mergeCell ref="J181:K181"/>
    <mergeCell ref="J185:K185"/>
    <mergeCell ref="E13:E14"/>
    <mergeCell ref="E4:E5"/>
    <mergeCell ref="E9:E10"/>
    <mergeCell ref="C1:D1"/>
    <mergeCell ref="L3:N3"/>
    <mergeCell ref="J4:N4"/>
    <mergeCell ref="J3:K3"/>
    <mergeCell ref="C13:D13"/>
    <mergeCell ref="C9:D9"/>
    <mergeCell ref="C4:D4"/>
    <mergeCell ref="G4:G5"/>
    <mergeCell ref="F4:F5"/>
    <mergeCell ref="F9:F10"/>
    <mergeCell ref="L13:N13"/>
    <mergeCell ref="L9:N9"/>
    <mergeCell ref="H4:H5"/>
    <mergeCell ref="J13:K13"/>
    <mergeCell ref="J118:K118"/>
    <mergeCell ref="J79:K79"/>
    <mergeCell ref="J58:K58"/>
    <mergeCell ref="J99:K99"/>
    <mergeCell ref="J87:K87"/>
    <mergeCell ref="J92:K92"/>
    <mergeCell ref="J149:K149"/>
    <mergeCell ref="J145:K145"/>
    <mergeCell ref="J122:K122"/>
    <mergeCell ref="J126:K126"/>
    <mergeCell ref="J110:K110"/>
    <mergeCell ref="J63:K63"/>
    <mergeCell ref="J53:K54"/>
    <mergeCell ref="J193:K193"/>
    <mergeCell ref="J189:K189"/>
    <mergeCell ref="J9:K9"/>
    <mergeCell ref="L74:N74"/>
    <mergeCell ref="L68:N68"/>
    <mergeCell ref="R96:S96"/>
    <mergeCell ref="P4:P5"/>
    <mergeCell ref="R4:S4"/>
    <mergeCell ref="J96:K96"/>
    <mergeCell ref="O91:P91"/>
    <mergeCell ref="O8:P8"/>
    <mergeCell ref="O9:P9"/>
    <mergeCell ref="O73:R73"/>
    <mergeCell ref="O74:R74"/>
    <mergeCell ref="J83:K83"/>
    <mergeCell ref="O92:P92"/>
    <mergeCell ref="O22:P22"/>
    <mergeCell ref="O21:P21"/>
    <mergeCell ref="J39:K39"/>
    <mergeCell ref="O38:P38"/>
    <mergeCell ref="O39:P39"/>
    <mergeCell ref="J45:K45"/>
    <mergeCell ref="J49:K49"/>
    <mergeCell ref="L22:N22"/>
    <mergeCell ref="L17:N17"/>
    <mergeCell ref="L92:N92"/>
    <mergeCell ref="L87:N87"/>
    <mergeCell ref="J130:K130"/>
    <mergeCell ref="J133:K133"/>
    <mergeCell ref="J165:K165"/>
    <mergeCell ref="J169:K169"/>
    <mergeCell ref="J17:K17"/>
    <mergeCell ref="J32:K32"/>
    <mergeCell ref="J137:K137"/>
    <mergeCell ref="J22:K22"/>
    <mergeCell ref="J27:K27"/>
    <mergeCell ref="J102:K102"/>
    <mergeCell ref="J106:K106"/>
    <mergeCell ref="J68:K68"/>
    <mergeCell ref="J74:K74"/>
    <mergeCell ref="L126:N126"/>
    <mergeCell ref="L122:N122"/>
    <mergeCell ref="J114:K114"/>
    <mergeCell ref="L137:N137"/>
    <mergeCell ref="L133:N133"/>
    <mergeCell ref="L63:N63"/>
    <mergeCell ref="L58:N58"/>
  </mergeCells>
  <conditionalFormatting sqref="C14:M15 C13:L13">
    <cfRule type="expression" dxfId="191" priority="119">
      <formula>$A$14=$A$2</formula>
    </cfRule>
  </conditionalFormatting>
  <conditionalFormatting sqref="C18:M19 C17:L17">
    <cfRule type="expression" dxfId="190" priority="218">
      <formula>$A$18=$A$2</formula>
    </cfRule>
  </conditionalFormatting>
  <conditionalFormatting sqref="C21:M21 O21:P24 C23:M24 C22:L22">
    <cfRule type="expression" dxfId="189" priority="217">
      <formula>$A$23=$A$2</formula>
    </cfRule>
  </conditionalFormatting>
  <conditionalFormatting sqref="O23:P24">
    <cfRule type="expression" dxfId="188" priority="216">
      <formula>$E$24="bez formatowania"</formula>
    </cfRule>
  </conditionalFormatting>
  <conditionalFormatting sqref="F23:G24">
    <cfRule type="expression" dxfId="187" priority="215">
      <formula>$E$24="bez formatowania"</formula>
    </cfRule>
  </conditionalFormatting>
  <conditionalFormatting sqref="C28:M30 C27:L27">
    <cfRule type="expression" dxfId="186" priority="214">
      <formula>$A$28=$A$2</formula>
    </cfRule>
  </conditionalFormatting>
  <conditionalFormatting sqref="J38:M38 O38:P41 J40:M41 J39:L39 C40:E43">
    <cfRule type="expression" dxfId="185" priority="213">
      <formula>$A$41=$A$2</formula>
    </cfRule>
  </conditionalFormatting>
  <conditionalFormatting sqref="O40:P41 D42:E43">
    <cfRule type="expression" dxfId="184" priority="212">
      <formula>$C$43="nie"</formula>
    </cfRule>
  </conditionalFormatting>
  <conditionalFormatting sqref="C46:M47 C45:E45 G45:L45">
    <cfRule type="expression" dxfId="183" priority="211">
      <formula>$A$47=$A$2</formula>
    </cfRule>
  </conditionalFormatting>
  <conditionalFormatting sqref="C55:M56 C53:L54">
    <cfRule type="expression" dxfId="182" priority="210">
      <formula>$A$56=$A$2</formula>
    </cfRule>
  </conditionalFormatting>
  <conditionalFormatting sqref="C64:M65 C63:L63">
    <cfRule type="expression" dxfId="181" priority="209">
      <formula>$A$64=$A$2</formula>
    </cfRule>
  </conditionalFormatting>
  <conditionalFormatting sqref="C59:M60 C58:L58">
    <cfRule type="expression" dxfId="180" priority="208">
      <formula>$A$59=$A$2</formula>
    </cfRule>
  </conditionalFormatting>
  <conditionalFormatting sqref="C69:M70 C68:L68">
    <cfRule type="expression" dxfId="179" priority="207">
      <formula>$A$69=$A$2</formula>
    </cfRule>
  </conditionalFormatting>
  <conditionalFormatting sqref="C75:E76 J73:M73 O73:R76 J75:M76 J74:L74">
    <cfRule type="expression" dxfId="178" priority="206">
      <formula>$A$75=$A$2</formula>
    </cfRule>
  </conditionalFormatting>
  <conditionalFormatting sqref="C78:M78 O78:P81 C80:M81 C79:L79">
    <cfRule type="expression" dxfId="177" priority="203">
      <formula>$A$80=$A$2</formula>
    </cfRule>
  </conditionalFormatting>
  <conditionalFormatting sqref="C84:M85 C83:L83">
    <cfRule type="expression" dxfId="176" priority="202">
      <formula>$A$84=$A$2</formula>
    </cfRule>
  </conditionalFormatting>
  <conditionalFormatting sqref="C88:M89 C87:L87">
    <cfRule type="expression" dxfId="175" priority="199">
      <formula>$A$2=$A$88</formula>
    </cfRule>
  </conditionalFormatting>
  <conditionalFormatting sqref="C50:M51 C49:L49">
    <cfRule type="expression" dxfId="174" priority="192">
      <formula>$A$51=$A$2</formula>
    </cfRule>
  </conditionalFormatting>
  <conditionalFormatting sqref="C91:M91 O91:P94 C93:M94 C92:L92">
    <cfRule type="expression" dxfId="173" priority="191">
      <formula>$A$2=$A$94</formula>
    </cfRule>
  </conditionalFormatting>
  <conditionalFormatting sqref="B107:M108 B106:L106">
    <cfRule type="expression" dxfId="172" priority="190">
      <formula>$A$107=$A$2</formula>
    </cfRule>
  </conditionalFormatting>
  <conditionalFormatting sqref="C111:M112 C110:L110">
    <cfRule type="expression" dxfId="171" priority="189">
      <formula>$A$111=$A$2</formula>
    </cfRule>
  </conditionalFormatting>
  <conditionalFormatting sqref="D100:D101">
    <cfRule type="expression" dxfId="170" priority="188">
      <formula>$C$101="nie"</formula>
    </cfRule>
  </conditionalFormatting>
  <conditionalFormatting sqref="C33:M34 C32:L32">
    <cfRule type="expression" dxfId="169" priority="187">
      <formula>$A$33=$A$2</formula>
    </cfRule>
  </conditionalFormatting>
  <conditionalFormatting sqref="D103:E104">
    <cfRule type="expression" dxfId="168" priority="185">
      <formula>$C$104="nie"</formula>
    </cfRule>
  </conditionalFormatting>
  <conditionalFormatting sqref="C115:M116 C114:L114">
    <cfRule type="expression" dxfId="167" priority="184">
      <formula>$A$2=$A$116</formula>
    </cfRule>
  </conditionalFormatting>
  <conditionalFormatting sqref="C119:M120 C118:L118">
    <cfRule type="expression" dxfId="166" priority="183">
      <formula>$A$120=$A$2</formula>
    </cfRule>
  </conditionalFormatting>
  <conditionalFormatting sqref="C97:M98 O96:S104 C103:M104 C102:L102 C100:M101 C99:L99 C96:L96">
    <cfRule type="expression" dxfId="165" priority="182">
      <formula>$A$100=$A$2</formula>
    </cfRule>
  </conditionalFormatting>
  <conditionalFormatting sqref="C5:M6 O4:S6 C4:J4">
    <cfRule type="expression" dxfId="164" priority="116">
      <formula>$A$5=$A$2</formula>
    </cfRule>
  </conditionalFormatting>
  <conditionalFormatting sqref="D127:D128">
    <cfRule type="expression" dxfId="163" priority="181">
      <formula>$A$2=$A$94</formula>
    </cfRule>
  </conditionalFormatting>
  <conditionalFormatting sqref="G4:G5">
    <cfRule type="expression" dxfId="162" priority="117">
      <formula>$A$5=$A$2</formula>
    </cfRule>
  </conditionalFormatting>
  <conditionalFormatting sqref="C127:M128 C126:L126">
    <cfRule type="expression" dxfId="161" priority="177">
      <formula>$A$2=$A$128</formula>
    </cfRule>
  </conditionalFormatting>
  <conditionalFormatting sqref="C131:M132 C134:M135 C133:L133 C130:L130">
    <cfRule type="expression" dxfId="160" priority="167">
      <formula>$A$2=$A$132</formula>
    </cfRule>
  </conditionalFormatting>
  <conditionalFormatting sqref="C138:M139 C137:L137">
    <cfRule type="expression" dxfId="159" priority="143">
      <formula>$A$138=$A$2</formula>
    </cfRule>
  </conditionalFormatting>
  <conditionalFormatting sqref="C142:M143 C141:L141">
    <cfRule type="expression" dxfId="158" priority="132">
      <formula>$A$142=$A$2</formula>
    </cfRule>
  </conditionalFormatting>
  <conditionalFormatting sqref="C146:M147 C145:L145">
    <cfRule type="expression" dxfId="157" priority="131">
      <formula>$A$146=$A$2</formula>
    </cfRule>
  </conditionalFormatting>
  <conditionalFormatting sqref="C150:M151 C149:L149">
    <cfRule type="expression" dxfId="156" priority="130">
      <formula>$A$150=$A$2</formula>
    </cfRule>
  </conditionalFormatting>
  <conditionalFormatting sqref="C154:M155 C153:L153">
    <cfRule type="expression" dxfId="155" priority="129">
      <formula>$A$154=$A$2</formula>
    </cfRule>
  </conditionalFormatting>
  <conditionalFormatting sqref="C158:M159 C157:L157">
    <cfRule type="expression" dxfId="154" priority="128">
      <formula>$A$158=$A$2</formula>
    </cfRule>
  </conditionalFormatting>
  <conditionalFormatting sqref="C162:M163 C161:L161">
    <cfRule type="expression" dxfId="153" priority="127">
      <formula>$A$162=$A$2</formula>
    </cfRule>
  </conditionalFormatting>
  <conditionalFormatting sqref="C166:M167 C165:L165">
    <cfRule type="expression" dxfId="152" priority="126">
      <formula>$A$166=$A$2</formula>
    </cfRule>
  </conditionalFormatting>
  <conditionalFormatting sqref="C170:M171 C169:L169">
    <cfRule type="expression" dxfId="151" priority="125">
      <formula>$A$170=$A$2</formula>
    </cfRule>
  </conditionalFormatting>
  <conditionalFormatting sqref="C174:M175 C173:L173">
    <cfRule type="expression" dxfId="150" priority="124">
      <formula>$A$174=$A$2</formula>
    </cfRule>
  </conditionalFormatting>
  <conditionalFormatting sqref="C178:M179 C177:L177">
    <cfRule type="expression" dxfId="149" priority="123">
      <formula>$A$178=$A$2</formula>
    </cfRule>
  </conditionalFormatting>
  <conditionalFormatting sqref="C182:M183 C181:L181">
    <cfRule type="expression" dxfId="148" priority="122">
      <formula>$A$182=$A$2</formula>
    </cfRule>
  </conditionalFormatting>
  <conditionalFormatting sqref="C186:M187 C185:L185">
    <cfRule type="expression" dxfId="147" priority="121">
      <formula>$A$186=$A$2</formula>
    </cfRule>
  </conditionalFormatting>
  <conditionalFormatting sqref="C123:M124 C122:L122">
    <cfRule type="expression" dxfId="146" priority="120">
      <formula>$A$123=$A$2</formula>
    </cfRule>
  </conditionalFormatting>
  <conditionalFormatting sqref="C8:M8 O8:P11 C10:M11 C9:L9">
    <cfRule type="expression" dxfId="145" priority="118">
      <formula>$A$10=$A$2</formula>
    </cfRule>
  </conditionalFormatting>
  <conditionalFormatting sqref="C190:M191 C189:L189">
    <cfRule type="expression" dxfId="144" priority="104">
      <formula>$A$190=$A$2</formula>
    </cfRule>
  </conditionalFormatting>
  <conditionalFormatting sqref="H4:H5">
    <cfRule type="expression" dxfId="143" priority="107">
      <formula>$A$5=$A$2</formula>
    </cfRule>
  </conditionalFormatting>
  <conditionalFormatting sqref="H4:H5">
    <cfRule type="expression" dxfId="142" priority="108">
      <formula>$A$5=$A$2</formula>
    </cfRule>
  </conditionalFormatting>
  <conditionalFormatting sqref="C194:M195 C193:L193">
    <cfRule type="expression" dxfId="141" priority="102">
      <formula>$A$194=$A$2</formula>
    </cfRule>
  </conditionalFormatting>
  <conditionalFormatting sqref="E195">
    <cfRule type="expression" dxfId="140" priority="101">
      <formula>$A$166=$A$2</formula>
    </cfRule>
  </conditionalFormatting>
  <conditionalFormatting sqref="C198:M199 C197:L197">
    <cfRule type="expression" dxfId="139" priority="100">
      <formula>$A$198=$A$2</formula>
    </cfRule>
  </conditionalFormatting>
  <conditionalFormatting sqref="N5:N6">
    <cfRule type="expression" dxfId="138" priority="98">
      <formula>$A$5=$A$2</formula>
    </cfRule>
  </conditionalFormatting>
  <conditionalFormatting sqref="N11">
    <cfRule type="expression" dxfId="137" priority="97">
      <formula>$A$5=$A$2</formula>
    </cfRule>
  </conditionalFormatting>
  <conditionalFormatting sqref="N10">
    <cfRule type="expression" dxfId="136" priority="96">
      <formula>$A$5=$A$2</formula>
    </cfRule>
  </conditionalFormatting>
  <conditionalFormatting sqref="N15">
    <cfRule type="expression" dxfId="135" priority="95">
      <formula>$A$5=$A$2</formula>
    </cfRule>
  </conditionalFormatting>
  <conditionalFormatting sqref="N14">
    <cfRule type="expression" dxfId="134" priority="94">
      <formula>$A$5=$A$2</formula>
    </cfRule>
  </conditionalFormatting>
  <conditionalFormatting sqref="N19">
    <cfRule type="expression" dxfId="133" priority="93">
      <formula>$A$5=$A$2</formula>
    </cfRule>
  </conditionalFormatting>
  <conditionalFormatting sqref="N18">
    <cfRule type="expression" dxfId="132" priority="92">
      <formula>$A$5=$A$2</formula>
    </cfRule>
  </conditionalFormatting>
  <conditionalFormatting sqref="N24">
    <cfRule type="expression" dxfId="131" priority="91">
      <formula>$A$5=$A$2</formula>
    </cfRule>
  </conditionalFormatting>
  <conditionalFormatting sqref="N23">
    <cfRule type="expression" dxfId="130" priority="90">
      <formula>$A$5=$A$2</formula>
    </cfRule>
  </conditionalFormatting>
  <conditionalFormatting sqref="N29">
    <cfRule type="expression" dxfId="129" priority="89">
      <formula>$A$5=$A$2</formula>
    </cfRule>
  </conditionalFormatting>
  <conditionalFormatting sqref="N28">
    <cfRule type="expression" dxfId="128" priority="88">
      <formula>$A$5=$A$2</formula>
    </cfRule>
  </conditionalFormatting>
  <conditionalFormatting sqref="N34">
    <cfRule type="expression" dxfId="127" priority="87">
      <formula>$A$5=$A$2</formula>
    </cfRule>
  </conditionalFormatting>
  <conditionalFormatting sqref="N33">
    <cfRule type="expression" dxfId="126" priority="86">
      <formula>$A$5=$A$2</formula>
    </cfRule>
  </conditionalFormatting>
  <conditionalFormatting sqref="N41">
    <cfRule type="expression" dxfId="125" priority="85">
      <formula>$A$5=$A$2</formula>
    </cfRule>
  </conditionalFormatting>
  <conditionalFormatting sqref="N40">
    <cfRule type="expression" dxfId="124" priority="84">
      <formula>$A$5=$A$2</formula>
    </cfRule>
  </conditionalFormatting>
  <conditionalFormatting sqref="N47">
    <cfRule type="expression" dxfId="123" priority="83">
      <formula>$A$5=$A$2</formula>
    </cfRule>
  </conditionalFormatting>
  <conditionalFormatting sqref="N46">
    <cfRule type="expression" dxfId="122" priority="82">
      <formula>$A$5=$A$2</formula>
    </cfRule>
  </conditionalFormatting>
  <conditionalFormatting sqref="N51">
    <cfRule type="expression" dxfId="121" priority="81">
      <formula>$A$5=$A$2</formula>
    </cfRule>
  </conditionalFormatting>
  <conditionalFormatting sqref="N50">
    <cfRule type="expression" dxfId="120" priority="80">
      <formula>$A$5=$A$2</formula>
    </cfRule>
  </conditionalFormatting>
  <conditionalFormatting sqref="N56">
    <cfRule type="expression" dxfId="119" priority="79">
      <formula>$A$5=$A$2</formula>
    </cfRule>
  </conditionalFormatting>
  <conditionalFormatting sqref="N55">
    <cfRule type="expression" dxfId="118" priority="78">
      <formula>$A$5=$A$2</formula>
    </cfRule>
  </conditionalFormatting>
  <conditionalFormatting sqref="N60">
    <cfRule type="expression" dxfId="117" priority="77">
      <formula>$A$5=$A$2</formula>
    </cfRule>
  </conditionalFormatting>
  <conditionalFormatting sqref="N59">
    <cfRule type="expression" dxfId="116" priority="76">
      <formula>$A$5=$A$2</formula>
    </cfRule>
  </conditionalFormatting>
  <conditionalFormatting sqref="N65">
    <cfRule type="expression" dxfId="115" priority="75">
      <formula>$A$5=$A$2</formula>
    </cfRule>
  </conditionalFormatting>
  <conditionalFormatting sqref="N64">
    <cfRule type="expression" dxfId="114" priority="74">
      <formula>$A$5=$A$2</formula>
    </cfRule>
  </conditionalFormatting>
  <conditionalFormatting sqref="N70">
    <cfRule type="expression" dxfId="113" priority="73">
      <formula>$A$5=$A$2</formula>
    </cfRule>
  </conditionalFormatting>
  <conditionalFormatting sqref="N69">
    <cfRule type="expression" dxfId="112" priority="72">
      <formula>$A$5=$A$2</formula>
    </cfRule>
  </conditionalFormatting>
  <conditionalFormatting sqref="N76">
    <cfRule type="expression" dxfId="111" priority="71">
      <formula>$A$5=$A$2</formula>
    </cfRule>
  </conditionalFormatting>
  <conditionalFormatting sqref="N75">
    <cfRule type="expression" dxfId="110" priority="70">
      <formula>$A$5=$A$2</formula>
    </cfRule>
  </conditionalFormatting>
  <conditionalFormatting sqref="N81">
    <cfRule type="expression" dxfId="109" priority="69">
      <formula>$A$5=$A$2</formula>
    </cfRule>
  </conditionalFormatting>
  <conditionalFormatting sqref="N80">
    <cfRule type="expression" dxfId="108" priority="68">
      <formula>$A$5=$A$2</formula>
    </cfRule>
  </conditionalFormatting>
  <conditionalFormatting sqref="N85">
    <cfRule type="expression" dxfId="107" priority="67">
      <formula>$A$5=$A$2</formula>
    </cfRule>
  </conditionalFormatting>
  <conditionalFormatting sqref="N84">
    <cfRule type="expression" dxfId="106" priority="66">
      <formula>$A$5=$A$2</formula>
    </cfRule>
  </conditionalFormatting>
  <conditionalFormatting sqref="N89">
    <cfRule type="expression" dxfId="105" priority="65">
      <formula>$A$5=$A$2</formula>
    </cfRule>
  </conditionalFormatting>
  <conditionalFormatting sqref="N88">
    <cfRule type="expression" dxfId="104" priority="64">
      <formula>$A$5=$A$2</formula>
    </cfRule>
  </conditionalFormatting>
  <conditionalFormatting sqref="N94">
    <cfRule type="expression" dxfId="103" priority="63">
      <formula>$A$5=$A$2</formula>
    </cfRule>
  </conditionalFormatting>
  <conditionalFormatting sqref="N93">
    <cfRule type="expression" dxfId="102" priority="62">
      <formula>$A$5=$A$2</formula>
    </cfRule>
  </conditionalFormatting>
  <conditionalFormatting sqref="N98">
    <cfRule type="expression" dxfId="101" priority="61">
      <formula>$A$5=$A$2</formula>
    </cfRule>
  </conditionalFormatting>
  <conditionalFormatting sqref="N97">
    <cfRule type="expression" dxfId="100" priority="60">
      <formula>$A$5=$A$2</formula>
    </cfRule>
  </conditionalFormatting>
  <conditionalFormatting sqref="N101">
    <cfRule type="expression" dxfId="99" priority="59">
      <formula>$A$5=$A$2</formula>
    </cfRule>
  </conditionalFormatting>
  <conditionalFormatting sqref="N100">
    <cfRule type="expression" dxfId="98" priority="58">
      <formula>$A$5=$A$2</formula>
    </cfRule>
  </conditionalFormatting>
  <conditionalFormatting sqref="N104">
    <cfRule type="expression" dxfId="97" priority="57">
      <formula>$A$5=$A$2</formula>
    </cfRule>
  </conditionalFormatting>
  <conditionalFormatting sqref="N103">
    <cfRule type="expression" dxfId="96" priority="56">
      <formula>$A$5=$A$2</formula>
    </cfRule>
  </conditionalFormatting>
  <conditionalFormatting sqref="N108">
    <cfRule type="expression" dxfId="95" priority="55">
      <formula>$A$5=$A$2</formula>
    </cfRule>
  </conditionalFormatting>
  <conditionalFormatting sqref="N107">
    <cfRule type="expression" dxfId="94" priority="54">
      <formula>$A$5=$A$2</formula>
    </cfRule>
  </conditionalFormatting>
  <conditionalFormatting sqref="N112">
    <cfRule type="expression" dxfId="93" priority="53">
      <formula>$A$5=$A$2</formula>
    </cfRule>
  </conditionalFormatting>
  <conditionalFormatting sqref="N111">
    <cfRule type="expression" dxfId="92" priority="52">
      <formula>$A$5=$A$2</formula>
    </cfRule>
  </conditionalFormatting>
  <conditionalFormatting sqref="N116">
    <cfRule type="expression" dxfId="91" priority="51">
      <formula>$A$5=$A$2</formula>
    </cfRule>
  </conditionalFormatting>
  <conditionalFormatting sqref="N115">
    <cfRule type="expression" dxfId="90" priority="50">
      <formula>$A$5=$A$2</formula>
    </cfRule>
  </conditionalFormatting>
  <conditionalFormatting sqref="N120">
    <cfRule type="expression" dxfId="89" priority="49">
      <formula>$A$5=$A$2</formula>
    </cfRule>
  </conditionalFormatting>
  <conditionalFormatting sqref="N119">
    <cfRule type="expression" dxfId="88" priority="48">
      <formula>$A$5=$A$2</formula>
    </cfRule>
  </conditionalFormatting>
  <conditionalFormatting sqref="N124">
    <cfRule type="expression" dxfId="87" priority="47">
      <formula>$A$5=$A$2</formula>
    </cfRule>
  </conditionalFormatting>
  <conditionalFormatting sqref="N123">
    <cfRule type="expression" dxfId="86" priority="46">
      <formula>$A$5=$A$2</formula>
    </cfRule>
  </conditionalFormatting>
  <conditionalFormatting sqref="N128">
    <cfRule type="expression" dxfId="85" priority="45">
      <formula>$A$5=$A$2</formula>
    </cfRule>
  </conditionalFormatting>
  <conditionalFormatting sqref="N127">
    <cfRule type="expression" dxfId="84" priority="44">
      <formula>$A$5=$A$2</formula>
    </cfRule>
  </conditionalFormatting>
  <conditionalFormatting sqref="N132">
    <cfRule type="expression" dxfId="83" priority="43">
      <formula>$A$5=$A$2</formula>
    </cfRule>
  </conditionalFormatting>
  <conditionalFormatting sqref="N131">
    <cfRule type="expression" dxfId="82" priority="42">
      <formula>$A$5=$A$2</formula>
    </cfRule>
  </conditionalFormatting>
  <conditionalFormatting sqref="N135">
    <cfRule type="expression" dxfId="81" priority="41">
      <formula>$A$5=$A$2</formula>
    </cfRule>
  </conditionalFormatting>
  <conditionalFormatting sqref="N134">
    <cfRule type="expression" dxfId="80" priority="40">
      <formula>$A$5=$A$2</formula>
    </cfRule>
  </conditionalFormatting>
  <conditionalFormatting sqref="N139">
    <cfRule type="expression" dxfId="79" priority="39">
      <formula>$A$5=$A$2</formula>
    </cfRule>
  </conditionalFormatting>
  <conditionalFormatting sqref="N138">
    <cfRule type="expression" dxfId="78" priority="38">
      <formula>$A$5=$A$2</formula>
    </cfRule>
  </conditionalFormatting>
  <conditionalFormatting sqref="N143">
    <cfRule type="expression" dxfId="77" priority="37">
      <formula>$A$5=$A$2</formula>
    </cfRule>
  </conditionalFormatting>
  <conditionalFormatting sqref="N142">
    <cfRule type="expression" dxfId="76" priority="36">
      <formula>$A$5=$A$2</formula>
    </cfRule>
  </conditionalFormatting>
  <conditionalFormatting sqref="N147">
    <cfRule type="expression" dxfId="75" priority="35">
      <formula>$A$5=$A$2</formula>
    </cfRule>
  </conditionalFormatting>
  <conditionalFormatting sqref="N146">
    <cfRule type="expression" dxfId="74" priority="34">
      <formula>$A$5=$A$2</formula>
    </cfRule>
  </conditionalFormatting>
  <conditionalFormatting sqref="N151">
    <cfRule type="expression" dxfId="73" priority="33">
      <formula>$A$5=$A$2</formula>
    </cfRule>
  </conditionalFormatting>
  <conditionalFormatting sqref="N150">
    <cfRule type="expression" dxfId="72" priority="32">
      <formula>$A$5=$A$2</formula>
    </cfRule>
  </conditionalFormatting>
  <conditionalFormatting sqref="N155">
    <cfRule type="expression" dxfId="71" priority="31">
      <formula>$A$5=$A$2</formula>
    </cfRule>
  </conditionalFormatting>
  <conditionalFormatting sqref="N154">
    <cfRule type="expression" dxfId="70" priority="30">
      <formula>$A$5=$A$2</formula>
    </cfRule>
  </conditionalFormatting>
  <conditionalFormatting sqref="N159">
    <cfRule type="expression" dxfId="69" priority="29">
      <formula>$A$5=$A$2</formula>
    </cfRule>
  </conditionalFormatting>
  <conditionalFormatting sqref="N158">
    <cfRule type="expression" dxfId="68" priority="28">
      <formula>$A$5=$A$2</formula>
    </cfRule>
  </conditionalFormatting>
  <conditionalFormatting sqref="N163">
    <cfRule type="expression" dxfId="67" priority="27">
      <formula>$A$5=$A$2</formula>
    </cfRule>
  </conditionalFormatting>
  <conditionalFormatting sqref="N162">
    <cfRule type="expression" dxfId="66" priority="26">
      <formula>$A$5=$A$2</formula>
    </cfRule>
  </conditionalFormatting>
  <conditionalFormatting sqref="N167">
    <cfRule type="expression" dxfId="65" priority="25">
      <formula>$A$5=$A$2</formula>
    </cfRule>
  </conditionalFormatting>
  <conditionalFormatting sqref="N166">
    <cfRule type="expression" dxfId="64" priority="24">
      <formula>$A$5=$A$2</formula>
    </cfRule>
  </conditionalFormatting>
  <conditionalFormatting sqref="N171">
    <cfRule type="expression" dxfId="63" priority="23">
      <formula>$A$5=$A$2</formula>
    </cfRule>
  </conditionalFormatting>
  <conditionalFormatting sqref="N170">
    <cfRule type="expression" dxfId="62" priority="22">
      <formula>$A$5=$A$2</formula>
    </cfRule>
  </conditionalFormatting>
  <conditionalFormatting sqref="N175">
    <cfRule type="expression" dxfId="61" priority="21">
      <formula>$A$5=$A$2</formula>
    </cfRule>
  </conditionalFormatting>
  <conditionalFormatting sqref="N174">
    <cfRule type="expression" dxfId="60" priority="20">
      <formula>$A$5=$A$2</formula>
    </cfRule>
  </conditionalFormatting>
  <conditionalFormatting sqref="N179">
    <cfRule type="expression" dxfId="59" priority="19">
      <formula>$A$5=$A$2</formula>
    </cfRule>
  </conditionalFormatting>
  <conditionalFormatting sqref="N178">
    <cfRule type="expression" dxfId="58" priority="18">
      <formula>$A$5=$A$2</formula>
    </cfRule>
  </conditionalFormatting>
  <conditionalFormatting sqref="N183">
    <cfRule type="expression" dxfId="57" priority="17">
      <formula>$A$5=$A$2</formula>
    </cfRule>
  </conditionalFormatting>
  <conditionalFormatting sqref="N182">
    <cfRule type="expression" dxfId="56" priority="16">
      <formula>$A$5=$A$2</formula>
    </cfRule>
  </conditionalFormatting>
  <conditionalFormatting sqref="N187">
    <cfRule type="expression" dxfId="55" priority="15">
      <formula>$A$5=$A$2</formula>
    </cfRule>
  </conditionalFormatting>
  <conditionalFormatting sqref="N186">
    <cfRule type="expression" dxfId="54" priority="14">
      <formula>$A$5=$A$2</formula>
    </cfRule>
  </conditionalFormatting>
  <conditionalFormatting sqref="N191">
    <cfRule type="expression" dxfId="53" priority="13">
      <formula>$A$5=$A$2</formula>
    </cfRule>
  </conditionalFormatting>
  <conditionalFormatting sqref="N190">
    <cfRule type="expression" dxfId="52" priority="12">
      <formula>$A$5=$A$2</formula>
    </cfRule>
  </conditionalFormatting>
  <conditionalFormatting sqref="N195">
    <cfRule type="expression" dxfId="51" priority="11">
      <formula>$A$5=$A$2</formula>
    </cfRule>
  </conditionalFormatting>
  <conditionalFormatting sqref="N194">
    <cfRule type="expression" dxfId="50" priority="10">
      <formula>$A$5=$A$2</formula>
    </cfRule>
  </conditionalFormatting>
  <conditionalFormatting sqref="N199">
    <cfRule type="expression" dxfId="49" priority="9">
      <formula>$A$5=$A$2</formula>
    </cfRule>
  </conditionalFormatting>
  <conditionalFormatting sqref="N198">
    <cfRule type="expression" dxfId="48" priority="8">
      <formula>$A$5=$A$2</formula>
    </cfRule>
  </conditionalFormatting>
  <conditionalFormatting sqref="C202:M202 C201:L201 D203:M203">
    <cfRule type="expression" dxfId="47" priority="5">
      <formula>$A$198=$A$2</formula>
    </cfRule>
  </conditionalFormatting>
  <conditionalFormatting sqref="N203">
    <cfRule type="expression" dxfId="46" priority="4">
      <formula>$A$5=$A$2</formula>
    </cfRule>
  </conditionalFormatting>
  <conditionalFormatting sqref="N202">
    <cfRule type="expression" dxfId="45" priority="3">
      <formula>$A$5=$A$2</formula>
    </cfRule>
  </conditionalFormatting>
  <conditionalFormatting sqref="C201:N203">
    <cfRule type="expression" dxfId="44" priority="2">
      <formula>$A$202=$A$2</formula>
    </cfRule>
  </conditionalFormatting>
  <dataValidations count="12">
    <dataValidation type="list" allowBlank="1" showInputMessage="1" showErrorMessage="1" sqref="E53">
      <formula1>#REF!</formula1>
    </dataValidation>
    <dataValidation type="list" allowBlank="1" showInputMessage="1" showErrorMessage="1" sqref="D116">
      <formula1>Frez</formula1>
    </dataValidation>
    <dataValidation type="list" allowBlank="1" showInputMessage="1" showErrorMessage="1" sqref="D120">
      <formula1>CIĘCIE</formula1>
    </dataValidation>
    <dataValidation type="list" allowBlank="1" showInputMessage="1" showErrorMessage="1" sqref="P98">
      <formula1>TERMO</formula1>
    </dataValidation>
    <dataValidation allowBlank="1" showInputMessage="1" showErrorMessage="1" promptTitle="SPAWY PUNKTOWE" prompt="0 lub puste, jeżeli nie występują_x000a__x000a_Jako spawy punktowe traktujemy spawy do 20mm" sqref="D132"/>
    <dataValidation allowBlank="1" showInputMessage="1" showErrorMessage="1" promptTitle="DŁUGOŚĆ SPAWÓW" prompt="0 lub puste._x000a__x000a_Łączna długość spawów._x000a_Nie wliczamy spawów punktowych" sqref="F132:G132"/>
    <dataValidation allowBlank="1" showInputMessage="1" showErrorMessage="1" promptTitle="SPAWY CIĄGŁE" prompt="0 lub puste, jeżeli nie występują._x000a__x000a_Ilość spawów ciągłych._x000a_Nie licząc_x000a_spawów punktowych" sqref="E132"/>
    <dataValidation type="whole" operator="greaterThanOrEqual" allowBlank="1" showInputMessage="1" showErrorMessage="1" promptTitle="ILOŚĆ ELEMENTÓW" prompt="Minimum &quot;2&quot;_x000a_Ilość elementów, z których składa się moduł_x000a_" sqref="C132">
      <formula1>2</formula1>
    </dataValidation>
    <dataValidation type="whole" operator="greaterThanOrEqual" allowBlank="1" showInputMessage="1" showErrorMessage="1" promptTitle="NAKŁAD" prompt="Minimum &quot;1&quot;_x000a_Ilość kompletnych konstrukcji w zamówieniu." sqref="H132:I132">
      <formula1>1</formula1>
    </dataValidation>
    <dataValidation operator="greaterThanOrEqual" allowBlank="1" showInputMessage="1" showErrorMessage="1" sqref="C139:D139"/>
    <dataValidation allowBlank="1" showErrorMessage="1" prompt="Przy cięciu blachy na gilotynie, wpisać wymiar dla dłuższego boku arkusza, kożystniejszy w rozkroju." sqref="C179 C183 C187"/>
    <dataValidation allowBlank="1" showErrorMessage="1" prompt="Przy cięciu blachy na gilotynie, wpisać wymiar dla krutszego boku arkusza, kożystniejszy w rozkroju." sqref="C191 C195 C199"/>
  </dataValidation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Fill="0" autoLine="0" autoPict="0">
                <anchor moveWithCells="1">
                  <from>
                    <xdr:col>1</xdr:col>
                    <xdr:colOff>38100</xdr:colOff>
                    <xdr:row>4</xdr:row>
                    <xdr:rowOff>19050</xdr:rowOff>
                  </from>
                  <to>
                    <xdr:col>1</xdr:col>
                    <xdr:colOff>895350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</xdr:col>
                    <xdr:colOff>104775</xdr:colOff>
                    <xdr:row>9</xdr:row>
                    <xdr:rowOff>219075</xdr:rowOff>
                  </from>
                  <to>
                    <xdr:col>1</xdr:col>
                    <xdr:colOff>981075</xdr:colOff>
                    <xdr:row>10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1</xdr:col>
                    <xdr:colOff>28575</xdr:colOff>
                    <xdr:row>13</xdr:row>
                    <xdr:rowOff>161925</xdr:rowOff>
                  </from>
                  <to>
                    <xdr:col>1</xdr:col>
                    <xdr:colOff>895350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8" name="Check Box 17">
              <controlPr defaultSize="0" autoFill="0" autoLine="0" autoPict="0">
                <anchor moveWithCells="1">
                  <from>
                    <xdr:col>1</xdr:col>
                    <xdr:colOff>28575</xdr:colOff>
                    <xdr:row>17</xdr:row>
                    <xdr:rowOff>123825</xdr:rowOff>
                  </from>
                  <to>
                    <xdr:col>1</xdr:col>
                    <xdr:colOff>895350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Spinner 20">
              <controlPr defaultSize="0" autoPict="0">
                <anchor moveWithCells="1" sizeWithCells="1">
                  <from>
                    <xdr:col>4</xdr:col>
                    <xdr:colOff>885825</xdr:colOff>
                    <xdr:row>18</xdr:row>
                    <xdr:rowOff>19050</xdr:rowOff>
                  </from>
                  <to>
                    <xdr:col>4</xdr:col>
                    <xdr:colOff>1162050</xdr:colOff>
                    <xdr:row>18</xdr:row>
                    <xdr:rowOff>638175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0" name="Check Box 22">
              <controlPr defaultSize="0" autoFill="0" autoLine="0" autoPict="0">
                <anchor moveWithCells="1">
                  <from>
                    <xdr:col>1</xdr:col>
                    <xdr:colOff>38100</xdr:colOff>
                    <xdr:row>22</xdr:row>
                    <xdr:rowOff>95250</xdr:rowOff>
                  </from>
                  <to>
                    <xdr:col>1</xdr:col>
                    <xdr:colOff>914400</xdr:colOff>
                    <xdr:row>23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1" name="Check Box 30">
              <controlPr defaultSize="0" autoFill="0" autoLine="0" autoPict="0">
                <anchor moveWithCells="1">
                  <from>
                    <xdr:col>1</xdr:col>
                    <xdr:colOff>161925</xdr:colOff>
                    <xdr:row>27</xdr:row>
                    <xdr:rowOff>304800</xdr:rowOff>
                  </from>
                  <to>
                    <xdr:col>1</xdr:col>
                    <xdr:colOff>1047750</xdr:colOff>
                    <xdr:row>28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2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114300</xdr:rowOff>
                  </from>
                  <to>
                    <xdr:col>1</xdr:col>
                    <xdr:colOff>933450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3" name="Check Box 34">
              <controlPr defaultSize="0" autoFill="0" autoLine="0" autoPict="0">
                <anchor moveWithCells="1">
                  <from>
                    <xdr:col>1</xdr:col>
                    <xdr:colOff>133350</xdr:colOff>
                    <xdr:row>40</xdr:row>
                    <xdr:rowOff>209550</xdr:rowOff>
                  </from>
                  <to>
                    <xdr:col>1</xdr:col>
                    <xdr:colOff>1200150</xdr:colOff>
                    <xdr:row>41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4" name="Check Box 42">
              <controlPr defaultSize="0" autoFill="0" autoLine="0" autoPict="0">
                <anchor moveWithCells="1">
                  <from>
                    <xdr:col>1</xdr:col>
                    <xdr:colOff>28575</xdr:colOff>
                    <xdr:row>45</xdr:row>
                    <xdr:rowOff>142875</xdr:rowOff>
                  </from>
                  <to>
                    <xdr:col>1</xdr:col>
                    <xdr:colOff>1095375</xdr:colOff>
                    <xdr:row>46</xdr:row>
                    <xdr:rowOff>600075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5" name="Check Box 47">
              <controlPr defaultSize="0" autoFill="0" autoLine="0" autoPict="0">
                <anchor moveWithCells="1">
                  <from>
                    <xdr:col>1</xdr:col>
                    <xdr:colOff>38100</xdr:colOff>
                    <xdr:row>49</xdr:row>
                    <xdr:rowOff>133350</xdr:rowOff>
                  </from>
                  <to>
                    <xdr:col>1</xdr:col>
                    <xdr:colOff>600075</xdr:colOff>
                    <xdr:row>50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6" name="Check Box 49">
              <controlPr defaultSize="0" autoFill="0" autoLine="0" autoPict="0">
                <anchor moveWithCells="1">
                  <from>
                    <xdr:col>1</xdr:col>
                    <xdr:colOff>76200</xdr:colOff>
                    <xdr:row>54</xdr:row>
                    <xdr:rowOff>352425</xdr:rowOff>
                  </from>
                  <to>
                    <xdr:col>1</xdr:col>
                    <xdr:colOff>847725</xdr:colOff>
                    <xdr:row>55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17" name="Check Box 50">
              <controlPr defaultSize="0" autoFill="0" autoLine="0" autoPict="0">
                <anchor moveWithCells="1">
                  <from>
                    <xdr:col>1</xdr:col>
                    <xdr:colOff>28575</xdr:colOff>
                    <xdr:row>63</xdr:row>
                    <xdr:rowOff>276225</xdr:rowOff>
                  </from>
                  <to>
                    <xdr:col>1</xdr:col>
                    <xdr:colOff>1057275</xdr:colOff>
                    <xdr:row>64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8" name="Check Box 53">
              <controlPr defaultSize="0" autoFill="0" autoLine="0" autoPict="0">
                <anchor moveWithCells="1">
                  <from>
                    <xdr:col>1</xdr:col>
                    <xdr:colOff>38100</xdr:colOff>
                    <xdr:row>68</xdr:row>
                    <xdr:rowOff>171450</xdr:rowOff>
                  </from>
                  <to>
                    <xdr:col>1</xdr:col>
                    <xdr:colOff>1057275</xdr:colOff>
                    <xdr:row>69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19" name="Check Box 54">
              <controlPr defaultSize="0" autoFill="0" autoLine="0" autoPict="0">
                <anchor moveWithCells="1">
                  <from>
                    <xdr:col>1</xdr:col>
                    <xdr:colOff>76200</xdr:colOff>
                    <xdr:row>58</xdr:row>
                    <xdr:rowOff>314325</xdr:rowOff>
                  </from>
                  <to>
                    <xdr:col>1</xdr:col>
                    <xdr:colOff>1381125</xdr:colOff>
                    <xdr:row>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0" name="Check Box 55">
              <controlPr defaultSize="0" autoFill="0" autoLine="0" autoPict="0">
                <anchor moveWithCells="1">
                  <from>
                    <xdr:col>1</xdr:col>
                    <xdr:colOff>66675</xdr:colOff>
                    <xdr:row>74</xdr:row>
                    <xdr:rowOff>133350</xdr:rowOff>
                  </from>
                  <to>
                    <xdr:col>1</xdr:col>
                    <xdr:colOff>1076325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1" name="Check Box 57">
              <controlPr defaultSize="0" autoFill="0" autoLine="0" autoPict="0">
                <anchor moveWithCells="1">
                  <from>
                    <xdr:col>1</xdr:col>
                    <xdr:colOff>76200</xdr:colOff>
                    <xdr:row>79</xdr:row>
                    <xdr:rowOff>400050</xdr:rowOff>
                  </from>
                  <to>
                    <xdr:col>1</xdr:col>
                    <xdr:colOff>1085850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2" name="Check Box 59">
              <controlPr defaultSize="0" autoFill="0" autoLine="0" autoPict="0">
                <anchor moveWithCells="1">
                  <from>
                    <xdr:col>1</xdr:col>
                    <xdr:colOff>19050</xdr:colOff>
                    <xdr:row>83</xdr:row>
                    <xdr:rowOff>381000</xdr:rowOff>
                  </from>
                  <to>
                    <xdr:col>1</xdr:col>
                    <xdr:colOff>1028700</xdr:colOff>
                    <xdr:row>84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3" name="Check Box 63">
              <controlPr defaultSize="0" autoFill="0" autoLine="0" autoPict="0">
                <anchor moveWithCells="1">
                  <from>
                    <xdr:col>1</xdr:col>
                    <xdr:colOff>19050</xdr:colOff>
                    <xdr:row>87</xdr:row>
                    <xdr:rowOff>381000</xdr:rowOff>
                  </from>
                  <to>
                    <xdr:col>1</xdr:col>
                    <xdr:colOff>1028700</xdr:colOff>
                    <xdr:row>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4" name="Check Box 64">
              <controlPr defaultSize="0" autoFill="0" autoLine="0" autoPict="0">
                <anchor moveWithCells="1">
                  <from>
                    <xdr:col>1</xdr:col>
                    <xdr:colOff>19050</xdr:colOff>
                    <xdr:row>92</xdr:row>
                    <xdr:rowOff>381000</xdr:rowOff>
                  </from>
                  <to>
                    <xdr:col>1</xdr:col>
                    <xdr:colOff>1028700</xdr:colOff>
                    <xdr:row>93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25" name="Check Box 68">
              <controlPr defaultSize="0" autoFill="0" autoLine="0" autoPict="0">
                <anchor moveWithCells="1">
                  <from>
                    <xdr:col>0</xdr:col>
                    <xdr:colOff>0</xdr:colOff>
                    <xdr:row>99</xdr:row>
                    <xdr:rowOff>361950</xdr:rowOff>
                  </from>
                  <to>
                    <xdr:col>1</xdr:col>
                    <xdr:colOff>1171575</xdr:colOff>
                    <xdr:row>100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6" name="Check Box 69">
              <controlPr defaultSize="0" autoFill="0" autoLine="0" autoPict="0">
                <anchor moveWithCells="1">
                  <from>
                    <xdr:col>1</xdr:col>
                    <xdr:colOff>19050</xdr:colOff>
                    <xdr:row>106</xdr:row>
                    <xdr:rowOff>314325</xdr:rowOff>
                  </from>
                  <to>
                    <xdr:col>1</xdr:col>
                    <xdr:colOff>1181100</xdr:colOff>
                    <xdr:row>107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7" name="Check Box 71">
              <controlPr defaultSize="0" autoFill="0" autoLine="0" autoPict="0">
                <anchor moveWithCells="1">
                  <from>
                    <xdr:col>1</xdr:col>
                    <xdr:colOff>95250</xdr:colOff>
                    <xdr:row>110</xdr:row>
                    <xdr:rowOff>361950</xdr:rowOff>
                  </from>
                  <to>
                    <xdr:col>1</xdr:col>
                    <xdr:colOff>1266825</xdr:colOff>
                    <xdr:row>111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8" name="Check Box 73">
              <controlPr defaultSize="0" autoFill="0" autoLine="0" autoPict="0">
                <anchor moveWithCells="1">
                  <from>
                    <xdr:col>1</xdr:col>
                    <xdr:colOff>28575</xdr:colOff>
                    <xdr:row>114</xdr:row>
                    <xdr:rowOff>381000</xdr:rowOff>
                  </from>
                  <to>
                    <xdr:col>1</xdr:col>
                    <xdr:colOff>1190625</xdr:colOff>
                    <xdr:row>115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29" name="Check Box 76">
              <controlPr defaultSize="0" autoFill="0" autoLine="0" autoPict="0">
                <anchor moveWithCells="1">
                  <from>
                    <xdr:col>1</xdr:col>
                    <xdr:colOff>19050</xdr:colOff>
                    <xdr:row>118</xdr:row>
                    <xdr:rowOff>333375</xdr:rowOff>
                  </from>
                  <to>
                    <xdr:col>1</xdr:col>
                    <xdr:colOff>1181100</xdr:colOff>
                    <xdr:row>119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30" name="Check Box 7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381000</xdr:rowOff>
                  </from>
                  <to>
                    <xdr:col>1</xdr:col>
                    <xdr:colOff>1190625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31" name="Check Box 81">
              <controlPr defaultSize="0" autoFill="0" autoLine="0" autoPict="0">
                <anchor moveWithCells="1">
                  <from>
                    <xdr:col>1</xdr:col>
                    <xdr:colOff>38100</xdr:colOff>
                    <xdr:row>126</xdr:row>
                    <xdr:rowOff>571500</xdr:rowOff>
                  </from>
                  <to>
                    <xdr:col>1</xdr:col>
                    <xdr:colOff>1028700</xdr:colOff>
                    <xdr:row>127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32" name="Check Box 84">
              <controlPr defaultSize="0" autoFill="0" autoLine="0" autoPict="0">
                <anchor moveWithCells="1">
                  <from>
                    <xdr:col>1</xdr:col>
                    <xdr:colOff>57150</xdr:colOff>
                    <xdr:row>131</xdr:row>
                    <xdr:rowOff>581025</xdr:rowOff>
                  </from>
                  <to>
                    <xdr:col>1</xdr:col>
                    <xdr:colOff>1285875</xdr:colOff>
                    <xdr:row>133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33" name="Check Box 88">
              <controlPr defaultSize="0" autoFill="0" autoLine="0" autoPict="0">
                <anchor moveWithCells="1">
                  <from>
                    <xdr:col>1</xdr:col>
                    <xdr:colOff>47625</xdr:colOff>
                    <xdr:row>137</xdr:row>
                    <xdr:rowOff>419100</xdr:rowOff>
                  </from>
                  <to>
                    <xdr:col>1</xdr:col>
                    <xdr:colOff>1314450</xdr:colOff>
                    <xdr:row>138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34" name="Check Box 90">
              <controlPr defaultSize="0" autoFill="0" autoLine="0" autoPict="0">
                <anchor moveWithCells="1">
                  <from>
                    <xdr:col>1</xdr:col>
                    <xdr:colOff>19050</xdr:colOff>
                    <xdr:row>141</xdr:row>
                    <xdr:rowOff>457200</xdr:rowOff>
                  </from>
                  <to>
                    <xdr:col>1</xdr:col>
                    <xdr:colOff>1371600</xdr:colOff>
                    <xdr:row>142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35" name="Check Box 92">
              <controlPr defaultSize="0" autoFill="0" autoLine="0" autoPict="0">
                <anchor moveWithCells="1">
                  <from>
                    <xdr:col>1</xdr:col>
                    <xdr:colOff>57150</xdr:colOff>
                    <xdr:row>145</xdr:row>
                    <xdr:rowOff>438150</xdr:rowOff>
                  </from>
                  <to>
                    <xdr:col>1</xdr:col>
                    <xdr:colOff>1390650</xdr:colOff>
                    <xdr:row>146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36" name="Check Box 93">
              <controlPr defaultSize="0" autoFill="0" autoLine="0" autoPict="0">
                <anchor moveWithCells="1">
                  <from>
                    <xdr:col>0</xdr:col>
                    <xdr:colOff>0</xdr:colOff>
                    <xdr:row>149</xdr:row>
                    <xdr:rowOff>409575</xdr:rowOff>
                  </from>
                  <to>
                    <xdr:col>1</xdr:col>
                    <xdr:colOff>1409700</xdr:colOff>
                    <xdr:row>150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7" name="Check Box 94">
              <controlPr defaultSize="0" autoFill="0" autoLine="0" autoPict="0">
                <anchor moveWithCells="1">
                  <from>
                    <xdr:col>0</xdr:col>
                    <xdr:colOff>0</xdr:colOff>
                    <xdr:row>153</xdr:row>
                    <xdr:rowOff>247650</xdr:rowOff>
                  </from>
                  <to>
                    <xdr:col>1</xdr:col>
                    <xdr:colOff>1476375</xdr:colOff>
                    <xdr:row>154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8" name="Check Box 95">
              <controlPr defaultSize="0" autoFill="0" autoLine="0" autoPict="0">
                <anchor moveWithCells="1">
                  <from>
                    <xdr:col>1</xdr:col>
                    <xdr:colOff>28575</xdr:colOff>
                    <xdr:row>156</xdr:row>
                    <xdr:rowOff>161925</xdr:rowOff>
                  </from>
                  <to>
                    <xdr:col>1</xdr:col>
                    <xdr:colOff>1390650</xdr:colOff>
                    <xdr:row>158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9" name="Check Box 96">
              <controlPr defaultSize="0" autoFill="0" autoLine="0" autoPict="0">
                <anchor moveWithCells="1">
                  <from>
                    <xdr:col>0</xdr:col>
                    <xdr:colOff>0</xdr:colOff>
                    <xdr:row>161</xdr:row>
                    <xdr:rowOff>161925</xdr:rowOff>
                  </from>
                  <to>
                    <xdr:col>1</xdr:col>
                    <xdr:colOff>1390650</xdr:colOff>
                    <xdr:row>162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40" name="Spinner 97">
              <controlPr defaultSize="0" autoPict="0">
                <anchor moveWithCells="1" sizeWithCells="1">
                  <from>
                    <xdr:col>6</xdr:col>
                    <xdr:colOff>819150</xdr:colOff>
                    <xdr:row>4</xdr:row>
                    <xdr:rowOff>352425</xdr:rowOff>
                  </from>
                  <to>
                    <xdr:col>6</xdr:col>
                    <xdr:colOff>1066800</xdr:colOff>
                    <xdr:row>5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41" name="Spinner 98">
              <controlPr defaultSize="0" autoPict="0">
                <anchor moveWithCells="1" sizeWithCells="1">
                  <from>
                    <xdr:col>5</xdr:col>
                    <xdr:colOff>1247775</xdr:colOff>
                    <xdr:row>5</xdr:row>
                    <xdr:rowOff>9525</xdr:rowOff>
                  </from>
                  <to>
                    <xdr:col>5</xdr:col>
                    <xdr:colOff>1485900</xdr:colOff>
                    <xdr:row>5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42" name="Check Box 99">
              <controlPr defaultSize="0" autoFill="0" autoLine="0" autoPict="0">
                <anchor moveWithCells="1">
                  <from>
                    <xdr:col>1</xdr:col>
                    <xdr:colOff>19050</xdr:colOff>
                    <xdr:row>165</xdr:row>
                    <xdr:rowOff>200025</xdr:rowOff>
                  </from>
                  <to>
                    <xdr:col>1</xdr:col>
                    <xdr:colOff>1409700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43" name="Check Box 104">
              <controlPr defaultSize="0" autoFill="0" autoLine="0" autoPict="0">
                <anchor moveWithCells="1">
                  <from>
                    <xdr:col>1</xdr:col>
                    <xdr:colOff>19050</xdr:colOff>
                    <xdr:row>169</xdr:row>
                    <xdr:rowOff>371475</xdr:rowOff>
                  </from>
                  <to>
                    <xdr:col>1</xdr:col>
                    <xdr:colOff>1295400</xdr:colOff>
                    <xdr:row>170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44" name="Check Box 105">
              <controlPr defaultSize="0" autoFill="0" autoLine="0" autoPict="0">
                <anchor moveWithCells="1">
                  <from>
                    <xdr:col>1</xdr:col>
                    <xdr:colOff>38100</xdr:colOff>
                    <xdr:row>173</xdr:row>
                    <xdr:rowOff>381000</xdr:rowOff>
                  </from>
                  <to>
                    <xdr:col>1</xdr:col>
                    <xdr:colOff>1438275</xdr:colOff>
                    <xdr:row>174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45" name="Check Box 106">
              <controlPr defaultSize="0" autoFill="0" autoLine="0" autoPict="0">
                <anchor moveWithCells="1">
                  <from>
                    <xdr:col>1</xdr:col>
                    <xdr:colOff>76200</xdr:colOff>
                    <xdr:row>177</xdr:row>
                    <xdr:rowOff>476250</xdr:rowOff>
                  </from>
                  <to>
                    <xdr:col>1</xdr:col>
                    <xdr:colOff>1428750</xdr:colOff>
                    <xdr:row>178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6" name="Check Box 107">
              <controlPr defaultSize="0" autoFill="0" autoLine="0" autoPict="0">
                <anchor moveWithCells="1">
                  <from>
                    <xdr:col>1</xdr:col>
                    <xdr:colOff>47625</xdr:colOff>
                    <xdr:row>181</xdr:row>
                    <xdr:rowOff>409575</xdr:rowOff>
                  </from>
                  <to>
                    <xdr:col>1</xdr:col>
                    <xdr:colOff>1428750</xdr:colOff>
                    <xdr:row>182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7" name="Check Box 108">
              <controlPr defaultSize="0" autoFill="0" autoLine="0" autoPict="0">
                <anchor moveWithCells="1">
                  <from>
                    <xdr:col>1</xdr:col>
                    <xdr:colOff>76200</xdr:colOff>
                    <xdr:row>185</xdr:row>
                    <xdr:rowOff>523875</xdr:rowOff>
                  </from>
                  <to>
                    <xdr:col>1</xdr:col>
                    <xdr:colOff>1333500</xdr:colOff>
                    <xdr:row>186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8" name="Check Box 109">
              <controlPr defaultSize="0" autoFill="0" autoLine="0" autoPict="0">
                <anchor moveWithCells="1">
                  <from>
                    <xdr:col>1</xdr:col>
                    <xdr:colOff>38100</xdr:colOff>
                    <xdr:row>189</xdr:row>
                    <xdr:rowOff>381000</xdr:rowOff>
                  </from>
                  <to>
                    <xdr:col>2</xdr:col>
                    <xdr:colOff>28575</xdr:colOff>
                    <xdr:row>190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9" name="Check Box 110">
              <controlPr defaultSize="0" autoFill="0" autoLine="0" autoPict="0">
                <anchor moveWithCells="1">
                  <from>
                    <xdr:col>1</xdr:col>
                    <xdr:colOff>85725</xdr:colOff>
                    <xdr:row>192</xdr:row>
                    <xdr:rowOff>85725</xdr:rowOff>
                  </from>
                  <to>
                    <xdr:col>1</xdr:col>
                    <xdr:colOff>1476375</xdr:colOff>
                    <xdr:row>193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50" name="Check Box 112">
              <controlPr defaultSize="0" autoFill="0" autoLine="0" autoPict="0">
                <anchor moveWithCells="1">
                  <from>
                    <xdr:col>1</xdr:col>
                    <xdr:colOff>85725</xdr:colOff>
                    <xdr:row>196</xdr:row>
                    <xdr:rowOff>85725</xdr:rowOff>
                  </from>
                  <to>
                    <xdr:col>1</xdr:col>
                    <xdr:colOff>1476375</xdr:colOff>
                    <xdr:row>197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51" name="Check Box 113">
              <controlPr defaultSize="0" autoFill="0" autoLine="0" autoPict="0">
                <anchor moveWithCells="1">
                  <from>
                    <xdr:col>1</xdr:col>
                    <xdr:colOff>85725</xdr:colOff>
                    <xdr:row>200</xdr:row>
                    <xdr:rowOff>85725</xdr:rowOff>
                  </from>
                  <to>
                    <xdr:col>1</xdr:col>
                    <xdr:colOff>1476375</xdr:colOff>
                    <xdr:row>201</xdr:row>
                    <xdr:rowOff>228600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8" id="{12659D2D-24FE-481D-9F2D-2A3443EF3131}">
            <xm:f>DRUK!$H$6="NIE"</xm:f>
            <x14:dxf>
              <font>
                <color rgb="FFFFFF00"/>
              </font>
              <fill>
                <patternFill>
                  <bgColor rgb="FFFFFF00"/>
                </patternFill>
              </fill>
              <border>
                <right/>
                <bottom/>
                <vertical/>
                <horizontal/>
              </border>
            </x14:dxf>
          </x14:cfRule>
          <xm:sqref>O10:P11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4">
        <x14:dataValidation type="list" allowBlank="1" showInputMessage="1" showErrorMessage="1">
          <x14:formula1>
            <xm:f>TERMO!$F$35:$F$36</xm:f>
          </x14:formula1>
          <xm:sqref>C104 E98 C101</xm:sqref>
        </x14:dataValidation>
        <x14:dataValidation type="list" allowBlank="1" showInputMessage="1" showErrorMessage="1">
          <x14:formula1>
            <xm:f>INTRO!$A$13:$A$18</xm:f>
          </x14:formula1>
          <xm:sqref>C41</xm:sqref>
        </x14:dataValidation>
        <x14:dataValidation type="list" allowBlank="1" showInputMessage="1" showErrorMessage="1">
          <x14:formula1>
            <xm:f>DRUK!$P$15:$P$16</xm:f>
          </x14:formula1>
          <xm:sqref>C30</xm:sqref>
        </x14:dataValidation>
        <x14:dataValidation type="list" allowBlank="1" showInputMessage="1" showErrorMessage="1">
          <x14:formula1>
            <xm:f>DRUK!$N$17:$N$18</xm:f>
          </x14:formula1>
          <xm:sqref>F28:G28</xm:sqref>
        </x14:dataValidation>
        <x14:dataValidation type="list" allowBlank="1" showInputMessage="1" showErrorMessage="1">
          <x14:formula1>
            <xm:f>DRUK!$P$17:$P$19</xm:f>
          </x14:formula1>
          <xm:sqref>F30:G30</xm:sqref>
        </x14:dataValidation>
        <x14:dataValidation type="list" allowBlank="1" showInputMessage="1" showErrorMessage="1">
          <x14:formula1>
            <xm:f>DRUK!$N$15:$N$16</xm:f>
          </x14:formula1>
          <xm:sqref>D30</xm:sqref>
        </x14:dataValidation>
        <x14:dataValidation type="list" allowBlank="1" showInputMessage="1" showErrorMessage="1">
          <x14:formula1>
            <xm:f>DRUK!$G$68:$G$70</xm:f>
          </x14:formula1>
          <xm:sqref>C19</xm:sqref>
        </x14:dataValidation>
        <x14:dataValidation type="list" allowBlank="1" showInputMessage="1" showErrorMessage="1">
          <x14:formula1>
            <xm:f>DRUK!$G$97:$G$98</xm:f>
          </x14:formula1>
          <xm:sqref>E24</xm:sqref>
        </x14:dataValidation>
        <x14:dataValidation type="list" allowBlank="1" showInputMessage="1" showErrorMessage="1">
          <x14:formula1>
            <xm:f>INTRO!$H$17:$H$21</xm:f>
          </x14:formula1>
          <xm:sqref>C47:C48</xm:sqref>
        </x14:dataValidation>
        <x14:dataValidation type="list" allowBlank="1" showInputMessage="1" showErrorMessage="1">
          <x14:formula1>
            <xm:f>INTRO!$C$1:$D$1</xm:f>
          </x14:formula1>
          <xm:sqref>C43</xm:sqref>
        </x14:dataValidation>
        <x14:dataValidation type="list" allowBlank="1" showInputMessage="1" showErrorMessage="1">
          <x14:formula1>
            <xm:f>INTRO!$A$27:$A$31</xm:f>
          </x14:formula1>
          <xm:sqref>D43</xm:sqref>
        </x14:dataValidation>
        <x14:dataValidation type="list" allowBlank="1" showInputMessage="1" showErrorMessage="1">
          <x14:formula1>
            <xm:f>DREWNO!$A$45:$A$46</xm:f>
          </x14:formula1>
          <xm:sqref>C81</xm:sqref>
        </x14:dataValidation>
        <x14:dataValidation type="list" allowBlank="1" showInputMessage="1" showErrorMessage="1">
          <x14:formula1>
            <xm:f>INTRO!$T$5:$T$8</xm:f>
          </x14:formula1>
          <xm:sqref>E51:E52</xm:sqref>
        </x14:dataValidation>
        <x14:dataValidation type="list" allowBlank="1" showInputMessage="1" showErrorMessage="1">
          <x14:formula1>
            <xm:f>FORMY!$A$17:$A$18</xm:f>
          </x14:formula1>
          <xm:sqref>E85</xm:sqref>
        </x14:dataValidation>
        <x14:dataValidation type="list" allowBlank="1" showInputMessage="1" showErrorMessage="1">
          <x14:formula1>
            <xm:f>TERMO!$A$42:$A$46</xm:f>
          </x14:formula1>
          <xm:sqref>C98</xm:sqref>
        </x14:dataValidation>
        <x14:dataValidation type="list" allowBlank="1" showInputMessage="1" showErrorMessage="1">
          <x14:formula1>
            <xm:f>FREZ!$B$15:$E$15</xm:f>
          </x14:formula1>
          <xm:sqref>C108</xm:sqref>
        </x14:dataValidation>
        <x14:dataValidation type="list" allowBlank="1" showInputMessage="1" showErrorMessage="1">
          <x14:formula1>
            <xm:f>FREZ!$J$15:$J$17</xm:f>
          </x14:formula1>
          <xm:sqref>C112</xm:sqref>
        </x14:dataValidation>
        <x14:dataValidation type="list" allowBlank="1" showInputMessage="1" showErrorMessage="1">
          <x14:formula1>
            <xm:f>TERMO!$AA$14:$AA$15</xm:f>
          </x14:formula1>
          <xm:sqref>D101</xm:sqref>
        </x14:dataValidation>
        <x14:dataValidation type="list" allowBlank="1" showInputMessage="1" showErrorMessage="1">
          <x14:formula1>
            <xm:f>DRUK!$N$48:$N$49</xm:f>
          </x14:formula1>
          <xm:sqref>C34</xm:sqref>
        </x14:dataValidation>
        <x14:dataValidation type="list" allowBlank="1" showInputMessage="1" showErrorMessage="1">
          <x14:formula1>
            <xm:f>DRUK!$O$47:$P$47</xm:f>
          </x14:formula1>
          <xm:sqref>D34</xm:sqref>
        </x14:dataValidation>
        <x14:dataValidation type="list" allowBlank="1" showInputMessage="1" showErrorMessage="1">
          <x14:formula1>
            <xm:f>TERMO!$P$16:$P$17</xm:f>
          </x14:formula1>
          <xm:sqref>D104</xm:sqref>
        </x14:dataValidation>
        <x14:dataValidation type="list" allowBlank="1" showInputMessage="1" showErrorMessage="1">
          <x14:formula1>
            <xm:f>TERMO!$T$15:$T$17</xm:f>
          </x14:formula1>
          <xm:sqref>E104</xm:sqref>
        </x14:dataValidation>
        <x14:dataValidation type="list" allowBlank="1" showInputMessage="1" showErrorMessage="1">
          <x14:formula1>
            <xm:f>FREZ!$F$91:$F$100</xm:f>
          </x14:formula1>
          <xm:sqref>C116</xm:sqref>
        </x14:dataValidation>
        <x14:dataValidation type="list" allowBlank="1" showInputMessage="1" showErrorMessage="1">
          <x14:formula1>
            <xm:f>FREZ!$O$91:$O$114</xm:f>
          </x14:formula1>
          <xm:sqref>C120</xm:sqref>
        </x14:dataValidation>
        <x14:dataValidation type="list" allowBlank="1" showInputMessage="1" showErrorMessage="1">
          <x14:formula1>
            <xm:f>DRUK!$G$8:$G$9</xm:f>
          </x14:formula1>
          <xm:sqref>F11:G11</xm:sqref>
        </x14:dataValidation>
        <x14:dataValidation type="list" allowBlank="1" showInputMessage="1" showErrorMessage="1">
          <x14:formula1>
            <xm:f>DRUK!#REF!</xm:f>
          </x14:formula1>
          <xm:sqref>C7</xm:sqref>
        </x14:dataValidation>
        <x14:dataValidation type="list" allowBlank="1" showInputMessage="1" showErrorMessage="1">
          <x14:formula1>
            <xm:f>METAL!$A$31:$A$32</xm:f>
          </x14:formula1>
          <xm:sqref>C128</xm:sqref>
        </x14:dataValidation>
        <x14:dataValidation type="list" allowBlank="1" showInputMessage="1" showErrorMessage="1">
          <x14:formula1>
            <xm:f>METAL!$A$45:$A$47</xm:f>
          </x14:formula1>
          <xm:sqref>C135</xm:sqref>
        </x14:dataValidation>
        <x14:dataValidation type="list" allowBlank="1" showInputMessage="1" showErrorMessage="1">
          <x14:formula1>
            <xm:f>METAL!$O$15:$O$19</xm:f>
          </x14:formula1>
          <xm:sqref>C147</xm:sqref>
        </x14:dataValidation>
        <x14:dataValidation type="list" allowBlank="1" showInputMessage="1" showErrorMessage="1" prompt="Elementy do późniejszego przycięcia (np. po gięciu), mogą być cięte w większych pakietach.">
          <x14:formula1>
            <xm:f>METAL!$W$15:$W$16</xm:f>
          </x14:formula1>
          <xm:sqref>D167</xm:sqref>
        </x14:dataValidation>
        <x14:dataValidation type="list" allowBlank="1" showInputMessage="1" showErrorMessage="1">
          <x14:formula1>
            <xm:f>DRUK!$F$12:$F$13</xm:f>
          </x14:formula1>
          <xm:sqref>H6</xm:sqref>
        </x14:dataValidation>
        <x14:dataValidation type="list" allowBlank="1" showInputMessage="1" showErrorMessage="1">
          <x14:formula1>
            <xm:f>METAL!$O$65:$O$66</xm:f>
          </x14:formula1>
          <xm:sqref>E195 E199 E203</xm:sqref>
        </x14:dataValidation>
        <x14:dataValidation type="list" allowBlank="1" showInputMessage="1" showErrorMessage="1">
          <x14:formula1>
            <xm:f>DRUK!$L$93:$L$98</xm:f>
          </x14:formula1>
          <xm:sqref>C24</xm:sqref>
        </x14:dataValidation>
        <x14:dataValidation type="list" allowBlank="1" showErrorMessage="1" prompt="Przy cięciu blachy na gilotynie, wpisać wymiar dla krutszego boku arkusza, kożystniejszy w rozkroju.">
          <x14:formula1>
            <xm:f>METAL!$O$79:$O$80</xm:f>
          </x14:formula1>
          <xm:sqref>C203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2">
    <tabColor rgb="FF0070C0"/>
  </sheetPr>
  <dimension ref="A1:W100"/>
  <sheetViews>
    <sheetView zoomScale="80" zoomScaleNormal="80" workbookViewId="0">
      <selection activeCell="F10" sqref="F10"/>
    </sheetView>
  </sheetViews>
  <sheetFormatPr defaultRowHeight="15"/>
  <cols>
    <col min="1" max="4" width="16.42578125" customWidth="1"/>
    <col min="5" max="5" width="17.85546875" customWidth="1"/>
    <col min="6" max="6" width="16.42578125" customWidth="1"/>
    <col min="7" max="7" width="11.140625" customWidth="1"/>
    <col min="8" max="8" width="10.28515625" customWidth="1"/>
    <col min="12" max="12" width="10.5703125" customWidth="1"/>
    <col min="13" max="13" width="14" customWidth="1"/>
    <col min="14" max="14" width="13.5703125" customWidth="1"/>
    <col min="15" max="15" width="15.42578125" customWidth="1"/>
    <col min="20" max="20" width="12.5703125" customWidth="1"/>
  </cols>
  <sheetData>
    <row r="1" spans="1:22" ht="15.75" thickBot="1">
      <c r="A1" s="104">
        <v>6.9444444444444447E-4</v>
      </c>
      <c r="B1" s="104">
        <v>4.1666666666666664E-2</v>
      </c>
      <c r="V1" t="s">
        <v>26</v>
      </c>
    </row>
    <row r="2" spans="1:22" ht="15.75" thickBot="1">
      <c r="A2" s="496"/>
      <c r="B2" s="497"/>
      <c r="C2" s="497"/>
      <c r="D2" s="497"/>
      <c r="E2" s="497"/>
      <c r="F2" s="498"/>
      <c r="G2" s="496" t="s">
        <v>640</v>
      </c>
      <c r="H2" s="497"/>
      <c r="I2" s="497"/>
      <c r="J2" s="497"/>
      <c r="K2" s="497"/>
      <c r="L2" s="497"/>
      <c r="M2" s="498"/>
      <c r="N2" s="496" t="s">
        <v>656</v>
      </c>
      <c r="O2" s="497"/>
      <c r="P2" s="497"/>
      <c r="Q2" s="497"/>
      <c r="R2" s="497"/>
      <c r="S2" s="497"/>
      <c r="T2" s="498"/>
      <c r="V2" t="s">
        <v>25</v>
      </c>
    </row>
    <row r="3" spans="1:22" ht="15.75" thickBot="1">
      <c r="A3" s="109" t="s">
        <v>929</v>
      </c>
      <c r="B3">
        <f>KALKULATOR!C6</f>
        <v>1500</v>
      </c>
      <c r="C3">
        <f>KALKULATOR!D6</f>
        <v>1000</v>
      </c>
      <c r="D3">
        <f>B3*C3/1000000</f>
        <v>1.5</v>
      </c>
      <c r="F3" s="93"/>
      <c r="G3" s="90">
        <f>KALKULATOR!C11</f>
        <v>600</v>
      </c>
      <c r="H3" s="119">
        <f>KALKULATOR!D11</f>
        <v>600</v>
      </c>
      <c r="I3" s="119">
        <f>G3*H3/1000000</f>
        <v>0.36</v>
      </c>
      <c r="J3" s="119"/>
      <c r="K3" s="119" t="s">
        <v>460</v>
      </c>
      <c r="L3" s="253" t="s">
        <v>641</v>
      </c>
      <c r="M3" s="146">
        <f>VLOOKUP(K3,Tabela13[[Maszyna]:[Stawka]],2,FALSE)</f>
        <v>130</v>
      </c>
      <c r="N3" t="s">
        <v>502</v>
      </c>
      <c r="O3">
        <f>KALKULATOR!I1/KALKULATOR!C28</f>
        <v>100</v>
      </c>
      <c r="S3" t="s">
        <v>633</v>
      </c>
      <c r="T3" s="107">
        <v>38</v>
      </c>
    </row>
    <row r="4" spans="1:22" ht="15.75" thickBot="1">
      <c r="A4" s="92" t="s">
        <v>629</v>
      </c>
      <c r="B4">
        <f>KALKULATOR!I1/KALKULATOR!E6</f>
        <v>100</v>
      </c>
      <c r="C4" s="147"/>
      <c r="D4" s="147"/>
      <c r="E4" s="499" t="s">
        <v>1186</v>
      </c>
      <c r="F4" s="500"/>
      <c r="G4" s="92" t="s">
        <v>635</v>
      </c>
      <c r="H4">
        <f>KALKULATOR!I1/KALKULATOR!E11</f>
        <v>100</v>
      </c>
      <c r="L4" t="s">
        <v>787</v>
      </c>
      <c r="M4" s="107">
        <v>38</v>
      </c>
      <c r="N4" t="s">
        <v>500</v>
      </c>
      <c r="O4">
        <f>KALKULATOR!D28</f>
        <v>600</v>
      </c>
      <c r="T4" s="93"/>
    </row>
    <row r="5" spans="1:22">
      <c r="A5" s="109" t="s">
        <v>1</v>
      </c>
      <c r="B5" t="str">
        <f>VLOOKUP(KALKULATOR!B1,Materiały_zakupowe!A:AC,17,FALSE)</f>
        <v>inne</v>
      </c>
      <c r="C5" s="248"/>
      <c r="D5" s="90" t="s">
        <v>934</v>
      </c>
      <c r="E5" s="402" t="s">
        <v>1187</v>
      </c>
      <c r="F5" s="325" t="s">
        <v>1188</v>
      </c>
      <c r="G5" t="str">
        <f>VLOOKUP(H3,$J$13:$M$16,MATCH(G3,J13:M13,1),TRUE)</f>
        <v>do b1</v>
      </c>
      <c r="M5" s="93"/>
      <c r="N5" t="s">
        <v>501</v>
      </c>
      <c r="O5">
        <f>KALKULATOR!E28</f>
        <v>300</v>
      </c>
      <c r="T5" s="93"/>
    </row>
    <row r="6" spans="1:22" ht="15.75" thickBot="1">
      <c r="A6" s="92"/>
      <c r="D6" s="246">
        <v>2</v>
      </c>
      <c r="E6" s="403">
        <v>0.68</v>
      </c>
      <c r="F6" s="337">
        <v>1.2</v>
      </c>
      <c r="G6" s="140" t="s">
        <v>740</v>
      </c>
      <c r="H6" s="115"/>
      <c r="L6" t="s">
        <v>935</v>
      </c>
      <c r="M6" s="93">
        <f>I3*H4</f>
        <v>36</v>
      </c>
      <c r="N6" t="s">
        <v>505</v>
      </c>
      <c r="O6" t="str">
        <f>KALKULATOR!F28</f>
        <v>Na mokro</v>
      </c>
      <c r="T6" s="93"/>
    </row>
    <row r="7" spans="1:22" ht="15.75" thickBot="1">
      <c r="A7" s="92" t="str">
        <f>B5&amp;VLOOKUP(C3,$A$15:$C$17,MATCH(B3,A15:C15,1),TRUE)</f>
        <v>innePowyżej B0</v>
      </c>
      <c r="E7" s="451" t="s">
        <v>1354</v>
      </c>
      <c r="F7" s="452">
        <v>6</v>
      </c>
      <c r="G7" s="92"/>
      <c r="L7" t="s">
        <v>955</v>
      </c>
      <c r="M7" s="250">
        <v>5.5</v>
      </c>
      <c r="N7" t="s">
        <v>503</v>
      </c>
      <c r="O7" t="str">
        <f>KALKULATOR!C30</f>
        <v>Formatka</v>
      </c>
      <c r="T7" s="93"/>
    </row>
    <row r="8" spans="1:22" ht="15.75" thickBot="1">
      <c r="A8" s="92"/>
      <c r="E8" s="404" t="s">
        <v>1189</v>
      </c>
      <c r="F8" s="407">
        <f>IF(D13="TAK",F7,HLOOKUP(KALKULATOR!H6,DRUK!E5:F6,2,FALSE))</f>
        <v>1.2</v>
      </c>
      <c r="G8" s="92" t="s">
        <v>1322</v>
      </c>
      <c r="H8">
        <v>4.5999999999999996</v>
      </c>
      <c r="L8" t="s">
        <v>956</v>
      </c>
      <c r="M8" s="250">
        <f>M7*M6</f>
        <v>198</v>
      </c>
      <c r="N8" t="s">
        <v>510</v>
      </c>
      <c r="O8" t="str">
        <f>KALKULATOR!D30</f>
        <v>linia, koło</v>
      </c>
      <c r="T8" s="93"/>
    </row>
    <row r="9" spans="1:22" ht="15.75" thickBot="1">
      <c r="A9" s="90" t="s">
        <v>942</v>
      </c>
      <c r="B9" s="91" t="s">
        <v>1137</v>
      </c>
      <c r="F9" s="93"/>
      <c r="G9" s="92" t="s">
        <v>959</v>
      </c>
      <c r="H9">
        <v>8.25</v>
      </c>
      <c r="M9" s="93"/>
      <c r="N9" t="s">
        <v>504</v>
      </c>
      <c r="O9">
        <f>KALKULATOR!E30</f>
        <v>130</v>
      </c>
      <c r="T9" s="93"/>
    </row>
    <row r="10" spans="1:22" ht="15.75" thickBot="1">
      <c r="A10" s="92" t="s">
        <v>943</v>
      </c>
      <c r="B10" s="93" t="s">
        <v>29</v>
      </c>
      <c r="E10" s="404" t="s">
        <v>935</v>
      </c>
      <c r="F10" s="405">
        <f>D3*B4</f>
        <v>150</v>
      </c>
      <c r="G10" s="92"/>
      <c r="K10" s="106" t="s">
        <v>10</v>
      </c>
      <c r="L10" s="122">
        <f>IF(AND(H4&gt;25,MIN(G3:H3)&gt;=600),L21*H4,IF(OR(G3="",H3="",H4=""),"",((H22+H23+VLOOKUP(G5,G19:J21,3,FALSE)*L25)+VLOOKUP(G5,G19:J21,2,FALSE))*IF(H4&lt;L25,1,ROUNDDOWN(H4/L25,0))))</f>
        <v>0.16159327651515154</v>
      </c>
      <c r="M10" s="108">
        <f>(L10*$M$3*24)+M8</f>
        <v>702.17102272727288</v>
      </c>
      <c r="N10" t="s">
        <v>508</v>
      </c>
      <c r="O10" t="str">
        <f>KALKULATOR!F30</f>
        <v>folia-lustro (złoto), folia oracal</v>
      </c>
      <c r="T10" s="93"/>
    </row>
    <row r="11" spans="1:22" ht="15.75" thickBot="1">
      <c r="A11" s="92" t="s">
        <v>944</v>
      </c>
      <c r="B11" s="93" t="s">
        <v>28</v>
      </c>
      <c r="E11" s="224"/>
      <c r="F11" s="250"/>
      <c r="G11" s="92"/>
      <c r="K11" s="106" t="s">
        <v>631</v>
      </c>
      <c r="L11" s="117">
        <v>6.9444444444444441E-3</v>
      </c>
      <c r="M11" s="108">
        <f>L11*$M$3*24</f>
        <v>21.666666666666664</v>
      </c>
      <c r="T11" s="93"/>
    </row>
    <row r="12" spans="1:22">
      <c r="A12" s="92" t="s">
        <v>945</v>
      </c>
      <c r="B12" s="93" t="s">
        <v>29</v>
      </c>
      <c r="D12" s="454" t="s">
        <v>1355</v>
      </c>
      <c r="E12" s="224"/>
      <c r="F12" s="408" t="s">
        <v>1187</v>
      </c>
      <c r="G12" s="92" t="s">
        <v>1335</v>
      </c>
      <c r="M12" s="93"/>
      <c r="Q12" s="106" t="s">
        <v>657</v>
      </c>
      <c r="R12" s="116">
        <f>SUM(Q24:R24)</f>
        <v>1.9321357060185184E-3</v>
      </c>
      <c r="S12" s="116">
        <f>SUM(Q24:R24)*O3</f>
        <v>0.19321357060185185</v>
      </c>
      <c r="T12" s="108">
        <f>S12*24*$T$3</f>
        <v>176.21077638888889</v>
      </c>
    </row>
    <row r="13" spans="1:22" ht="15.75" thickBot="1">
      <c r="A13" s="94" t="s">
        <v>946</v>
      </c>
      <c r="B13" s="95" t="s">
        <v>28</v>
      </c>
      <c r="D13" s="454" t="str">
        <f>IF(AND(ISNUMBER(SEARCH("HDF",KALKULATOR!F1,1)),ISNUMBER(SEARCH("surowa",KALKULATOR!F1,1))),"TAK","NIE")</f>
        <v>NIE</v>
      </c>
      <c r="E13" s="224"/>
      <c r="F13" s="409" t="s">
        <v>1188</v>
      </c>
      <c r="G13" s="92">
        <v>2500</v>
      </c>
      <c r="K13">
        <v>1</v>
      </c>
      <c r="L13">
        <v>1001</v>
      </c>
      <c r="M13" s="93">
        <v>1401</v>
      </c>
      <c r="N13" s="252">
        <f>(O4*O5)/(1000^2)</f>
        <v>0.18</v>
      </c>
      <c r="Q13" s="106" t="s">
        <v>631</v>
      </c>
      <c r="R13" s="117"/>
      <c r="S13" s="117">
        <v>3.472222222222222E-3</v>
      </c>
      <c r="T13" s="108">
        <f>S13*24*$T$3</f>
        <v>3.1666666666666665</v>
      </c>
    </row>
    <row r="14" spans="1:22" ht="15.75" thickBot="1">
      <c r="A14" s="92"/>
      <c r="F14" s="93"/>
      <c r="G14" s="92">
        <v>1200</v>
      </c>
      <c r="J14">
        <v>1</v>
      </c>
      <c r="K14" t="s">
        <v>939</v>
      </c>
      <c r="L14" t="s">
        <v>941</v>
      </c>
      <c r="M14" s="93" t="s">
        <v>940</v>
      </c>
      <c r="T14" s="93"/>
    </row>
    <row r="15" spans="1:22">
      <c r="A15" s="90"/>
      <c r="B15" s="119">
        <v>1</v>
      </c>
      <c r="C15" s="91">
        <v>1401</v>
      </c>
      <c r="F15" s="93"/>
      <c r="G15" s="92"/>
      <c r="J15">
        <v>701</v>
      </c>
      <c r="K15" t="s">
        <v>941</v>
      </c>
      <c r="L15" t="s">
        <v>941</v>
      </c>
      <c r="M15" s="93" t="s">
        <v>940</v>
      </c>
      <c r="N15" t="s">
        <v>512</v>
      </c>
      <c r="O15" s="126">
        <v>1</v>
      </c>
      <c r="P15" t="s">
        <v>514</v>
      </c>
      <c r="Q15" s="126">
        <v>1</v>
      </c>
      <c r="T15" s="93"/>
    </row>
    <row r="16" spans="1:22">
      <c r="A16" s="92">
        <v>1</v>
      </c>
      <c r="B16" t="s">
        <v>947</v>
      </c>
      <c r="C16" s="93" t="s">
        <v>354</v>
      </c>
      <c r="D16" s="247"/>
      <c r="F16" s="93"/>
      <c r="G16" s="92"/>
      <c r="J16">
        <v>1001</v>
      </c>
      <c r="K16" t="s">
        <v>941</v>
      </c>
      <c r="L16" t="s">
        <v>940</v>
      </c>
      <c r="M16" s="93" t="s">
        <v>940</v>
      </c>
      <c r="N16" t="s">
        <v>511</v>
      </c>
      <c r="O16" s="126">
        <v>1.5</v>
      </c>
      <c r="P16" t="s">
        <v>515</v>
      </c>
      <c r="Q16" s="126">
        <v>1.5</v>
      </c>
      <c r="T16" s="93"/>
    </row>
    <row r="17" spans="1:20" ht="15.75" thickBot="1">
      <c r="A17" s="94">
        <v>1001</v>
      </c>
      <c r="B17" s="97" t="s">
        <v>354</v>
      </c>
      <c r="C17" s="95" t="s">
        <v>354</v>
      </c>
      <c r="F17" s="93"/>
      <c r="M17" s="93"/>
      <c r="N17" t="s">
        <v>518</v>
      </c>
      <c r="O17" s="126">
        <v>1</v>
      </c>
      <c r="P17" t="s">
        <v>516</v>
      </c>
      <c r="Q17" s="126">
        <v>1</v>
      </c>
      <c r="R17">
        <v>0</v>
      </c>
      <c r="S17">
        <v>2.8935185185185189E-4</v>
      </c>
      <c r="T17" s="93"/>
    </row>
    <row r="18" spans="1:20">
      <c r="A18" s="92"/>
      <c r="F18" s="93"/>
      <c r="G18" t="s">
        <v>357</v>
      </c>
      <c r="H18" t="s">
        <v>358</v>
      </c>
      <c r="I18" t="s">
        <v>359</v>
      </c>
      <c r="J18" t="s">
        <v>360</v>
      </c>
      <c r="M18" s="93"/>
      <c r="N18" t="s">
        <v>507</v>
      </c>
      <c r="O18" s="126">
        <v>1.33</v>
      </c>
      <c r="P18" t="s">
        <v>509</v>
      </c>
      <c r="Q18" s="126">
        <v>1.33</v>
      </c>
      <c r="R18">
        <v>2.5000000000000001E-3</v>
      </c>
      <c r="S18">
        <v>1.6589506172839498E-3</v>
      </c>
      <c r="T18" s="93"/>
    </row>
    <row r="19" spans="1:20">
      <c r="F19" s="93"/>
      <c r="G19" t="s">
        <v>361</v>
      </c>
      <c r="H19" s="26">
        <v>5.2083333333333333E-4</v>
      </c>
      <c r="I19" s="26">
        <v>5.2083333333333333E-4</v>
      </c>
      <c r="J19" s="26">
        <v>1.0416666666666667E-3</v>
      </c>
      <c r="M19" s="93"/>
      <c r="P19" t="s">
        <v>517</v>
      </c>
      <c r="Q19" s="126">
        <v>2</v>
      </c>
      <c r="R19">
        <v>2.2499999999999999E-2</v>
      </c>
      <c r="S19">
        <v>1.0098379629629628E-3</v>
      </c>
      <c r="T19" s="93"/>
    </row>
    <row r="20" spans="1:20" ht="15.75" thickBot="1">
      <c r="A20" s="94"/>
      <c r="B20" s="97"/>
      <c r="C20" s="97"/>
      <c r="D20" s="97"/>
      <c r="E20" s="97"/>
      <c r="F20" s="95"/>
      <c r="G20" t="s">
        <v>355</v>
      </c>
      <c r="H20" s="26">
        <v>5.2083333333333333E-4</v>
      </c>
      <c r="I20" s="26">
        <v>3.4722222222222224E-4</v>
      </c>
      <c r="J20" s="26">
        <v>8.6805555555555551E-4</v>
      </c>
      <c r="L20" s="26"/>
      <c r="M20" s="93"/>
      <c r="R20">
        <v>0.5</v>
      </c>
      <c r="S20">
        <v>2.69097222222222E-4</v>
      </c>
      <c r="T20" s="93"/>
    </row>
    <row r="21" spans="1:20" ht="15" customHeight="1">
      <c r="A21" s="340" t="s">
        <v>28</v>
      </c>
      <c r="B21" s="341"/>
      <c r="C21" s="341"/>
      <c r="D21" s="341"/>
      <c r="E21" s="341"/>
      <c r="F21" s="342"/>
      <c r="G21" t="s">
        <v>356</v>
      </c>
      <c r="H21" s="26">
        <v>5.2083333333333333E-4</v>
      </c>
      <c r="I21" s="26">
        <v>2.3148148148148146E-4</v>
      </c>
      <c r="J21" s="26">
        <v>7.5231481481481482E-4</v>
      </c>
      <c r="L21" s="26">
        <f>((SUM(P62:P64)-P63*(2-L25))/L25+SUM(P59:P60))*(1+P61)</f>
        <v>1.6159327651515153E-3</v>
      </c>
      <c r="M21" s="93"/>
      <c r="N21" t="s">
        <v>519</v>
      </c>
      <c r="O21" t="s">
        <v>520</v>
      </c>
      <c r="T21" s="93"/>
    </row>
    <row r="22" spans="1:20">
      <c r="A22" s="292" t="s">
        <v>948</v>
      </c>
      <c r="B22" s="293">
        <f>KALKULATOR!F6</f>
        <v>5</v>
      </c>
      <c r="C22" s="104">
        <v>6.9444444444444447E-4</v>
      </c>
      <c r="D22" t="s">
        <v>28</v>
      </c>
      <c r="E22" s="358" t="s">
        <v>647</v>
      </c>
      <c r="F22" s="315">
        <f>VLOOKUP(D22,Tabela13[[Maszyna]:[Stawka]],2,FALSE)</f>
        <v>170</v>
      </c>
      <c r="G22" t="s">
        <v>362</v>
      </c>
      <c r="H22" s="26">
        <f>I25/H26</f>
        <v>1.8077956989247311E-3</v>
      </c>
      <c r="M22" s="93"/>
      <c r="T22" s="93"/>
    </row>
    <row r="23" spans="1:20" ht="15" customHeight="1">
      <c r="A23" s="92" t="s">
        <v>1112</v>
      </c>
      <c r="B23" s="27">
        <f>KALKULATOR!G6</f>
        <v>5</v>
      </c>
      <c r="C23">
        <v>8000</v>
      </c>
      <c r="E23" s="310" t="s">
        <v>936</v>
      </c>
      <c r="F23" s="316">
        <f>F10*F8*B22</f>
        <v>900</v>
      </c>
      <c r="G23" t="s">
        <v>363</v>
      </c>
      <c r="H23" s="26">
        <f>H27*H25</f>
        <v>5.2185035842293908E-3</v>
      </c>
      <c r="M23" s="93"/>
      <c r="N23" s="26">
        <v>2.3148148148148147E-5</v>
      </c>
      <c r="Q23" t="s">
        <v>519</v>
      </c>
      <c r="R23" t="s">
        <v>520</v>
      </c>
      <c r="T23" s="93"/>
    </row>
    <row r="24" spans="1:20">
      <c r="A24" s="297" t="s">
        <v>950</v>
      </c>
      <c r="B24" s="296">
        <f>MAX(B3:C3)</f>
        <v>1500</v>
      </c>
      <c r="C24">
        <v>4000</v>
      </c>
      <c r="D24" t="s">
        <v>16</v>
      </c>
      <c r="E24" s="310" t="s">
        <v>1111</v>
      </c>
      <c r="F24" s="324">
        <v>250</v>
      </c>
      <c r="M24" s="93"/>
      <c r="Q24" s="26">
        <f>VLOOKUP(N13,R17:S20,2,TRUE)*VLOOKUP(O6,N17:O18,2,FALSE)*VLOOKUP(O10,P17:Q19,2,FALSE)*VLOOKUP(O7,P15:Q16,2,FALSE)</f>
        <v>1.786302372685185E-3</v>
      </c>
      <c r="R24" s="26">
        <f>IF(O9&gt;0,O9/100*N23*VLOOKUP(O8,N15:O16,2,FALSE)+10/24/60/60,0)</f>
        <v>1.4583333333333335E-4</v>
      </c>
      <c r="T24" s="93"/>
    </row>
    <row r="25" spans="1:20">
      <c r="A25" s="360" t="s">
        <v>629</v>
      </c>
      <c r="B25" s="296">
        <f>KALKULATOR!I1/KALKULATOR!E6</f>
        <v>100</v>
      </c>
      <c r="C25" s="296">
        <f>IF(B25&lt;=150,C24,C23)</f>
        <v>4000</v>
      </c>
      <c r="F25" s="315"/>
      <c r="G25" t="s">
        <v>364</v>
      </c>
      <c r="H25">
        <f>ROUNDUP((H3/VLOOKUP(KALKULATOR!F11,DRUK!G8:H9,2,FALSE)+4)*2,0)</f>
        <v>269</v>
      </c>
      <c r="I25">
        <f>H25*G3</f>
        <v>161400</v>
      </c>
      <c r="K25" s="26" t="s">
        <v>1334</v>
      </c>
      <c r="L25">
        <f>IF(H4&gt;25,IF(AND(MAX(G3:H3)&lt;=MAX(G13:G14),MIN(G3:H3)&lt;=MIN(G13:G14),MIN(G3:H3)&gt;=600),2,1),1)</f>
        <v>2</v>
      </c>
      <c r="M25" s="93"/>
      <c r="T25" s="93"/>
    </row>
    <row r="26" spans="1:20">
      <c r="A26" s="92" t="str">
        <f>VLOOKUP(C3,$A$15:$C$17,MATCH(B3,$A$15:$C$15,1),TRUE)</f>
        <v>Powyżej B0</v>
      </c>
      <c r="D26" s="295"/>
      <c r="E26" s="295"/>
      <c r="F26" s="315"/>
      <c r="G26" t="s">
        <v>365</v>
      </c>
      <c r="H26" s="114">
        <f>I26/A1*I27</f>
        <v>89280000</v>
      </c>
      <c r="I26">
        <v>62</v>
      </c>
      <c r="M26" s="93"/>
      <c r="T26" s="93"/>
    </row>
    <row r="27" spans="1:20" ht="15.75" thickBot="1">
      <c r="G27" t="s">
        <v>366</v>
      </c>
      <c r="H27" s="26">
        <f>(H28+H29)/H26+I29</f>
        <v>1.9399641577060933E-5</v>
      </c>
      <c r="I27">
        <v>1000</v>
      </c>
      <c r="M27" s="93"/>
      <c r="T27" s="93"/>
    </row>
    <row r="28" spans="1:20" ht="15" customHeight="1" thickBot="1">
      <c r="A28" s="90" t="s">
        <v>645</v>
      </c>
      <c r="B28" s="91"/>
      <c r="C28" s="320" t="s">
        <v>911</v>
      </c>
      <c r="F28" s="93"/>
      <c r="G28" s="331" t="s">
        <v>367</v>
      </c>
      <c r="H28">
        <v>855</v>
      </c>
      <c r="M28" s="93"/>
      <c r="T28" s="93"/>
    </row>
    <row r="29" spans="1:20">
      <c r="A29" s="298" t="s">
        <v>630</v>
      </c>
      <c r="B29" s="301">
        <f>B24/C25*C22</f>
        <v>2.6041666666666666E-4</v>
      </c>
      <c r="C29" s="321">
        <f>IF(A26=E29,F29,F30)</f>
        <v>2.0833333333333332E-2</v>
      </c>
      <c r="E29" s="90" t="s">
        <v>355</v>
      </c>
      <c r="F29" s="317">
        <v>1.0416666666666666E-2</v>
      </c>
      <c r="G29" s="331"/>
      <c r="H29">
        <v>40</v>
      </c>
      <c r="I29" s="26">
        <v>9.3750000000000009E-6</v>
      </c>
      <c r="M29" s="93"/>
      <c r="T29" s="93"/>
    </row>
    <row r="30" spans="1:20">
      <c r="A30" s="300" t="s">
        <v>18</v>
      </c>
      <c r="B30" s="301">
        <v>9.2592592592592588E-5</v>
      </c>
      <c r="C30" s="322">
        <v>6.9444444444444441E-3</v>
      </c>
      <c r="D30" t="s">
        <v>1113</v>
      </c>
      <c r="E30" s="92" t="s">
        <v>361</v>
      </c>
      <c r="F30" s="318">
        <v>2.0833333333333332E-2</v>
      </c>
      <c r="M30" s="93"/>
      <c r="T30" s="93"/>
    </row>
    <row r="31" spans="1:20" ht="15.75" thickBot="1">
      <c r="A31" s="300" t="s">
        <v>20</v>
      </c>
      <c r="B31" s="301">
        <v>5.7870370370370366E-5</v>
      </c>
      <c r="C31" s="287">
        <f>F32*B22-F31</f>
        <v>0.1423611111111111</v>
      </c>
      <c r="E31" s="92"/>
      <c r="F31" s="318">
        <v>1.3888888888888888E-2</v>
      </c>
      <c r="G31" s="97"/>
      <c r="H31" s="97"/>
      <c r="I31" s="97"/>
      <c r="J31" s="97"/>
      <c r="K31" s="97"/>
      <c r="L31" s="97"/>
      <c r="M31" s="95"/>
      <c r="N31" s="97"/>
      <c r="O31" s="97"/>
      <c r="P31" s="97"/>
      <c r="Q31" s="97"/>
      <c r="R31" s="97"/>
      <c r="S31" s="97"/>
      <c r="T31" s="95"/>
    </row>
    <row r="32" spans="1:20" ht="15.75" thickBot="1">
      <c r="A32" s="94" t="s">
        <v>932</v>
      </c>
      <c r="B32" s="302">
        <f>SUM(B29:B31)</f>
        <v>4.1087962962962958E-4</v>
      </c>
      <c r="C32" s="288">
        <v>3.472222222222222E-3</v>
      </c>
      <c r="E32" s="94"/>
      <c r="F32" s="319">
        <v>3.125E-2</v>
      </c>
      <c r="G32" s="497" t="s">
        <v>642</v>
      </c>
      <c r="H32" s="497"/>
      <c r="I32" s="497"/>
      <c r="J32" s="497"/>
      <c r="K32" s="497"/>
      <c r="L32" s="497"/>
      <c r="M32" s="498"/>
      <c r="N32" s="496" t="s">
        <v>658</v>
      </c>
      <c r="O32" s="497"/>
      <c r="P32" s="497"/>
      <c r="Q32" s="497"/>
      <c r="R32" s="497"/>
      <c r="S32" s="497"/>
      <c r="T32" s="498"/>
    </row>
    <row r="33" spans="1:20" ht="15.75" thickBot="1">
      <c r="A33" s="92"/>
      <c r="C33" s="290">
        <f>SUM(C28:C32)</f>
        <v>0.1736111111111111</v>
      </c>
      <c r="D33" t="s">
        <v>1114</v>
      </c>
      <c r="F33" s="93"/>
      <c r="G33" s="119" t="s">
        <v>654</v>
      </c>
      <c r="H33" s="90">
        <f>KALKULATOR!C15+20</f>
        <v>1420</v>
      </c>
      <c r="I33" s="119" t="s">
        <v>64</v>
      </c>
      <c r="J33" s="119">
        <v>7000</v>
      </c>
      <c r="K33" s="119" t="s">
        <v>462</v>
      </c>
      <c r="L33" s="119" t="s">
        <v>647</v>
      </c>
      <c r="M33" s="146">
        <f>VLOOKUP(K33,Tabela13[[Maszyna]:[Stawka]],2,FALSE)</f>
        <v>65</v>
      </c>
      <c r="N33" s="92" t="s">
        <v>23</v>
      </c>
      <c r="O33" t="str">
        <f>KALKULATOR!C34</f>
        <v>FOLIA</v>
      </c>
      <c r="R33" t="s">
        <v>467</v>
      </c>
      <c r="S33" t="s">
        <v>647</v>
      </c>
      <c r="T33" s="107">
        <f>VLOOKUP(DRUK!R33,Tabela13[[Maszyna]:[Stawka]],2,FALSE)</f>
        <v>60</v>
      </c>
    </row>
    <row r="34" spans="1:20">
      <c r="A34" s="92"/>
      <c r="F34" s="93"/>
      <c r="G34" t="s">
        <v>655</v>
      </c>
      <c r="H34" s="92">
        <f>KALKULATOR!D15+20</f>
        <v>1020</v>
      </c>
      <c r="I34" t="s">
        <v>368</v>
      </c>
      <c r="J34">
        <v>3000</v>
      </c>
      <c r="M34" s="93"/>
      <c r="N34" s="92" t="s">
        <v>645</v>
      </c>
      <c r="O34" t="str">
        <f>KALKULATOR!D34</f>
        <v>Z DRUKIEM</v>
      </c>
      <c r="T34" s="93"/>
    </row>
    <row r="35" spans="1:20" ht="15.75" thickBot="1">
      <c r="A35" s="92"/>
      <c r="F35" s="93"/>
      <c r="G35" t="s">
        <v>1</v>
      </c>
      <c r="H35" s="124" t="s">
        <v>513</v>
      </c>
      <c r="M35" s="93"/>
      <c r="N35" s="92" t="s">
        <v>905</v>
      </c>
      <c r="O35">
        <f>KALKULATOR!I1/KALKULATOR!E34</f>
        <v>100</v>
      </c>
      <c r="T35" s="93"/>
    </row>
    <row r="36" spans="1:20" ht="15.75" thickBot="1">
      <c r="A36" s="90" t="s">
        <v>362</v>
      </c>
      <c r="B36" s="119"/>
      <c r="C36" s="91"/>
      <c r="F36" s="93"/>
      <c r="G36" t="s">
        <v>643</v>
      </c>
      <c r="H36">
        <f>KALKULATOR!I1/KALKULATOR!E15</f>
        <v>20</v>
      </c>
      <c r="I36" s="104">
        <v>1.3888888888888888E-2</v>
      </c>
      <c r="M36" s="93"/>
      <c r="N36" s="92" t="s">
        <v>906</v>
      </c>
      <c r="O36">
        <f>KALKULATOR!E34</f>
        <v>1</v>
      </c>
      <c r="T36" s="93"/>
    </row>
    <row r="37" spans="1:20">
      <c r="A37" s="92"/>
      <c r="B37" t="s">
        <v>1115</v>
      </c>
      <c r="C37" s="93"/>
      <c r="E37" s="304" t="s">
        <v>362</v>
      </c>
      <c r="F37" s="307">
        <f>IF(B22&lt;=B23,C51*1.1,C51*1.1/0)</f>
        <v>0.22598379629629631</v>
      </c>
      <c r="M37" s="93"/>
      <c r="N37" s="92" t="s">
        <v>907</v>
      </c>
      <c r="O37">
        <f>KALKULATOR!F34</f>
        <v>1500</v>
      </c>
      <c r="T37" s="93"/>
    </row>
    <row r="38" spans="1:20" ht="15.75" thickBot="1">
      <c r="A38" s="92" t="s">
        <v>1116</v>
      </c>
      <c r="B38" s="28">
        <f>IF($B$23&gt;=1,1,0)</f>
        <v>1</v>
      </c>
      <c r="C38" s="96">
        <f t="shared" ref="C38:C50" si="0">B38*$B$25*$B$32</f>
        <v>4.1087962962962958E-2</v>
      </c>
      <c r="E38" s="305" t="s">
        <v>1129</v>
      </c>
      <c r="F38" s="323">
        <f>IF(B22&lt;=B23,C33,C33/0)</f>
        <v>0.1736111111111111</v>
      </c>
      <c r="G38" t="s">
        <v>645</v>
      </c>
      <c r="H38" s="120">
        <f>H33*H34/1000000*B1/(VLOOKUP(H35,I33:J34,2,FALSE)/1000)*H36</f>
        <v>0.40233333333333332</v>
      </c>
      <c r="K38" s="106" t="s">
        <v>10</v>
      </c>
      <c r="L38" s="122">
        <f>SUM(H38:H39)</f>
        <v>0.44261111111111107</v>
      </c>
      <c r="M38" s="107">
        <f>$M$33*24*L38</f>
        <v>690.47333333333324</v>
      </c>
      <c r="N38" s="92"/>
      <c r="T38" s="93"/>
    </row>
    <row r="39" spans="1:20" ht="15.75" thickBot="1">
      <c r="A39" s="92" t="s">
        <v>1117</v>
      </c>
      <c r="B39" s="28">
        <f>IF($B$23&gt;=2,1,0)</f>
        <v>1</v>
      </c>
      <c r="C39" s="96">
        <f t="shared" si="0"/>
        <v>4.1087962962962958E-2</v>
      </c>
      <c r="F39" s="93"/>
      <c r="G39" t="s">
        <v>646</v>
      </c>
      <c r="H39" s="104">
        <f>I39*I36/10</f>
        <v>4.0277777777777773E-2</v>
      </c>
      <c r="I39">
        <f>ROUNDUP(H38/I36,0)</f>
        <v>29</v>
      </c>
      <c r="K39" s="106" t="s">
        <v>631</v>
      </c>
      <c r="L39" s="117">
        <v>1.0416666666666666E-2</v>
      </c>
      <c r="M39" s="107">
        <f>$M$33*24*L39</f>
        <v>16.25</v>
      </c>
      <c r="R39" s="106" t="s">
        <v>10</v>
      </c>
      <c r="S39" s="122">
        <f>O44*O35</f>
        <v>6.9444444444444434E-2</v>
      </c>
      <c r="T39" s="221">
        <f>S39*24*$T$33</f>
        <v>99.999999999999986</v>
      </c>
    </row>
    <row r="40" spans="1:20">
      <c r="A40" s="92" t="s">
        <v>1118</v>
      </c>
      <c r="B40" s="28">
        <f>IF($B$23&gt;=3,1,0)</f>
        <v>1</v>
      </c>
      <c r="C40" s="96">
        <f t="shared" si="0"/>
        <v>4.1087962962962958E-2</v>
      </c>
      <c r="E40" s="304" t="s">
        <v>632</v>
      </c>
      <c r="F40" s="311">
        <f>(F37*24*F22)+F23</f>
        <v>1822.0138888888891</v>
      </c>
      <c r="H40" s="121">
        <f>SUM(H38:H39)</f>
        <v>0.44261111111111107</v>
      </c>
      <c r="M40" s="93"/>
      <c r="N40" t="s">
        <v>628</v>
      </c>
      <c r="O40">
        <f>VLOOKUP(O33,N48:P49,MATCH(O34,N47:P47,0),FALSE)</f>
        <v>50</v>
      </c>
      <c r="P40" s="104">
        <v>1.1574074074074073E-5</v>
      </c>
      <c r="R40" s="106" t="s">
        <v>631</v>
      </c>
      <c r="S40" s="117">
        <f>VLOOKUP(O34,R48:S49,2,FALSE)</f>
        <v>1.3888888888888888E-2</v>
      </c>
      <c r="T40" s="221">
        <f>S40*24*$T$33</f>
        <v>20</v>
      </c>
    </row>
    <row r="41" spans="1:20">
      <c r="A41" s="92" t="s">
        <v>1119</v>
      </c>
      <c r="B41" s="28">
        <f>IF($B$23&gt;=4,1,0)</f>
        <v>1</v>
      </c>
      <c r="C41" s="96">
        <f t="shared" si="0"/>
        <v>4.1087962962962958E-2</v>
      </c>
      <c r="E41" s="291" t="s">
        <v>21</v>
      </c>
      <c r="F41" s="312">
        <f>(F38*24*F22)+(F24*B22)</f>
        <v>1958.3333333333333</v>
      </c>
      <c r="M41" s="93"/>
      <c r="T41" s="93"/>
    </row>
    <row r="42" spans="1:20" ht="15.75" thickBot="1">
      <c r="A42" s="92" t="s">
        <v>1120</v>
      </c>
      <c r="B42" s="28">
        <f>IF($B$23&gt;=5,1,0)</f>
        <v>1</v>
      </c>
      <c r="C42" s="96">
        <f t="shared" si="0"/>
        <v>4.1087962962962958E-2</v>
      </c>
      <c r="E42" s="305" t="s">
        <v>634</v>
      </c>
      <c r="F42" s="306">
        <f>F41+F40</f>
        <v>3780.3472222222226</v>
      </c>
      <c r="M42" s="93"/>
      <c r="N42" t="s">
        <v>778</v>
      </c>
      <c r="O42" s="104">
        <f>O37/O40*P40</f>
        <v>3.4722222222222218E-4</v>
      </c>
      <c r="T42" s="93"/>
    </row>
    <row r="43" spans="1:20">
      <c r="A43" s="92" t="s">
        <v>1121</v>
      </c>
      <c r="B43" s="28">
        <f>IF($B$23&gt;=6,1,0)</f>
        <v>0</v>
      </c>
      <c r="C43" s="96">
        <f t="shared" si="0"/>
        <v>0</v>
      </c>
      <c r="F43" s="93"/>
      <c r="M43" s="93"/>
      <c r="N43" s="92" t="s">
        <v>908</v>
      </c>
      <c r="O43" s="104">
        <v>3.4722222222222224E-4</v>
      </c>
      <c r="P43" s="104"/>
      <c r="T43" s="93"/>
    </row>
    <row r="44" spans="1:20" ht="17.25" customHeight="1">
      <c r="A44" s="92" t="s">
        <v>1122</v>
      </c>
      <c r="B44" s="28">
        <f>IF($B$23&gt;=7,1,0)</f>
        <v>0</v>
      </c>
      <c r="C44" s="96">
        <f t="shared" si="0"/>
        <v>0</v>
      </c>
      <c r="F44" s="93"/>
      <c r="M44" s="93"/>
      <c r="N44" s="92"/>
      <c r="O44" s="169">
        <f>SUM(O42:O43)</f>
        <v>6.9444444444444436E-4</v>
      </c>
      <c r="T44" s="93"/>
    </row>
    <row r="45" spans="1:20">
      <c r="A45" s="92" t="s">
        <v>1123</v>
      </c>
      <c r="B45" s="28">
        <f>IF($B$23&gt;=8,1,0)</f>
        <v>0</v>
      </c>
      <c r="C45" s="96">
        <f t="shared" si="0"/>
        <v>0</v>
      </c>
      <c r="F45" s="93"/>
      <c r="M45" s="93"/>
      <c r="N45" s="92"/>
      <c r="T45" s="93"/>
    </row>
    <row r="46" spans="1:20">
      <c r="A46" s="92" t="s">
        <v>1124</v>
      </c>
      <c r="B46" s="28">
        <f>IF($B$23&gt;=9,1,0)</f>
        <v>0</v>
      </c>
      <c r="C46" s="96">
        <f t="shared" si="0"/>
        <v>0</v>
      </c>
      <c r="F46" s="93"/>
      <c r="M46" s="93"/>
      <c r="N46" s="92"/>
      <c r="T46" s="93"/>
    </row>
    <row r="47" spans="1:20">
      <c r="A47" s="92" t="s">
        <v>1125</v>
      </c>
      <c r="B47" s="28">
        <f>IF($B$23&gt;=10,1,0)</f>
        <v>0</v>
      </c>
      <c r="C47" s="96">
        <f t="shared" si="0"/>
        <v>0</v>
      </c>
      <c r="F47" s="93"/>
      <c r="M47" s="93"/>
      <c r="N47" s="92"/>
      <c r="O47" t="s">
        <v>903</v>
      </c>
      <c r="P47" t="s">
        <v>904</v>
      </c>
      <c r="R47" s="123"/>
      <c r="T47" s="93"/>
    </row>
    <row r="48" spans="1:20">
      <c r="A48" s="92" t="s">
        <v>1126</v>
      </c>
      <c r="B48" s="28">
        <f>IF($B$23&gt;=11,1,0)</f>
        <v>0</v>
      </c>
      <c r="C48" s="96">
        <f t="shared" si="0"/>
        <v>0</v>
      </c>
      <c r="F48" s="93"/>
      <c r="G48" s="92"/>
      <c r="M48" s="93"/>
      <c r="N48" s="92" t="s">
        <v>902</v>
      </c>
      <c r="O48">
        <v>50</v>
      </c>
      <c r="P48">
        <v>100</v>
      </c>
      <c r="R48" t="s">
        <v>903</v>
      </c>
      <c r="S48" s="26">
        <v>1.3888888888888888E-2</v>
      </c>
      <c r="T48" s="93"/>
    </row>
    <row r="49" spans="1:23" ht="15.75" thickBot="1">
      <c r="A49" s="92" t="s">
        <v>1127</v>
      </c>
      <c r="B49" s="28">
        <f>IF($B$23&gt;=12,1,0)</f>
        <v>0</v>
      </c>
      <c r="C49" s="96">
        <f t="shared" si="0"/>
        <v>0</v>
      </c>
      <c r="F49" s="93"/>
      <c r="G49" s="94"/>
      <c r="H49" s="97"/>
      <c r="I49" s="97"/>
      <c r="J49" s="97"/>
      <c r="K49" s="97"/>
      <c r="L49" s="97"/>
      <c r="M49" s="95"/>
      <c r="N49" s="92" t="s">
        <v>561</v>
      </c>
      <c r="O49">
        <v>50</v>
      </c>
      <c r="P49">
        <v>50</v>
      </c>
      <c r="R49" t="s">
        <v>904</v>
      </c>
      <c r="S49" s="26">
        <v>6.9444444444444441E-3</v>
      </c>
      <c r="T49" s="93"/>
    </row>
    <row r="50" spans="1:23" ht="15.75" thickBot="1">
      <c r="A50" s="94" t="s">
        <v>1128</v>
      </c>
      <c r="B50" s="28">
        <f>IF($B$23&gt;=13,1,0)</f>
        <v>0</v>
      </c>
      <c r="C50" s="96">
        <f t="shared" si="0"/>
        <v>0</v>
      </c>
      <c r="F50" s="93"/>
      <c r="G50" s="496" t="s">
        <v>648</v>
      </c>
      <c r="H50" s="497"/>
      <c r="I50" s="497"/>
      <c r="J50" s="497"/>
      <c r="K50" s="497"/>
      <c r="L50" s="497"/>
      <c r="M50" s="498"/>
      <c r="N50" s="92"/>
      <c r="T50" s="93"/>
    </row>
    <row r="51" spans="1:23" ht="15.75" thickBot="1">
      <c r="A51" s="92"/>
      <c r="B51" s="289" t="s">
        <v>1130</v>
      </c>
      <c r="C51" s="286">
        <f>SUM(C38:C50)</f>
        <v>0.2054398148148148</v>
      </c>
      <c r="F51" s="93"/>
      <c r="G51" s="90" t="s">
        <v>370</v>
      </c>
      <c r="H51" s="119" t="str">
        <f>KALKULATOR!C19</f>
        <v>CZÓŁKA DO TREI itp..</v>
      </c>
      <c r="I51" s="119"/>
      <c r="J51" s="119"/>
      <c r="K51" s="119" t="s">
        <v>468</v>
      </c>
      <c r="L51" s="119" t="s">
        <v>647</v>
      </c>
      <c r="M51" s="146">
        <f>VLOOKUP(K51,Stawki_maszyn!B:C,2,FALSE)</f>
        <v>80</v>
      </c>
      <c r="N51" s="441"/>
      <c r="O51" s="442"/>
      <c r="P51" s="442"/>
      <c r="Q51" s="442" t="s">
        <v>640</v>
      </c>
      <c r="R51" s="442"/>
      <c r="S51" s="442"/>
      <c r="T51" s="442"/>
      <c r="U51" s="442"/>
      <c r="V51" s="442"/>
      <c r="W51" s="443"/>
    </row>
    <row r="52" spans="1:23" ht="15.75" thickBot="1">
      <c r="A52" s="94"/>
      <c r="B52" s="97"/>
      <c r="C52" s="97"/>
      <c r="D52" s="97"/>
      <c r="E52" s="97"/>
      <c r="F52" s="95"/>
      <c r="G52" s="92" t="s">
        <v>649</v>
      </c>
      <c r="H52">
        <f>KALKULATOR!I1/KALKULATOR!D19</f>
        <v>100</v>
      </c>
      <c r="L52" t="s">
        <v>962</v>
      </c>
      <c r="M52" s="250">
        <v>0.04</v>
      </c>
      <c r="N52" s="92"/>
      <c r="W52" s="93"/>
    </row>
    <row r="53" spans="1:23" ht="15.75" thickBot="1">
      <c r="A53" s="343" t="s">
        <v>29</v>
      </c>
      <c r="B53" s="344"/>
      <c r="C53" s="344"/>
      <c r="D53" s="344"/>
      <c r="E53" s="344"/>
      <c r="F53" s="345"/>
      <c r="G53" s="92" t="s">
        <v>374</v>
      </c>
      <c r="H53">
        <f>KALKULATOR!E19</f>
        <v>3</v>
      </c>
      <c r="L53" t="s">
        <v>960</v>
      </c>
      <c r="M53" s="250">
        <f>(M52*H53)*H52</f>
        <v>12</v>
      </c>
      <c r="N53" s="92"/>
      <c r="W53" s="93"/>
    </row>
    <row r="54" spans="1:23">
      <c r="A54" s="333" t="s">
        <v>949</v>
      </c>
      <c r="B54" s="332">
        <f>KALKULATOR!G6</f>
        <v>5</v>
      </c>
      <c r="C54" s="119" t="s">
        <v>636</v>
      </c>
      <c r="D54" t="s">
        <v>29</v>
      </c>
      <c r="E54" s="359" t="s">
        <v>647</v>
      </c>
      <c r="F54" s="335">
        <f>VLOOKUP(D54,Tabela13[[Maszyna]:[Stawka]],2,FALSE)</f>
        <v>210</v>
      </c>
      <c r="G54" s="92"/>
      <c r="M54" s="93"/>
      <c r="N54" s="433"/>
      <c r="O54" s="434" t="s">
        <v>1323</v>
      </c>
      <c r="P54" s="434"/>
      <c r="Q54" s="434"/>
      <c r="R54" s="434"/>
      <c r="S54" s="434"/>
      <c r="W54" s="93"/>
    </row>
    <row r="55" spans="1:23">
      <c r="A55" s="297" t="s">
        <v>627</v>
      </c>
      <c r="B55" s="296">
        <f>MIN(B3:C3)</f>
        <v>1000</v>
      </c>
      <c r="C55" s="293">
        <f>VLOOKUP(B54,E59:F62,2,TRUE)</f>
        <v>4000</v>
      </c>
      <c r="D55" s="104">
        <v>6.9444444444444447E-4</v>
      </c>
      <c r="E55" s="310" t="s">
        <v>936</v>
      </c>
      <c r="F55" s="316">
        <f>F10*F8*B54</f>
        <v>900</v>
      </c>
      <c r="G55" s="92"/>
      <c r="M55" s="93"/>
      <c r="N55" s="433"/>
      <c r="O55" s="434" t="s">
        <v>1324</v>
      </c>
      <c r="P55" s="434" t="s">
        <v>1325</v>
      </c>
      <c r="Q55" s="434" t="s">
        <v>1326</v>
      </c>
      <c r="R55" s="434"/>
      <c r="S55" s="434"/>
      <c r="W55" s="93"/>
    </row>
    <row r="56" spans="1:23">
      <c r="A56" s="297" t="s">
        <v>635</v>
      </c>
      <c r="B56" s="296">
        <f>KALKULATOR!I1/KALKULATOR!E6</f>
        <v>100</v>
      </c>
      <c r="C56" s="294"/>
      <c r="D56" s="294"/>
      <c r="E56" s="310" t="s">
        <v>1111</v>
      </c>
      <c r="F56" s="324">
        <v>250</v>
      </c>
      <c r="G56" s="92"/>
      <c r="M56" s="93"/>
      <c r="N56" s="433"/>
      <c r="O56" s="434">
        <f>MIN(G3:H3)/((MIN(G3:H3)-S69*S68)/T68+S69)/VLOOKUP(KALKULATOR!F11,O68:Q77,3,FALSE)</f>
        <v>15.873015873015873</v>
      </c>
      <c r="P56" s="434">
        <v>55</v>
      </c>
      <c r="Q56" s="435">
        <v>2.6041666666666668E-5</v>
      </c>
      <c r="R56" s="434"/>
      <c r="S56" s="434"/>
      <c r="W56" s="93"/>
    </row>
    <row r="57" spans="1:23" ht="15.75" thickBot="1">
      <c r="A57" s="298"/>
      <c r="B57" s="249"/>
      <c r="C57" s="295"/>
      <c r="D57" s="295"/>
      <c r="F57" s="93"/>
      <c r="G57" s="92"/>
      <c r="M57" s="93"/>
      <c r="N57" s="433"/>
      <c r="O57" s="434" t="s">
        <v>1327</v>
      </c>
      <c r="P57" s="436">
        <f>ROUNDDOWN(MIN(G3:H3)/O56,0)</f>
        <v>37</v>
      </c>
      <c r="Q57" s="434"/>
      <c r="R57" s="434"/>
      <c r="S57" s="434"/>
      <c r="W57" s="93"/>
    </row>
    <row r="58" spans="1:23" ht="15.75" thickBot="1">
      <c r="A58" s="338" t="s">
        <v>10</v>
      </c>
      <c r="B58" s="339"/>
      <c r="C58" s="329" t="s">
        <v>639</v>
      </c>
      <c r="F58" s="93"/>
      <c r="G58" s="105" t="s">
        <v>375</v>
      </c>
      <c r="H58" s="26">
        <v>1.0416666666666666E-2</v>
      </c>
      <c r="I58" s="26">
        <f>H58*H53</f>
        <v>3.125E-2</v>
      </c>
      <c r="M58" s="93"/>
      <c r="N58" s="433"/>
      <c r="O58" s="434" t="s">
        <v>1328</v>
      </c>
      <c r="P58" s="434">
        <f>P57*MAX(G3:H3)/1000</f>
        <v>22.2</v>
      </c>
      <c r="Q58" s="434"/>
      <c r="R58" s="434"/>
      <c r="S58" s="434"/>
      <c r="W58" s="93"/>
    </row>
    <row r="59" spans="1:23">
      <c r="A59" s="298" t="s">
        <v>630</v>
      </c>
      <c r="B59" s="330">
        <f>B55/$C$55*$D$55</f>
        <v>1.7361111111111112E-4</v>
      </c>
      <c r="C59" s="287">
        <f>IF(B54=0,0,1/24+IF(MOD(B54,2)=0,(B54-2),(B54-1))*10/60/24+FLOOR((B54-1)/6,1)*30/60/24)</f>
        <v>6.9444444444444448E-2</v>
      </c>
      <c r="E59" s="90" t="s">
        <v>637</v>
      </c>
      <c r="F59" s="91"/>
      <c r="G59" s="105" t="s">
        <v>14</v>
      </c>
      <c r="H59" s="26" t="s">
        <v>638</v>
      </c>
      <c r="I59" s="26">
        <v>6.9444444444444441E-3</v>
      </c>
      <c r="M59" s="93"/>
      <c r="N59" s="433"/>
      <c r="O59" s="434" t="s">
        <v>1329</v>
      </c>
      <c r="P59" s="435">
        <f>P57*Q56</f>
        <v>9.6354166666666669E-4</v>
      </c>
      <c r="Q59" s="434"/>
      <c r="R59" s="434"/>
      <c r="S59" s="434"/>
      <c r="W59" s="93"/>
    </row>
    <row r="60" spans="1:23">
      <c r="A60" s="299" t="s">
        <v>18</v>
      </c>
      <c r="B60" s="330">
        <v>4.6296296296296294E-5</v>
      </c>
      <c r="C60" s="328"/>
      <c r="E60" s="92">
        <v>1</v>
      </c>
      <c r="F60" s="93">
        <v>10000</v>
      </c>
      <c r="G60" s="105" t="s">
        <v>376</v>
      </c>
      <c r="H60" s="26">
        <v>1.3888888888888888E-2</v>
      </c>
      <c r="I60" s="26">
        <f>H60*H53</f>
        <v>4.1666666666666664E-2</v>
      </c>
      <c r="M60" s="93"/>
      <c r="N60" s="433"/>
      <c r="O60" s="434" t="s">
        <v>362</v>
      </c>
      <c r="P60" s="435">
        <f>P58/P56*1/24/60</f>
        <v>2.803030303030303E-4</v>
      </c>
      <c r="Q60" s="434"/>
      <c r="R60" s="434"/>
      <c r="S60" s="434"/>
      <c r="W60" s="93"/>
    </row>
    <row r="61" spans="1:23">
      <c r="A61" s="299" t="s">
        <v>20</v>
      </c>
      <c r="B61" s="330">
        <v>5.7870370370370366E-5</v>
      </c>
      <c r="C61" s="328"/>
      <c r="E61" s="92">
        <v>3</v>
      </c>
      <c r="F61" s="93">
        <v>6000</v>
      </c>
      <c r="G61" s="105" t="s">
        <v>15</v>
      </c>
      <c r="H61" s="26" t="s">
        <v>638</v>
      </c>
      <c r="I61" s="26">
        <v>3.472222222222222E-3</v>
      </c>
      <c r="M61" s="93"/>
      <c r="N61" s="433"/>
      <c r="O61" s="437" t="s">
        <v>1330</v>
      </c>
      <c r="P61" s="438">
        <v>0.05</v>
      </c>
      <c r="Q61" s="434"/>
      <c r="R61" s="434"/>
      <c r="S61" s="434"/>
      <c r="W61" s="93"/>
    </row>
    <row r="62" spans="1:23" ht="15.75" thickBot="1">
      <c r="A62" s="303" t="s">
        <v>951</v>
      </c>
      <c r="B62" s="327">
        <f>SUM(B59:B61)</f>
        <v>2.7777777777777778E-4</v>
      </c>
      <c r="C62" s="326"/>
      <c r="E62" s="94">
        <v>5</v>
      </c>
      <c r="F62" s="95">
        <v>4000</v>
      </c>
      <c r="G62" s="105" t="s">
        <v>377</v>
      </c>
      <c r="H62" s="26">
        <v>1.3888888888888889E-3</v>
      </c>
      <c r="I62" s="26">
        <f>H62*H53</f>
        <v>4.1666666666666666E-3</v>
      </c>
      <c r="K62" s="106" t="s">
        <v>645</v>
      </c>
      <c r="L62" s="116">
        <f>(VLOOKUP(H51,G68:H70,2,FALSE)+H73*H53+H74*H72)*H52*1.1</f>
        <v>2.4189814814814817E-2</v>
      </c>
      <c r="M62" s="108">
        <f>($M$51*24*L62)+M53</f>
        <v>58.44444444444445</v>
      </c>
      <c r="N62" s="433"/>
      <c r="O62" s="437" t="s">
        <v>1331</v>
      </c>
      <c r="P62" s="439">
        <v>1.5046296296296297E-4</v>
      </c>
      <c r="Q62" s="434"/>
      <c r="R62" s="439">
        <f>SUM(P62:P64)/2</f>
        <v>2.9513888888888889E-4</v>
      </c>
      <c r="S62" s="439"/>
      <c r="W62" s="93"/>
    </row>
    <row r="63" spans="1:23" ht="15.75" thickBot="1">
      <c r="A63" s="267"/>
      <c r="B63" s="251"/>
      <c r="F63" s="308"/>
      <c r="G63" s="105" t="s">
        <v>378</v>
      </c>
      <c r="H63" s="26">
        <v>2.0833333333333333E-3</v>
      </c>
      <c r="I63" s="26">
        <f>H53*H63</f>
        <v>6.2500000000000003E-3</v>
      </c>
      <c r="K63" s="106" t="s">
        <v>639</v>
      </c>
      <c r="L63" s="116">
        <f>SUM(I58:I64)</f>
        <v>9.7222222222222224E-2</v>
      </c>
      <c r="M63" s="108">
        <f>$M$51*24*L63</f>
        <v>186.66666666666666</v>
      </c>
      <c r="N63" s="433"/>
      <c r="O63" s="437" t="s">
        <v>1332</v>
      </c>
      <c r="P63" s="439">
        <v>2.0833333333333335E-4</v>
      </c>
      <c r="Q63" s="434"/>
      <c r="R63" s="439">
        <v>1.7824074074074072E-3</v>
      </c>
      <c r="S63" s="439"/>
      <c r="W63" s="93"/>
    </row>
    <row r="64" spans="1:23">
      <c r="A64" s="90" t="s">
        <v>362</v>
      </c>
      <c r="B64" s="119"/>
      <c r="C64" s="91"/>
      <c r="E64" s="251"/>
      <c r="F64" s="309"/>
      <c r="G64" s="105" t="s">
        <v>27</v>
      </c>
      <c r="H64" s="26" t="s">
        <v>638</v>
      </c>
      <c r="I64" s="26">
        <v>3.472222222222222E-3</v>
      </c>
      <c r="M64" s="93"/>
      <c r="N64" s="433"/>
      <c r="O64" s="437" t="s">
        <v>1333</v>
      </c>
      <c r="P64" s="439">
        <v>2.3148148148148146E-4</v>
      </c>
      <c r="Q64" s="434"/>
      <c r="R64" s="439">
        <f>R63+R62</f>
        <v>2.0775462962962961E-3</v>
      </c>
      <c r="S64" s="439"/>
      <c r="W64" s="93"/>
    </row>
    <row r="65" spans="1:23">
      <c r="A65" s="267"/>
      <c r="B65" t="s">
        <v>1131</v>
      </c>
      <c r="C65" s="93"/>
      <c r="F65" s="93"/>
      <c r="G65" s="105" t="s">
        <v>650</v>
      </c>
      <c r="I65" s="26">
        <f>SUM(I58:I64)</f>
        <v>9.7222222222222224E-2</v>
      </c>
      <c r="M65" s="93"/>
      <c r="N65" s="433"/>
      <c r="O65" s="434"/>
      <c r="P65" s="434"/>
      <c r="Q65" s="434"/>
      <c r="R65" s="434"/>
      <c r="S65" s="434"/>
      <c r="W65" s="93"/>
    </row>
    <row r="66" spans="1:23" ht="15.75" thickBot="1">
      <c r="A66" s="92" t="s">
        <v>1132</v>
      </c>
      <c r="B66">
        <f>IF($B$54&gt;=1,1,0)</f>
        <v>1</v>
      </c>
      <c r="C66" s="314">
        <f>$B$62*$B$56*B66</f>
        <v>2.7777777777777776E-2</v>
      </c>
      <c r="F66" s="93"/>
      <c r="G66" s="92"/>
      <c r="M66" s="93"/>
      <c r="N66" s="433"/>
      <c r="O66" s="434"/>
      <c r="P66" s="434"/>
      <c r="Q66" s="434"/>
      <c r="R66" s="434"/>
      <c r="S66" s="434"/>
      <c r="W66" s="93"/>
    </row>
    <row r="67" spans="1:23">
      <c r="A67" s="92" t="s">
        <v>1133</v>
      </c>
      <c r="B67">
        <f>IF($B$54&gt;=7,1,0)</f>
        <v>0</v>
      </c>
      <c r="C67" s="314">
        <f>$B$62*$B$56*B67</f>
        <v>0</v>
      </c>
      <c r="E67" s="304" t="s">
        <v>362</v>
      </c>
      <c r="F67" s="307">
        <f>C71*1.1</f>
        <v>3.0555555555555558E-2</v>
      </c>
      <c r="G67" s="502" t="s">
        <v>10</v>
      </c>
      <c r="H67" s="501"/>
      <c r="M67" s="93"/>
      <c r="N67" s="92"/>
      <c r="W67" s="93"/>
    </row>
    <row r="68" spans="1:23" ht="15.75" thickBot="1">
      <c r="A68" s="92" t="s">
        <v>1134</v>
      </c>
      <c r="B68">
        <f>IF($B$54&gt;=13,1,0)</f>
        <v>0</v>
      </c>
      <c r="C68" s="314">
        <f>$B$62*$B$56*B68</f>
        <v>0</v>
      </c>
      <c r="E68" s="305" t="s">
        <v>1129</v>
      </c>
      <c r="F68" s="323">
        <f>C59</f>
        <v>6.9444444444444448E-2</v>
      </c>
      <c r="G68" s="92" t="s">
        <v>371</v>
      </c>
      <c r="H68" s="26">
        <v>3.4722222222222222E-5</v>
      </c>
      <c r="M68" s="93"/>
      <c r="N68" s="433"/>
      <c r="O68" s="434" t="s">
        <v>1336</v>
      </c>
      <c r="P68" s="434">
        <v>66.666666666666671</v>
      </c>
      <c r="Q68" s="434">
        <v>0.6</v>
      </c>
      <c r="R68" s="434"/>
      <c r="S68" s="434">
        <v>5</v>
      </c>
      <c r="T68" s="434">
        <v>50</v>
      </c>
      <c r="U68" s="434" t="s">
        <v>1337</v>
      </c>
      <c r="V68" s="434" t="s">
        <v>1338</v>
      </c>
      <c r="W68" s="440" t="s">
        <v>1339</v>
      </c>
    </row>
    <row r="69" spans="1:23" ht="15.75" thickBot="1">
      <c r="A69" s="92" t="s">
        <v>1135</v>
      </c>
      <c r="B69">
        <f>IF($B$54&gt;=19,1,0)</f>
        <v>0</v>
      </c>
      <c r="C69" s="314">
        <f>$B$62*$B$56*B69</f>
        <v>0</v>
      </c>
      <c r="F69" s="93"/>
      <c r="G69" s="92" t="s">
        <v>372</v>
      </c>
      <c r="H69" s="26">
        <v>4.6296296296296294E-5</v>
      </c>
      <c r="M69" s="93"/>
      <c r="N69" s="433"/>
      <c r="O69" s="434" t="s">
        <v>1340</v>
      </c>
      <c r="P69" s="434">
        <v>47.61904761904762</v>
      </c>
      <c r="Q69" s="434">
        <v>0.8</v>
      </c>
      <c r="R69" s="434">
        <v>19</v>
      </c>
      <c r="S69" s="434">
        <v>10</v>
      </c>
      <c r="T69" s="434">
        <f>R69-S69</f>
        <v>9</v>
      </c>
      <c r="U69" s="434">
        <f>(S69*S68+T69*T68)/R69</f>
        <v>26.315789473684209</v>
      </c>
      <c r="V69" s="434">
        <f>U69/2</f>
        <v>13.157894736842104</v>
      </c>
      <c r="W69" s="440">
        <f>U69/3</f>
        <v>8.7719298245614024</v>
      </c>
    </row>
    <row r="70" spans="1:23" ht="15.75" thickBot="1">
      <c r="A70" s="94" t="s">
        <v>1136</v>
      </c>
      <c r="B70" s="97">
        <f>IF($B$54&gt;=25,1,0)</f>
        <v>0</v>
      </c>
      <c r="C70" s="302">
        <f>$B$62*$B$56*B70</f>
        <v>0</v>
      </c>
      <c r="E70" s="304" t="s">
        <v>632</v>
      </c>
      <c r="F70" s="311">
        <f>(F67*24*F54)+F55</f>
        <v>1054</v>
      </c>
      <c r="G70" s="92" t="s">
        <v>373</v>
      </c>
      <c r="H70" s="26">
        <v>6.9444444444444444E-5</v>
      </c>
      <c r="M70" s="93"/>
      <c r="N70" s="433"/>
      <c r="O70" s="434" t="s">
        <v>959</v>
      </c>
      <c r="P70" s="434">
        <v>34.482758620689658</v>
      </c>
      <c r="Q70" s="434">
        <v>1</v>
      </c>
      <c r="R70" s="434">
        <v>23</v>
      </c>
      <c r="S70" s="434">
        <v>10</v>
      </c>
      <c r="T70" s="434">
        <f>R70-S70</f>
        <v>13</v>
      </c>
      <c r="U70" s="434">
        <f>(S70*S68+T70*T68)/R70</f>
        <v>30.434782608695652</v>
      </c>
      <c r="V70" s="434">
        <f>U70/2</f>
        <v>15.217391304347826</v>
      </c>
      <c r="W70" s="440">
        <f>U70/3</f>
        <v>10.144927536231885</v>
      </c>
    </row>
    <row r="71" spans="1:23" ht="15.75" thickBot="1">
      <c r="A71" s="92"/>
      <c r="B71" s="289" t="s">
        <v>1130</v>
      </c>
      <c r="C71" s="334">
        <f>SUM(C66:C70)</f>
        <v>2.7777777777777776E-2</v>
      </c>
      <c r="E71" s="291" t="s">
        <v>952</v>
      </c>
      <c r="F71" s="312">
        <f>(F68*24*F54)+(F56*B54)</f>
        <v>1600</v>
      </c>
      <c r="G71" s="92"/>
      <c r="M71" s="93"/>
      <c r="N71" s="433"/>
      <c r="O71" s="434" t="s">
        <v>1322</v>
      </c>
      <c r="P71" s="434">
        <v>18.181818181818183</v>
      </c>
      <c r="Q71" s="434">
        <v>1.8</v>
      </c>
      <c r="R71" s="434"/>
      <c r="S71" s="434"/>
      <c r="T71" s="434"/>
      <c r="U71" s="434"/>
      <c r="V71" s="434"/>
      <c r="W71" s="440"/>
    </row>
    <row r="72" spans="1:23" ht="15.75" thickBot="1">
      <c r="A72" s="92"/>
      <c r="E72" s="305" t="s">
        <v>634</v>
      </c>
      <c r="F72" s="306">
        <f>F71+F70</f>
        <v>2654</v>
      </c>
      <c r="G72" s="92" t="s">
        <v>379</v>
      </c>
      <c r="H72" s="114">
        <v>2</v>
      </c>
      <c r="I72" s="113">
        <f>(VLOOKUP(H51,G68:H70,2,FALSE)+H73*H53+H74*H72)*H52</f>
        <v>2.1990740740740741E-2</v>
      </c>
      <c r="M72" s="93"/>
      <c r="N72" s="433"/>
      <c r="O72" s="434" t="s">
        <v>1341</v>
      </c>
      <c r="P72" s="434">
        <v>18.181818181818183</v>
      </c>
      <c r="Q72" s="434">
        <v>1.8</v>
      </c>
      <c r="R72" s="434"/>
      <c r="S72" s="434"/>
      <c r="T72" s="434"/>
      <c r="U72" s="434"/>
      <c r="V72" s="434"/>
      <c r="W72" s="440"/>
    </row>
    <row r="73" spans="1:23">
      <c r="A73" s="92"/>
      <c r="F73" s="93"/>
      <c r="G73" s="92"/>
      <c r="H73" s="26">
        <v>4.6296296296296294E-5</v>
      </c>
      <c r="M73" s="93"/>
      <c r="N73" s="433"/>
      <c r="O73" s="434"/>
      <c r="P73" s="434"/>
      <c r="Q73" s="434"/>
      <c r="R73" s="434"/>
      <c r="S73" s="434"/>
      <c r="T73" s="434"/>
      <c r="U73" s="434"/>
      <c r="V73" s="434"/>
      <c r="W73" s="440"/>
    </row>
    <row r="74" spans="1:23">
      <c r="A74" s="92"/>
      <c r="F74" s="93"/>
      <c r="G74" s="92"/>
      <c r="H74" s="26">
        <v>2.3148148148148147E-5</v>
      </c>
      <c r="M74" s="93"/>
      <c r="N74" s="433"/>
      <c r="O74" s="434" t="s">
        <v>1342</v>
      </c>
      <c r="P74" s="434">
        <v>23.80952380952381</v>
      </c>
      <c r="Q74" s="434">
        <v>1.4</v>
      </c>
      <c r="R74" s="434"/>
      <c r="S74" s="434"/>
      <c r="T74" s="434"/>
      <c r="U74" s="434"/>
      <c r="V74" s="434"/>
      <c r="W74" s="440"/>
    </row>
    <row r="75" spans="1:23">
      <c r="A75" s="92"/>
      <c r="F75" s="93"/>
      <c r="G75" s="92"/>
      <c r="M75" s="93"/>
      <c r="N75" s="433"/>
      <c r="O75" s="434" t="s">
        <v>1343</v>
      </c>
      <c r="P75" s="434">
        <v>17.441860465116278</v>
      </c>
      <c r="Q75" s="434">
        <v>1.75</v>
      </c>
      <c r="R75" s="434"/>
      <c r="S75" s="434"/>
      <c r="T75" s="434"/>
      <c r="U75" s="434"/>
      <c r="V75" s="434"/>
      <c r="W75" s="440"/>
    </row>
    <row r="76" spans="1:23">
      <c r="A76" s="92"/>
      <c r="C76" s="313"/>
      <c r="D76" s="313"/>
      <c r="E76" s="147"/>
      <c r="F76" s="107"/>
      <c r="G76" s="92"/>
      <c r="M76" s="93"/>
      <c r="N76" s="433"/>
      <c r="O76" s="434" t="s">
        <v>1344</v>
      </c>
      <c r="P76" s="434">
        <v>10.56338028169014</v>
      </c>
      <c r="Q76" s="434">
        <v>2.8</v>
      </c>
      <c r="R76" s="434"/>
      <c r="S76" s="434"/>
      <c r="T76" s="434"/>
      <c r="U76" s="434"/>
      <c r="V76" s="434"/>
      <c r="W76" s="440"/>
    </row>
    <row r="77" spans="1:23" ht="15.75" thickBot="1">
      <c r="A77" s="92"/>
      <c r="E77" s="224"/>
      <c r="F77" s="250"/>
      <c r="G77" s="92"/>
      <c r="M77" s="93"/>
      <c r="N77" s="433"/>
      <c r="O77" s="434" t="s">
        <v>1345</v>
      </c>
      <c r="P77" s="434">
        <v>30.434782608695652</v>
      </c>
      <c r="Q77" s="434">
        <v>1</v>
      </c>
      <c r="R77" s="434"/>
      <c r="S77" s="434"/>
      <c r="T77" s="434"/>
      <c r="U77" s="434"/>
      <c r="V77" s="434"/>
      <c r="W77" s="440"/>
    </row>
    <row r="78" spans="1:23" ht="15.75" thickBot="1">
      <c r="A78" s="346" t="s">
        <v>953</v>
      </c>
      <c r="B78" s="347">
        <f>IF(D78="Atma",F37,F67)</f>
        <v>0.22598379629629631</v>
      </c>
      <c r="C78" s="354" t="s">
        <v>388</v>
      </c>
      <c r="D78" s="355" t="str">
        <f>VLOOKUP(A7,A9:B13,2,FALSE)</f>
        <v>Atma</v>
      </c>
      <c r="F78" s="93"/>
      <c r="G78" s="94"/>
      <c r="H78" s="97"/>
      <c r="I78" s="97"/>
      <c r="J78" s="97"/>
      <c r="K78" s="97"/>
      <c r="L78" s="97"/>
      <c r="M78" s="95"/>
      <c r="N78" s="433"/>
      <c r="O78" s="434"/>
      <c r="P78" s="434"/>
      <c r="Q78" s="434"/>
      <c r="R78" s="434"/>
      <c r="S78" s="434"/>
      <c r="T78" s="434"/>
      <c r="U78" s="434"/>
      <c r="V78" s="434"/>
      <c r="W78" s="440"/>
    </row>
    <row r="79" spans="1:23" ht="15.75" thickBot="1">
      <c r="A79" s="348" t="s">
        <v>954</v>
      </c>
      <c r="B79" s="349">
        <f>IF(D78="Atma",F38,F68)</f>
        <v>0.1736111111111111</v>
      </c>
      <c r="C79" s="356" t="s">
        <v>957</v>
      </c>
      <c r="D79" s="357" t="str">
        <f>IF(D78="Insignia","Atma","x")</f>
        <v>x</v>
      </c>
      <c r="F79" s="93"/>
      <c r="G79" s="496" t="s">
        <v>651</v>
      </c>
      <c r="H79" s="497"/>
      <c r="I79" s="497"/>
      <c r="J79" s="497"/>
      <c r="K79" s="497"/>
      <c r="L79" s="497"/>
      <c r="M79" s="498"/>
      <c r="N79" s="94"/>
      <c r="O79" s="97"/>
      <c r="P79" s="97"/>
      <c r="Q79" s="97"/>
      <c r="R79" s="97"/>
      <c r="S79" s="97"/>
      <c r="T79" s="97"/>
      <c r="U79" s="97"/>
      <c r="V79" s="97"/>
      <c r="W79" s="95"/>
    </row>
    <row r="80" spans="1:23">
      <c r="A80" s="299"/>
      <c r="B80" s="350"/>
      <c r="D80" s="93"/>
      <c r="F80" s="93"/>
      <c r="G80" s="90" t="s">
        <v>3</v>
      </c>
      <c r="H80" s="119" t="str">
        <f>KALKULATOR!C24</f>
        <v>B2</v>
      </c>
      <c r="I80" s="119"/>
      <c r="J80" s="119"/>
      <c r="K80" s="119"/>
      <c r="L80" s="119" t="s">
        <v>633</v>
      </c>
      <c r="M80" s="146">
        <f>VLOOKUP(G79,Stawki_maszyn!B:C,2,FALSE)</f>
        <v>35</v>
      </c>
    </row>
    <row r="81" spans="1:13">
      <c r="A81" s="348" t="s">
        <v>10</v>
      </c>
      <c r="B81" s="351">
        <f>IF(B78=F67,F70,F40)</f>
        <v>1822.0138888888891</v>
      </c>
      <c r="D81" s="93"/>
      <c r="F81" s="93"/>
      <c r="G81" s="92" t="s">
        <v>625</v>
      </c>
      <c r="H81">
        <f>KALKULATOR!I1/KALKULATOR!D24</f>
        <v>100</v>
      </c>
      <c r="L81" t="s">
        <v>737</v>
      </c>
      <c r="M81" s="107">
        <v>38</v>
      </c>
    </row>
    <row r="82" spans="1:13">
      <c r="A82" s="348" t="s">
        <v>639</v>
      </c>
      <c r="B82" s="351">
        <f>IF(B79=F68,F71,F41)</f>
        <v>1958.3333333333333</v>
      </c>
      <c r="D82" s="93"/>
      <c r="E82" s="27"/>
      <c r="F82" s="167"/>
      <c r="G82" s="92" t="s">
        <v>380</v>
      </c>
      <c r="H82" t="str">
        <f>KALKULATOR!E24</f>
        <v>Z FORMATOWANIEM</v>
      </c>
      <c r="M82" s="93"/>
    </row>
    <row r="83" spans="1:13" ht="15.75" thickBot="1">
      <c r="A83" s="352" t="s">
        <v>634</v>
      </c>
      <c r="B83" s="353">
        <f>B82+B81</f>
        <v>3780.3472222222226</v>
      </c>
      <c r="C83" s="336"/>
      <c r="D83" s="337"/>
      <c r="E83" s="97"/>
      <c r="F83" s="95"/>
      <c r="G83" s="92" t="s">
        <v>499</v>
      </c>
      <c r="H83" s="140">
        <f>KALKULATOR!F24</f>
        <v>130</v>
      </c>
      <c r="M83" s="93"/>
    </row>
    <row r="84" spans="1:13">
      <c r="G84" s="92" t="s">
        <v>1</v>
      </c>
      <c r="H84" s="125" t="s">
        <v>513</v>
      </c>
      <c r="J84">
        <f>VLOOKUP(H84,G88:H92,2,FALSE)</f>
        <v>670</v>
      </c>
      <c r="M84" s="93"/>
    </row>
    <row r="85" spans="1:13">
      <c r="G85" s="92"/>
      <c r="M85" s="93"/>
    </row>
    <row r="86" spans="1:13">
      <c r="G86" s="92"/>
      <c r="J86" s="197"/>
      <c r="M86" s="93"/>
    </row>
    <row r="87" spans="1:13">
      <c r="G87" s="502" t="s">
        <v>652</v>
      </c>
      <c r="H87" s="501"/>
      <c r="J87" s="26"/>
      <c r="K87" s="106" t="s">
        <v>10</v>
      </c>
      <c r="L87" s="122">
        <f>(((VLOOKUP(H80,$L$94:$M$97,2,FALSE)+100)/J84*A1)+H94)*H81</f>
        <v>9.4492813709231599E-2</v>
      </c>
      <c r="M87" s="107">
        <f>L87*24*$M$80</f>
        <v>79.373963515754554</v>
      </c>
    </row>
    <row r="88" spans="1:13">
      <c r="G88" s="92" t="s">
        <v>19</v>
      </c>
      <c r="H88">
        <v>1580</v>
      </c>
      <c r="K88" s="106" t="s">
        <v>631</v>
      </c>
      <c r="L88" s="117">
        <v>6.9444444444444441E-3</v>
      </c>
      <c r="M88" s="107">
        <f>L88*24*$M$80</f>
        <v>5.833333333333333</v>
      </c>
    </row>
    <row r="89" spans="1:13">
      <c r="G89" s="92" t="s">
        <v>383</v>
      </c>
      <c r="H89">
        <v>1580</v>
      </c>
      <c r="K89" t="s">
        <v>734</v>
      </c>
      <c r="L89" s="26">
        <f>IF(H82=G98,0,H83/100*J97*J98+(10/24/60/60))*H81</f>
        <v>1.5335648148148147E-2</v>
      </c>
      <c r="M89" s="107">
        <f>L89*24*$M$81</f>
        <v>13.986111111111111</v>
      </c>
    </row>
    <row r="90" spans="1:13">
      <c r="G90" s="92" t="s">
        <v>384</v>
      </c>
      <c r="H90">
        <v>1200</v>
      </c>
      <c r="K90" t="s">
        <v>736</v>
      </c>
      <c r="L90" s="26">
        <f>IF(H82=G98,0,J99)</f>
        <v>3.472222222222222E-3</v>
      </c>
      <c r="M90" s="107">
        <f>L90*24*$M$81</f>
        <v>3.1666666666666665</v>
      </c>
    </row>
    <row r="91" spans="1:13">
      <c r="G91" s="92" t="s">
        <v>385</v>
      </c>
      <c r="H91">
        <v>670</v>
      </c>
      <c r="M91" s="93"/>
    </row>
    <row r="92" spans="1:13">
      <c r="G92" s="92" t="s">
        <v>386</v>
      </c>
      <c r="H92">
        <v>2400</v>
      </c>
      <c r="J92" s="501"/>
      <c r="K92" s="501"/>
      <c r="L92" s="501"/>
      <c r="M92" s="93"/>
    </row>
    <row r="93" spans="1:13">
      <c r="G93" s="92"/>
      <c r="L93" t="s">
        <v>4</v>
      </c>
      <c r="M93" s="93">
        <v>1800</v>
      </c>
    </row>
    <row r="94" spans="1:13">
      <c r="G94" s="92" t="s">
        <v>653</v>
      </c>
      <c r="H94" s="104">
        <v>1.1574074074074073E-4</v>
      </c>
      <c r="L94" t="s">
        <v>5</v>
      </c>
      <c r="M94" s="93">
        <v>1400</v>
      </c>
    </row>
    <row r="95" spans="1:13">
      <c r="G95" s="92"/>
      <c r="L95" t="s">
        <v>6</v>
      </c>
      <c r="M95" s="93">
        <v>1000</v>
      </c>
    </row>
    <row r="96" spans="1:13">
      <c r="G96" s="92"/>
      <c r="I96" t="s">
        <v>734</v>
      </c>
      <c r="L96" t="s">
        <v>7</v>
      </c>
      <c r="M96" s="93">
        <v>700</v>
      </c>
    </row>
    <row r="97" spans="7:13">
      <c r="G97" s="92" t="s">
        <v>381</v>
      </c>
      <c r="J97" s="104">
        <v>2.3148148148148147E-5</v>
      </c>
      <c r="L97" t="s">
        <v>8</v>
      </c>
      <c r="M97" s="93">
        <v>500</v>
      </c>
    </row>
    <row r="98" spans="7:13">
      <c r="G98" s="92" t="s">
        <v>382</v>
      </c>
      <c r="I98" t="s">
        <v>735</v>
      </c>
      <c r="J98">
        <v>1.25</v>
      </c>
      <c r="L98" t="s">
        <v>9</v>
      </c>
      <c r="M98" s="93">
        <v>350</v>
      </c>
    </row>
    <row r="99" spans="7:13">
      <c r="G99" s="92"/>
      <c r="J99" s="104">
        <v>3.472222222222222E-3</v>
      </c>
      <c r="M99" s="93"/>
    </row>
    <row r="100" spans="7:13" ht="15.75" thickBot="1">
      <c r="G100" s="94"/>
      <c r="H100" s="97"/>
      <c r="I100" s="97"/>
      <c r="J100" s="97"/>
      <c r="K100" s="97"/>
      <c r="L100" s="97"/>
      <c r="M100" s="95"/>
    </row>
  </sheetData>
  <mergeCells count="11">
    <mergeCell ref="J92:L92"/>
    <mergeCell ref="G50:M50"/>
    <mergeCell ref="G67:H67"/>
    <mergeCell ref="G79:M79"/>
    <mergeCell ref="G87:H87"/>
    <mergeCell ref="N32:T32"/>
    <mergeCell ref="G2:M2"/>
    <mergeCell ref="G32:M32"/>
    <mergeCell ref="N2:T2"/>
    <mergeCell ref="A2:F2"/>
    <mergeCell ref="E4:F4"/>
  </mergeCells>
  <conditionalFormatting sqref="R47">
    <cfRule type="expression" dxfId="39" priority="1">
      <formula>#REF!=#REF!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0070C0"/>
  </sheetPr>
  <dimension ref="A1:AG43"/>
  <sheetViews>
    <sheetView topLeftCell="N11" workbookViewId="0">
      <selection activeCell="S24" sqref="S24"/>
    </sheetView>
  </sheetViews>
  <sheetFormatPr defaultColWidth="9.140625" defaultRowHeight="12.75"/>
  <cols>
    <col min="1" max="1" width="17" style="66" customWidth="1"/>
    <col min="2" max="4" width="9.140625" style="66"/>
    <col min="5" max="5" width="12.42578125" style="66" customWidth="1"/>
    <col min="6" max="6" width="13" style="66" customWidth="1"/>
    <col min="7" max="7" width="9.140625" style="66"/>
    <col min="8" max="8" width="11.7109375" style="66" bestFit="1" customWidth="1"/>
    <col min="9" max="14" width="9.140625" style="66"/>
    <col min="15" max="15" width="17.85546875" style="66" customWidth="1"/>
    <col min="16" max="30" width="9.140625" style="66"/>
    <col min="31" max="31" width="18.140625" style="66" customWidth="1"/>
    <col min="32" max="16384" width="9.140625" style="66"/>
  </cols>
  <sheetData>
    <row r="1" spans="1:31" ht="15.75" thickBot="1">
      <c r="A1" s="127">
        <v>6.9444444444444447E-4</v>
      </c>
      <c r="B1" s="127">
        <v>4.1666666666666664E-2</v>
      </c>
      <c r="C1" t="s">
        <v>26</v>
      </c>
      <c r="D1" t="s">
        <v>25</v>
      </c>
    </row>
    <row r="2" spans="1:31" ht="15.75" customHeight="1" thickBot="1">
      <c r="A2" s="503" t="s">
        <v>42</v>
      </c>
      <c r="B2" s="504"/>
      <c r="C2" s="504"/>
      <c r="D2" s="504"/>
      <c r="E2" s="504"/>
      <c r="F2" s="504"/>
      <c r="G2" s="505"/>
      <c r="H2" s="503" t="s">
        <v>39</v>
      </c>
      <c r="I2" s="504"/>
      <c r="J2" s="504"/>
      <c r="K2" s="504"/>
      <c r="L2" s="504"/>
      <c r="M2" s="504"/>
      <c r="N2" s="504"/>
      <c r="O2" s="503" t="s">
        <v>661</v>
      </c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5"/>
    </row>
    <row r="3" spans="1:31">
      <c r="A3" s="429" t="s">
        <v>3</v>
      </c>
      <c r="B3" s="430" t="str">
        <f>KALKULATOR!C41</f>
        <v>B0+</v>
      </c>
      <c r="C3" s="431"/>
      <c r="D3" s="431"/>
      <c r="E3" s="431"/>
      <c r="F3" s="431" t="s">
        <v>647</v>
      </c>
      <c r="G3" s="432">
        <v>100</v>
      </c>
      <c r="H3" s="66" t="s">
        <v>3</v>
      </c>
      <c r="I3" s="136" t="str">
        <f>KALKULATOR!C47</f>
        <v>B0</v>
      </c>
      <c r="L3" s="66" t="s">
        <v>445</v>
      </c>
      <c r="M3" s="66" t="s">
        <v>647</v>
      </c>
      <c r="N3" s="202">
        <f>VLOOKUP(L3,Tabela13[[Maszyna]:[Stawka]],2,FALSE)</f>
        <v>55</v>
      </c>
      <c r="O3" s="129" t="s">
        <v>746</v>
      </c>
      <c r="P3" s="136">
        <f>KALKULATOR!C51</f>
        <v>10</v>
      </c>
      <c r="S3" s="66" t="s">
        <v>443</v>
      </c>
      <c r="T3" s="66" t="s">
        <v>665</v>
      </c>
      <c r="U3" s="202">
        <f>VLOOKUP(S3,Tabela13[[Maszyna]:[Stawka]],2,FALSE)</f>
        <v>55</v>
      </c>
      <c r="AE3" s="130"/>
    </row>
    <row r="4" spans="1:31" ht="13.5" thickBot="1">
      <c r="A4" s="129" t="s">
        <v>660</v>
      </c>
      <c r="B4" s="136">
        <f>KALKULATOR!I1/KALKULATOR!D41</f>
        <v>100</v>
      </c>
      <c r="F4" s="66" t="s">
        <v>664</v>
      </c>
      <c r="G4" s="139">
        <v>38</v>
      </c>
      <c r="H4" s="66" t="s">
        <v>660</v>
      </c>
      <c r="I4" s="136">
        <f>KALKULATOR!I1/KALKULATOR!D47</f>
        <v>100</v>
      </c>
      <c r="O4" s="129" t="s">
        <v>635</v>
      </c>
      <c r="P4" s="136">
        <f>KALKULATOR!I1/KALKULATOR!D51</f>
        <v>50</v>
      </c>
      <c r="AE4" s="130"/>
    </row>
    <row r="5" spans="1:31">
      <c r="A5" s="129" t="s">
        <v>644</v>
      </c>
      <c r="B5" s="136">
        <f>KALKULATOR!D41</f>
        <v>1</v>
      </c>
      <c r="G5" s="130"/>
      <c r="H5" s="66" t="s">
        <v>1</v>
      </c>
      <c r="I5" s="136" t="str">
        <f>VLOOKUP(KALKULATOR!B1,Materiały_zakupowe!A:AC,14,FALSE)</f>
        <v>Tworzywo</v>
      </c>
      <c r="O5" s="129" t="s">
        <v>538</v>
      </c>
      <c r="P5" s="203" t="str">
        <f>KALKULATOR!E51</f>
        <v>Kaszerowany</v>
      </c>
      <c r="T5" s="66" t="s">
        <v>618</v>
      </c>
      <c r="U5" s="66">
        <v>9</v>
      </c>
      <c r="AB5" s="182" t="s">
        <v>747</v>
      </c>
      <c r="AC5" s="183" t="s">
        <v>748</v>
      </c>
      <c r="AE5" s="130"/>
    </row>
    <row r="6" spans="1:31">
      <c r="A6" s="129" t="s">
        <v>521</v>
      </c>
      <c r="B6" s="136">
        <f>KALKULATOR!E41</f>
        <v>1</v>
      </c>
      <c r="G6" s="130"/>
      <c r="O6" s="129" t="s">
        <v>534</v>
      </c>
      <c r="P6" s="136">
        <f>VLOOKUP(KALKULATOR!B1,Materiały_zakupowe!A:U,21,FALSE)</f>
        <v>3</v>
      </c>
      <c r="T6" s="66" t="s">
        <v>614</v>
      </c>
      <c r="U6" s="66">
        <v>10</v>
      </c>
      <c r="Y6" s="66">
        <v>0</v>
      </c>
      <c r="Z6" s="66">
        <v>1</v>
      </c>
      <c r="AB6" s="184">
        <v>2</v>
      </c>
      <c r="AC6" s="185">
        <v>1</v>
      </c>
      <c r="AE6" s="130"/>
    </row>
    <row r="7" spans="1:31">
      <c r="A7" s="129" t="s">
        <v>525</v>
      </c>
      <c r="B7" s="136" t="str">
        <f>KALKULATOR!C43</f>
        <v>TAK</v>
      </c>
      <c r="G7" s="130"/>
      <c r="O7" s="129" t="s">
        <v>605</v>
      </c>
      <c r="P7" s="203" t="str">
        <f>VLOOKUP(KALKULATOR!B1,Materiały_zakupowe!A:X,VLOOKUP(INTRO!P5,T5:U8,2,FALSE),FALSE)</f>
        <v>KASZEROWANY</v>
      </c>
      <c r="T7" s="66" t="s">
        <v>536</v>
      </c>
      <c r="U7" s="66">
        <v>11</v>
      </c>
      <c r="Y7" s="66">
        <v>51</v>
      </c>
      <c r="Z7" s="66">
        <v>0.8</v>
      </c>
      <c r="AB7" s="184">
        <v>4</v>
      </c>
      <c r="AC7" s="185">
        <v>2</v>
      </c>
      <c r="AE7" s="130"/>
    </row>
    <row r="8" spans="1:31">
      <c r="A8" s="129" t="s">
        <v>527</v>
      </c>
      <c r="B8" s="136" t="str">
        <f>KALKULATOR!D43</f>
        <v xml:space="preserve">Błona </v>
      </c>
      <c r="G8" s="130"/>
      <c r="H8" s="66">
        <f>IF(I3=H17,1,IF(I3=H18,2,IF(I3=H19,3,IF(I3=H20,4,IF(I3=H21,5,0)))))</f>
        <v>2</v>
      </c>
      <c r="I8" s="66">
        <f>IF(I5=I16,1,IF(I5=J16,2,IF(I5=K16,3,IF(I5=L16,4,IF(I5=M16,5,IF(I5=N16,6,0))))))</f>
        <v>6</v>
      </c>
      <c r="O8" s="129" t="s">
        <v>554</v>
      </c>
      <c r="P8" s="136" t="str">
        <f>VLOOKUP(P6,O21:AE30,MATCH(P7,O21:AE21,0),FALSE)</f>
        <v>X</v>
      </c>
      <c r="T8" s="66" t="s">
        <v>537</v>
      </c>
      <c r="U8" s="66">
        <v>12</v>
      </c>
      <c r="Y8" s="66">
        <v>101</v>
      </c>
      <c r="Z8" s="66">
        <v>0.6</v>
      </c>
      <c r="AB8" s="184">
        <v>8</v>
      </c>
      <c r="AC8" s="185">
        <v>3</v>
      </c>
      <c r="AE8" s="130"/>
    </row>
    <row r="9" spans="1:31">
      <c r="A9" s="129" t="s">
        <v>526</v>
      </c>
      <c r="B9" s="136">
        <f>KALKULATOR!E43</f>
        <v>30</v>
      </c>
      <c r="G9" s="130"/>
      <c r="L9" s="128" t="s">
        <v>657</v>
      </c>
      <c r="M9" s="148">
        <f>H10*I4</f>
        <v>1.9675925925925927E-2</v>
      </c>
      <c r="N9" s="198">
        <f>M9*24*$N$3</f>
        <v>25.972222222222221</v>
      </c>
      <c r="O9" s="129" t="s">
        <v>555</v>
      </c>
      <c r="P9" s="136" t="e">
        <f>ROUNDUP(P4/P8,0)</f>
        <v>#VALUE!</v>
      </c>
      <c r="R9" s="131">
        <v>3.472222222222222E-3</v>
      </c>
      <c r="Y9" s="66">
        <v>151</v>
      </c>
      <c r="Z9" s="66">
        <v>0.5</v>
      </c>
      <c r="AB9" s="184">
        <v>16</v>
      </c>
      <c r="AC9" s="185">
        <v>4</v>
      </c>
      <c r="AE9" s="130"/>
    </row>
    <row r="10" spans="1:31">
      <c r="A10" s="129" t="s">
        <v>534</v>
      </c>
      <c r="B10" s="66" t="str">
        <f>IF(VLOOKUP(KALKULATOR!F1,Tabela1[[Nazwa]:[GRUBOŚĆ]],20,FALSE)&gt;1,G37,F37)</f>
        <v>Powyżej 1mm</v>
      </c>
      <c r="G10" s="130"/>
      <c r="H10" s="131">
        <f>INDEX(I17:N21,H8,I8)</f>
        <v>1.9675925925925926E-4</v>
      </c>
      <c r="L10" s="128" t="s">
        <v>631</v>
      </c>
      <c r="M10" s="149">
        <v>2.0833333333333332E-2</v>
      </c>
      <c r="N10" s="198">
        <f>M10*24*$N$3</f>
        <v>27.5</v>
      </c>
      <c r="O10" s="129" t="s">
        <v>744</v>
      </c>
      <c r="P10" s="66">
        <v>5</v>
      </c>
      <c r="Y10" s="66">
        <v>201</v>
      </c>
      <c r="Z10" s="66">
        <v>0.4</v>
      </c>
      <c r="AB10" s="184">
        <v>32</v>
      </c>
      <c r="AC10" s="185">
        <v>5</v>
      </c>
      <c r="AE10" s="130"/>
    </row>
    <row r="11" spans="1:31">
      <c r="A11" s="129" t="s">
        <v>1</v>
      </c>
      <c r="B11" s="66" t="str">
        <f>VLOOKUP(KALKULATOR!F1,Tabela1[[Nazwa]:[SZTANCOWANIE wyr tworz]],17,FALSE)</f>
        <v>Tworzywo</v>
      </c>
      <c r="G11" s="130"/>
      <c r="O11" s="129"/>
      <c r="Y11" s="66">
        <v>301</v>
      </c>
      <c r="Z11" s="66">
        <v>0.3</v>
      </c>
      <c r="AB11" s="184">
        <v>64</v>
      </c>
      <c r="AC11" s="185">
        <v>6</v>
      </c>
      <c r="AE11" s="130"/>
    </row>
    <row r="12" spans="1:31">
      <c r="A12" s="129"/>
      <c r="G12" s="130"/>
      <c r="O12" s="129"/>
      <c r="AB12" s="184">
        <v>128</v>
      </c>
      <c r="AC12" s="185">
        <v>7</v>
      </c>
      <c r="AE12" s="130"/>
    </row>
    <row r="13" spans="1:31">
      <c r="A13" s="129" t="s">
        <v>4</v>
      </c>
      <c r="B13" s="131">
        <v>2.0833333333333335E-4</v>
      </c>
      <c r="C13" s="66" t="s">
        <v>354</v>
      </c>
      <c r="G13" s="130"/>
      <c r="O13" s="129" t="s">
        <v>743</v>
      </c>
      <c r="P13" s="127">
        <v>1.7361111111111112E-4</v>
      </c>
      <c r="Q13" s="127">
        <f>P13*ROUNDUP(P4/P10,0)</f>
        <v>1.7361111111111112E-3</v>
      </c>
      <c r="T13" s="204">
        <f>MATCH(P7,P21:AE21,0)</f>
        <v>5</v>
      </c>
      <c r="V13" s="66" t="s">
        <v>788</v>
      </c>
      <c r="W13" s="66" t="s">
        <v>789</v>
      </c>
      <c r="AB13" s="184">
        <v>256</v>
      </c>
      <c r="AC13" s="185">
        <v>8</v>
      </c>
      <c r="AE13" s="130"/>
    </row>
    <row r="14" spans="1:31">
      <c r="A14" s="129" t="s">
        <v>5</v>
      </c>
      <c r="B14" s="131">
        <v>1.7361111111111112E-4</v>
      </c>
      <c r="C14" s="66" t="s">
        <v>355</v>
      </c>
      <c r="D14" s="506" t="s">
        <v>659</v>
      </c>
      <c r="E14" s="128" t="s">
        <v>657</v>
      </c>
      <c r="F14" s="148">
        <f>VLOOKUP(B3,A13:B18,2,FALSE)*B4*ROUNDUP(B5/B6,0)</f>
        <v>2.0833333333333336E-2</v>
      </c>
      <c r="G14" s="150">
        <f>F14*24*$G$3</f>
        <v>50</v>
      </c>
      <c r="O14" s="129" t="s">
        <v>742</v>
      </c>
      <c r="Q14" s="131" t="e">
        <f>HLOOKUP(P7,O21:AE31,11,FALSE)*INDEX(AB19:AC20,V14,W14)*T15*IF(P8&gt;P4,1,VLOOKUP(P3,Y6:Z11,2,TRUE))*P9</f>
        <v>#VALUE!</v>
      </c>
      <c r="T14" s="66" t="e">
        <f>POWER(2,VLOOKUP(P8,AB6:AC15,2,TRUE))</f>
        <v>#N/A</v>
      </c>
      <c r="V14" s="66">
        <f>IF(P3&lt;=4,1,IF(P3&gt;4,2))</f>
        <v>2</v>
      </c>
      <c r="W14" s="66">
        <f>IF(T13&lt;=6,2,1)</f>
        <v>2</v>
      </c>
      <c r="AB14" s="184">
        <v>512</v>
      </c>
      <c r="AC14" s="185">
        <v>9</v>
      </c>
      <c r="AE14" s="130"/>
    </row>
    <row r="15" spans="1:31" ht="13.5" thickBot="1">
      <c r="A15" s="129" t="s">
        <v>6</v>
      </c>
      <c r="B15" s="131">
        <v>1.6203703703703703E-4</v>
      </c>
      <c r="C15" s="66" t="s">
        <v>356</v>
      </c>
      <c r="D15" s="506"/>
      <c r="E15" s="128" t="s">
        <v>631</v>
      </c>
      <c r="F15" s="148">
        <f>A20+(A21*(B5/B6-1))</f>
        <v>2.0833333333333332E-2</v>
      </c>
      <c r="G15" s="150">
        <f>F15*24*$G$3</f>
        <v>50</v>
      </c>
      <c r="O15" s="129" t="s">
        <v>745</v>
      </c>
      <c r="P15" s="127">
        <v>1.7361111111111112E-4</v>
      </c>
      <c r="Q15" s="127" t="e">
        <f>P15*P9*T15*VLOOKUP(P3,Y6:Z11,2,TRUE)</f>
        <v>#VALUE!</v>
      </c>
      <c r="T15" s="66">
        <f>ROUNDUP(IF(AND(P4&lt;P8,T13&gt;6),P3/T14,P3),0)</f>
        <v>10</v>
      </c>
      <c r="AB15" s="186">
        <v>1024</v>
      </c>
      <c r="AC15" s="187">
        <v>10</v>
      </c>
      <c r="AE15" s="130"/>
    </row>
    <row r="16" spans="1:31">
      <c r="A16" s="129" t="s">
        <v>7</v>
      </c>
      <c r="B16" s="131">
        <v>1.3888888888888889E-4</v>
      </c>
      <c r="C16" s="66" t="s">
        <v>356</v>
      </c>
      <c r="D16" s="506" t="s">
        <v>525</v>
      </c>
      <c r="E16" s="128" t="s">
        <v>657</v>
      </c>
      <c r="F16" s="149">
        <f>IF(B11="Tworzywo",G34,F34)</f>
        <v>0.15277777777777779</v>
      </c>
      <c r="G16" s="150">
        <f>F16*24*$G$4</f>
        <v>139.33333333333334</v>
      </c>
      <c r="H16" s="66" t="s">
        <v>13</v>
      </c>
      <c r="I16" s="66" t="s">
        <v>603</v>
      </c>
      <c r="J16" s="66" t="s">
        <v>523</v>
      </c>
      <c r="K16" s="66" t="s">
        <v>600</v>
      </c>
      <c r="L16" s="66" t="s">
        <v>601</v>
      </c>
      <c r="M16" s="66" t="s">
        <v>602</v>
      </c>
      <c r="N16" s="66" t="s">
        <v>19</v>
      </c>
      <c r="O16" s="129"/>
      <c r="Q16" s="205" t="e">
        <f>SUM(Q13:Q15)</f>
        <v>#VALUE!</v>
      </c>
      <c r="AE16" s="130"/>
    </row>
    <row r="17" spans="1:33">
      <c r="A17" s="129" t="s">
        <v>8</v>
      </c>
      <c r="B17" s="131">
        <v>1.0416666666666667E-4</v>
      </c>
      <c r="C17" s="66" t="s">
        <v>356</v>
      </c>
      <c r="D17" s="506"/>
      <c r="E17" s="128" t="s">
        <v>631</v>
      </c>
      <c r="F17" s="149">
        <f>IF(B7="nie",0,A24)</f>
        <v>6.9444444444444441E-3</v>
      </c>
      <c r="G17" s="150">
        <f>F17*24*$G$4</f>
        <v>6.333333333333333</v>
      </c>
      <c r="H17" s="66" t="s">
        <v>4</v>
      </c>
      <c r="I17" s="131" t="s">
        <v>524</v>
      </c>
      <c r="J17" s="131" t="s">
        <v>524</v>
      </c>
      <c r="K17" s="131">
        <v>1.1574074074074073E-4</v>
      </c>
      <c r="L17" s="131">
        <v>1.1574074074074073E-4</v>
      </c>
      <c r="M17" s="131">
        <v>1.273148148148148E-4</v>
      </c>
      <c r="N17" s="131">
        <v>2.5462962962962961E-4</v>
      </c>
      <c r="O17" s="129"/>
      <c r="P17" s="127"/>
      <c r="V17" s="128" t="s">
        <v>657</v>
      </c>
      <c r="W17" s="148" t="e">
        <f>IF(Q16&lt;R9,R9,Q16)</f>
        <v>#VALUE!</v>
      </c>
      <c r="X17" s="198" t="e">
        <f>W17*24*$U$3</f>
        <v>#VALUE!</v>
      </c>
      <c r="AE17" s="130"/>
    </row>
    <row r="18" spans="1:33">
      <c r="A18" s="129" t="s">
        <v>9</v>
      </c>
      <c r="B18" s="131">
        <v>9.2592592592592588E-5</v>
      </c>
      <c r="C18" s="66" t="s">
        <v>356</v>
      </c>
      <c r="G18" s="130"/>
      <c r="H18" s="66" t="s">
        <v>5</v>
      </c>
      <c r="I18" s="131">
        <v>1.1574074074074073E-4</v>
      </c>
      <c r="J18" s="131">
        <v>1.1574074074074073E-4</v>
      </c>
      <c r="K18" s="131">
        <v>1.1574074074074073E-4</v>
      </c>
      <c r="L18" s="131">
        <v>1.1574074074074073E-4</v>
      </c>
      <c r="M18" s="131">
        <v>1.273148148148148E-4</v>
      </c>
      <c r="N18" s="131">
        <v>1.9675925925925926E-4</v>
      </c>
      <c r="O18" s="129"/>
      <c r="V18" s="128" t="s">
        <v>631</v>
      </c>
      <c r="W18" s="149">
        <v>1.0416666666666666E-2</v>
      </c>
      <c r="X18" s="198">
        <f>W18*24*$U$3</f>
        <v>13.75</v>
      </c>
      <c r="AB18" s="66" t="s">
        <v>749</v>
      </c>
      <c r="AC18" s="66" t="s">
        <v>750</v>
      </c>
      <c r="AE18" s="130"/>
    </row>
    <row r="19" spans="1:33">
      <c r="A19" s="129"/>
      <c r="G19" s="130"/>
      <c r="H19" s="66" t="s">
        <v>6</v>
      </c>
      <c r="I19" s="131">
        <v>6.9444444444444444E-5</v>
      </c>
      <c r="J19" s="131">
        <v>6.9444444444444444E-5</v>
      </c>
      <c r="K19" s="131">
        <v>8.1018518518518516E-5</v>
      </c>
      <c r="L19" s="131">
        <v>8.1018518518518516E-5</v>
      </c>
      <c r="M19" s="131">
        <v>9.2592592592592588E-5</v>
      </c>
      <c r="N19" s="131">
        <v>1.7361111111111112E-4</v>
      </c>
      <c r="O19" s="129"/>
      <c r="AA19" s="66" t="s">
        <v>751</v>
      </c>
      <c r="AB19" s="66">
        <v>1</v>
      </c>
      <c r="AC19" s="66">
        <v>4</v>
      </c>
      <c r="AE19" s="130"/>
    </row>
    <row r="20" spans="1:33">
      <c r="A20" s="132">
        <v>2.0833333333333332E-2</v>
      </c>
      <c r="G20" s="130"/>
      <c r="H20" s="66" t="s">
        <v>7</v>
      </c>
      <c r="I20" s="131">
        <v>5.7870370370370366E-5</v>
      </c>
      <c r="J20" s="131">
        <v>5.7870370370370366E-5</v>
      </c>
      <c r="K20" s="131">
        <v>5.7870370370370366E-5</v>
      </c>
      <c r="L20" s="131">
        <v>5.7870370370370366E-5</v>
      </c>
      <c r="M20" s="131">
        <v>6.9444444444444444E-5</v>
      </c>
      <c r="N20" s="131">
        <v>1.6203703703703703E-4</v>
      </c>
      <c r="O20" s="129"/>
      <c r="AA20" s="66" t="s">
        <v>752</v>
      </c>
      <c r="AB20" s="66">
        <v>1</v>
      </c>
      <c r="AC20" s="66">
        <v>2.2000000000000002</v>
      </c>
      <c r="AE20" s="130"/>
    </row>
    <row r="21" spans="1:33" ht="25.5">
      <c r="A21" s="132">
        <v>6.9444444444444441E-3</v>
      </c>
      <c r="G21" s="130"/>
      <c r="H21" s="66" t="s">
        <v>8</v>
      </c>
      <c r="I21" s="131">
        <v>8.1018518518518516E-5</v>
      </c>
      <c r="J21" s="131">
        <v>8.1018518518518516E-5</v>
      </c>
      <c r="K21" s="131">
        <v>8.1018518518518516E-5</v>
      </c>
      <c r="L21" s="131">
        <v>8.1018518518518516E-5</v>
      </c>
      <c r="M21" s="131">
        <v>8.1018518518518516E-5</v>
      </c>
      <c r="N21" s="131">
        <v>1.273148148148148E-4</v>
      </c>
      <c r="O21" s="129" t="s">
        <v>539</v>
      </c>
      <c r="P21" s="66" t="s">
        <v>540</v>
      </c>
      <c r="Q21" s="66" t="s">
        <v>541</v>
      </c>
      <c r="R21" s="66" t="s">
        <v>542</v>
      </c>
      <c r="S21" s="66" t="s">
        <v>543</v>
      </c>
      <c r="T21" s="66" t="s">
        <v>544</v>
      </c>
      <c r="U21" s="66" t="s">
        <v>545</v>
      </c>
      <c r="V21" s="66" t="s">
        <v>252</v>
      </c>
      <c r="W21" s="66" t="s">
        <v>152</v>
      </c>
      <c r="X21" s="66" t="s">
        <v>546</v>
      </c>
      <c r="Y21" s="66" t="s">
        <v>547</v>
      </c>
      <c r="Z21" s="66" t="s">
        <v>548</v>
      </c>
      <c r="AA21" s="66" t="s">
        <v>549</v>
      </c>
      <c r="AB21" s="66" t="s">
        <v>550</v>
      </c>
      <c r="AC21" s="66" t="s">
        <v>551</v>
      </c>
      <c r="AD21" s="66" t="s">
        <v>385</v>
      </c>
      <c r="AE21" s="206" t="s">
        <v>552</v>
      </c>
    </row>
    <row r="22" spans="1:33">
      <c r="A22" s="129"/>
      <c r="G22" s="130"/>
      <c r="H22" s="131"/>
      <c r="O22" s="135">
        <v>0.2</v>
      </c>
      <c r="P22" s="136">
        <v>30</v>
      </c>
      <c r="Q22" s="136" t="s">
        <v>524</v>
      </c>
      <c r="R22" s="136">
        <v>100</v>
      </c>
      <c r="S22" s="136">
        <v>50</v>
      </c>
      <c r="T22" s="136" t="s">
        <v>524</v>
      </c>
      <c r="U22" s="136">
        <v>100</v>
      </c>
      <c r="V22" s="136">
        <v>75</v>
      </c>
      <c r="W22" s="136" t="s">
        <v>524</v>
      </c>
      <c r="X22" s="136" t="s">
        <v>524</v>
      </c>
      <c r="Y22" s="136" t="s">
        <v>524</v>
      </c>
      <c r="Z22" s="136" t="s">
        <v>524</v>
      </c>
      <c r="AA22" s="136" t="s">
        <v>524</v>
      </c>
      <c r="AB22" s="136">
        <v>1</v>
      </c>
      <c r="AC22" s="136" t="s">
        <v>524</v>
      </c>
      <c r="AD22" s="136">
        <v>40</v>
      </c>
      <c r="AE22" s="207" t="s">
        <v>553</v>
      </c>
      <c r="AG22" s="66">
        <f>RIGHT(O22,LEN(O22)-1)*1</f>
        <v>0.2</v>
      </c>
    </row>
    <row r="23" spans="1:33">
      <c r="A23" s="507" t="s">
        <v>525</v>
      </c>
      <c r="B23" s="508"/>
      <c r="C23" s="508"/>
      <c r="D23" s="508"/>
      <c r="E23" s="508"/>
      <c r="G23" s="130"/>
      <c r="O23" s="135">
        <v>0.5</v>
      </c>
      <c r="P23" s="136">
        <v>20</v>
      </c>
      <c r="Q23" s="136">
        <v>20</v>
      </c>
      <c r="R23" s="136" t="s">
        <v>524</v>
      </c>
      <c r="S23" s="136" t="s">
        <v>524</v>
      </c>
      <c r="T23" s="136">
        <v>20</v>
      </c>
      <c r="U23" s="136" t="s">
        <v>524</v>
      </c>
      <c r="V23" s="136">
        <v>30</v>
      </c>
      <c r="W23" s="136">
        <v>50</v>
      </c>
      <c r="X23" s="136">
        <v>50</v>
      </c>
      <c r="Y23" s="136">
        <v>50</v>
      </c>
      <c r="Z23" s="136" t="s">
        <v>524</v>
      </c>
      <c r="AA23" s="136" t="s">
        <v>524</v>
      </c>
      <c r="AB23" s="136">
        <v>1</v>
      </c>
      <c r="AC23" s="136" t="s">
        <v>524</v>
      </c>
      <c r="AD23" s="136" t="s">
        <v>553</v>
      </c>
      <c r="AE23" s="207">
        <v>50</v>
      </c>
      <c r="AG23" s="66">
        <f t="shared" ref="AG23:AG30" si="0">RIGHT(O23,LEN(O23)-1)*1</f>
        <v>0.5</v>
      </c>
    </row>
    <row r="24" spans="1:33">
      <c r="A24" s="133">
        <v>6.9444444444444441E-3</v>
      </c>
      <c r="E24" s="66" t="str">
        <f>VLOOKUP(B3,A13:C18,3,FALSE)</f>
        <v>Powyżej B0</v>
      </c>
      <c r="F24" s="66" t="s">
        <v>356</v>
      </c>
      <c r="G24" s="424">
        <v>1</v>
      </c>
      <c r="O24" s="135">
        <v>0.8</v>
      </c>
      <c r="P24" s="136">
        <v>5</v>
      </c>
      <c r="Q24" s="136">
        <v>5</v>
      </c>
      <c r="R24" s="136" t="s">
        <v>524</v>
      </c>
      <c r="S24" s="136" t="s">
        <v>524</v>
      </c>
      <c r="T24" s="136">
        <v>5</v>
      </c>
      <c r="U24" s="136" t="s">
        <v>524</v>
      </c>
      <c r="V24" s="136">
        <v>30</v>
      </c>
      <c r="W24" s="136">
        <v>50</v>
      </c>
      <c r="X24" s="136">
        <v>50</v>
      </c>
      <c r="Y24" s="136">
        <v>30</v>
      </c>
      <c r="Z24" s="136" t="s">
        <v>524</v>
      </c>
      <c r="AA24" s="136" t="s">
        <v>524</v>
      </c>
      <c r="AB24" s="136">
        <v>1</v>
      </c>
      <c r="AC24" s="136" t="s">
        <v>524</v>
      </c>
      <c r="AD24" s="136" t="s">
        <v>553</v>
      </c>
      <c r="AE24" s="207" t="s">
        <v>553</v>
      </c>
      <c r="AG24" s="66">
        <f t="shared" si="0"/>
        <v>0.8</v>
      </c>
    </row>
    <row r="25" spans="1:33">
      <c r="A25" s="132"/>
      <c r="B25" s="131"/>
      <c r="C25" s="131"/>
      <c r="D25" s="131" t="s">
        <v>531</v>
      </c>
      <c r="E25" s="134">
        <v>0.1</v>
      </c>
      <c r="F25" s="66" t="s">
        <v>355</v>
      </c>
      <c r="G25" s="424">
        <v>1.05</v>
      </c>
      <c r="O25" s="135">
        <v>1</v>
      </c>
      <c r="P25" s="136">
        <v>5</v>
      </c>
      <c r="Q25" s="136">
        <v>5</v>
      </c>
      <c r="R25" s="136" t="s">
        <v>524</v>
      </c>
      <c r="S25" s="136" t="s">
        <v>524</v>
      </c>
      <c r="T25" s="136">
        <v>5</v>
      </c>
      <c r="U25" s="136" t="s">
        <v>524</v>
      </c>
      <c r="V25" s="136">
        <v>20</v>
      </c>
      <c r="W25" s="136">
        <v>40</v>
      </c>
      <c r="X25" s="136">
        <v>30</v>
      </c>
      <c r="Y25" s="136">
        <v>15</v>
      </c>
      <c r="Z25" s="136" t="s">
        <v>524</v>
      </c>
      <c r="AA25" s="136" t="s">
        <v>524</v>
      </c>
      <c r="AB25" s="136">
        <v>1</v>
      </c>
      <c r="AC25" s="136" t="s">
        <v>524</v>
      </c>
      <c r="AD25" s="136" t="s">
        <v>553</v>
      </c>
      <c r="AE25" s="207" t="s">
        <v>553</v>
      </c>
      <c r="AG25" s="66" t="e">
        <f t="shared" si="0"/>
        <v>#VALUE!</v>
      </c>
    </row>
    <row r="26" spans="1:33">
      <c r="A26" s="132"/>
      <c r="B26" s="131" t="s">
        <v>356</v>
      </c>
      <c r="C26" s="131" t="s">
        <v>355</v>
      </c>
      <c r="D26" s="131" t="s">
        <v>361</v>
      </c>
      <c r="E26" s="131"/>
      <c r="F26" s="66" t="s">
        <v>361</v>
      </c>
      <c r="G26" s="424">
        <v>1.1000000000000001</v>
      </c>
      <c r="O26" s="135">
        <v>1.5</v>
      </c>
      <c r="P26" s="136">
        <v>5</v>
      </c>
      <c r="Q26" s="136">
        <v>5</v>
      </c>
      <c r="R26" s="136" t="s">
        <v>524</v>
      </c>
      <c r="S26" s="136" t="s">
        <v>524</v>
      </c>
      <c r="T26" s="136">
        <v>5</v>
      </c>
      <c r="U26" s="136" t="s">
        <v>524</v>
      </c>
      <c r="V26" s="136">
        <v>15</v>
      </c>
      <c r="W26" s="136">
        <v>20</v>
      </c>
      <c r="X26" s="136">
        <v>30</v>
      </c>
      <c r="Y26" s="136">
        <v>15</v>
      </c>
      <c r="Z26" s="136" t="s">
        <v>524</v>
      </c>
      <c r="AA26" s="136" t="s">
        <v>524</v>
      </c>
      <c r="AB26" s="136">
        <v>1</v>
      </c>
      <c r="AC26" s="136" t="s">
        <v>524</v>
      </c>
      <c r="AD26" s="136" t="s">
        <v>553</v>
      </c>
      <c r="AE26" s="207" t="s">
        <v>553</v>
      </c>
      <c r="AG26" s="66">
        <f t="shared" si="0"/>
        <v>0.5</v>
      </c>
    </row>
    <row r="27" spans="1:33">
      <c r="A27" s="132" t="s">
        <v>528</v>
      </c>
      <c r="B27" s="131">
        <v>6.9444444444444444E-5</v>
      </c>
      <c r="C27" s="131">
        <v>8.1018518518518516E-5</v>
      </c>
      <c r="D27" s="131">
        <v>9.2592592592592588E-5</v>
      </c>
      <c r="E27" s="131"/>
      <c r="G27" s="130"/>
      <c r="O27" s="135">
        <v>2</v>
      </c>
      <c r="P27" s="136" t="s">
        <v>524</v>
      </c>
      <c r="Q27" s="136">
        <v>5</v>
      </c>
      <c r="R27" s="136" t="s">
        <v>524</v>
      </c>
      <c r="S27" s="136" t="s">
        <v>524</v>
      </c>
      <c r="T27" s="136">
        <v>5</v>
      </c>
      <c r="U27" s="136" t="s">
        <v>524</v>
      </c>
      <c r="V27" s="136" t="s">
        <v>524</v>
      </c>
      <c r="W27" s="136">
        <v>10</v>
      </c>
      <c r="X27" s="136">
        <v>20</v>
      </c>
      <c r="Y27" s="136" t="s">
        <v>524</v>
      </c>
      <c r="Z27" s="136">
        <v>35</v>
      </c>
      <c r="AA27" s="136">
        <v>40</v>
      </c>
      <c r="AB27" s="136">
        <v>1</v>
      </c>
      <c r="AC27" s="136" t="s">
        <v>524</v>
      </c>
      <c r="AD27" s="136" t="s">
        <v>553</v>
      </c>
      <c r="AE27" s="207" t="s">
        <v>553</v>
      </c>
      <c r="AG27" s="66" t="e">
        <f t="shared" si="0"/>
        <v>#VALUE!</v>
      </c>
    </row>
    <row r="28" spans="1:33" ht="13.5" thickBot="1">
      <c r="A28" s="132" t="s">
        <v>529</v>
      </c>
      <c r="B28" s="131">
        <v>9.2592592592592588E-5</v>
      </c>
      <c r="C28" s="131">
        <v>1.0416666666666667E-4</v>
      </c>
      <c r="D28" s="131">
        <v>1.0416666666666667E-4</v>
      </c>
      <c r="E28" s="131"/>
      <c r="G28" s="130"/>
      <c r="H28" s="138"/>
      <c r="I28" s="138"/>
      <c r="J28" s="138"/>
      <c r="K28" s="138"/>
      <c r="L28" s="138"/>
      <c r="M28" s="138"/>
      <c r="N28" s="138"/>
      <c r="O28" s="135">
        <v>3</v>
      </c>
      <c r="P28" s="136" t="s">
        <v>524</v>
      </c>
      <c r="Q28" s="136" t="s">
        <v>524</v>
      </c>
      <c r="R28" s="136" t="s">
        <v>524</v>
      </c>
      <c r="S28" s="136" t="s">
        <v>524</v>
      </c>
      <c r="T28" s="136" t="s">
        <v>524</v>
      </c>
      <c r="U28" s="136" t="s">
        <v>524</v>
      </c>
      <c r="V28" s="136" t="s">
        <v>524</v>
      </c>
      <c r="W28" s="136" t="s">
        <v>524</v>
      </c>
      <c r="X28" s="136" t="s">
        <v>524</v>
      </c>
      <c r="Y28" s="136" t="s">
        <v>524</v>
      </c>
      <c r="Z28" s="136">
        <v>25</v>
      </c>
      <c r="AA28" s="136" t="s">
        <v>524</v>
      </c>
      <c r="AB28" s="136">
        <v>1</v>
      </c>
      <c r="AC28" s="136">
        <v>25</v>
      </c>
      <c r="AD28" s="136" t="s">
        <v>553</v>
      </c>
      <c r="AE28" s="207" t="s">
        <v>553</v>
      </c>
      <c r="AG28" s="66" t="e">
        <f t="shared" si="0"/>
        <v>#VALUE!</v>
      </c>
    </row>
    <row r="29" spans="1:33">
      <c r="A29" s="132" t="s">
        <v>530</v>
      </c>
      <c r="B29" s="131">
        <v>3.4722222222222222E-5</v>
      </c>
      <c r="C29" s="131">
        <v>4.6296296296296294E-5</v>
      </c>
      <c r="D29" s="131">
        <v>5.7870370370370366E-5</v>
      </c>
      <c r="E29" s="131"/>
      <c r="G29" s="130"/>
      <c r="O29" s="135">
        <v>4</v>
      </c>
      <c r="P29" s="136" t="s">
        <v>524</v>
      </c>
      <c r="Q29" s="136" t="s">
        <v>524</v>
      </c>
      <c r="R29" s="136" t="s">
        <v>524</v>
      </c>
      <c r="S29" s="136" t="s">
        <v>524</v>
      </c>
      <c r="T29" s="136" t="s">
        <v>524</v>
      </c>
      <c r="U29" s="136" t="s">
        <v>524</v>
      </c>
      <c r="V29" s="136" t="s">
        <v>524</v>
      </c>
      <c r="W29" s="136" t="s">
        <v>524</v>
      </c>
      <c r="X29" s="136" t="s">
        <v>524</v>
      </c>
      <c r="Y29" s="136" t="s">
        <v>524</v>
      </c>
      <c r="Z29" s="136">
        <v>20</v>
      </c>
      <c r="AA29" s="136" t="s">
        <v>524</v>
      </c>
      <c r="AB29" s="136">
        <v>1</v>
      </c>
      <c r="AC29" s="136" t="s">
        <v>524</v>
      </c>
      <c r="AD29" s="136" t="s">
        <v>553</v>
      </c>
      <c r="AE29" s="207" t="s">
        <v>553</v>
      </c>
      <c r="AG29" s="66" t="e">
        <f t="shared" si="0"/>
        <v>#VALUE!</v>
      </c>
    </row>
    <row r="30" spans="1:33">
      <c r="A30" s="129" t="s">
        <v>1315</v>
      </c>
      <c r="G30" s="130"/>
      <c r="O30" s="135">
        <v>5</v>
      </c>
      <c r="P30" s="136" t="s">
        <v>524</v>
      </c>
      <c r="Q30" s="136" t="s">
        <v>524</v>
      </c>
      <c r="R30" s="136" t="s">
        <v>524</v>
      </c>
      <c r="S30" s="136" t="s">
        <v>524</v>
      </c>
      <c r="T30" s="136" t="s">
        <v>524</v>
      </c>
      <c r="U30" s="136" t="s">
        <v>524</v>
      </c>
      <c r="V30" s="136" t="s">
        <v>524</v>
      </c>
      <c r="W30" s="136" t="s">
        <v>524</v>
      </c>
      <c r="X30" s="136" t="s">
        <v>524</v>
      </c>
      <c r="Y30" s="136" t="s">
        <v>524</v>
      </c>
      <c r="Z30" s="136">
        <v>15</v>
      </c>
      <c r="AA30" s="136" t="s">
        <v>524</v>
      </c>
      <c r="AB30" s="136">
        <v>1</v>
      </c>
      <c r="AC30" s="136">
        <v>15</v>
      </c>
      <c r="AD30" s="136" t="s">
        <v>553</v>
      </c>
      <c r="AE30" s="207" t="s">
        <v>553</v>
      </c>
      <c r="AG30" s="66" t="e">
        <f t="shared" si="0"/>
        <v>#VALUE!</v>
      </c>
    </row>
    <row r="31" spans="1:33" ht="13.5" thickBot="1">
      <c r="A31" s="129" t="s">
        <v>1316</v>
      </c>
      <c r="G31" s="130"/>
      <c r="O31" s="137" t="s">
        <v>741</v>
      </c>
      <c r="P31" s="208">
        <v>2.3148148148148146E-4</v>
      </c>
      <c r="Q31" s="208">
        <v>2.3148148148148146E-4</v>
      </c>
      <c r="R31" s="208">
        <v>1.7361111111111112E-4</v>
      </c>
      <c r="S31" s="208">
        <v>1.7361111111111112E-4</v>
      </c>
      <c r="T31" s="208">
        <v>2.3148148148148146E-4</v>
      </c>
      <c r="U31" s="208">
        <v>5.7870370370370366E-5</v>
      </c>
      <c r="V31" s="208">
        <v>2.3148148148148146E-4</v>
      </c>
      <c r="W31" s="208">
        <v>2.3148148148148146E-4</v>
      </c>
      <c r="X31" s="208">
        <v>2.3148148148148146E-4</v>
      </c>
      <c r="Y31" s="208">
        <v>2.3148148148148146E-4</v>
      </c>
      <c r="Z31" s="208">
        <v>2.3148148148148146E-4</v>
      </c>
      <c r="AA31" s="208">
        <v>2.3148148148148146E-4</v>
      </c>
      <c r="AB31" s="208">
        <v>2.3148148148148146E-4</v>
      </c>
      <c r="AC31" s="208">
        <v>2.3148148148148146E-4</v>
      </c>
      <c r="AD31" s="208">
        <v>1.7361111111111112E-4</v>
      </c>
      <c r="AE31" s="209">
        <v>1.7361111111111112E-4</v>
      </c>
    </row>
    <row r="32" spans="1:33">
      <c r="A32" s="129"/>
      <c r="G32" s="130"/>
    </row>
    <row r="33" spans="1:7">
      <c r="A33" s="135">
        <v>0</v>
      </c>
      <c r="B33" s="136">
        <v>1</v>
      </c>
      <c r="F33" s="66" t="s">
        <v>1319</v>
      </c>
      <c r="G33" s="130" t="s">
        <v>1320</v>
      </c>
    </row>
    <row r="34" spans="1:7">
      <c r="A34" s="135">
        <v>4</v>
      </c>
      <c r="B34" s="136">
        <v>0.8</v>
      </c>
      <c r="F34" s="423" t="e">
        <f>IF(B7="nie",0,VLOOKUP(B8,A26:D29,MATCH(E24,A26:D26,0),FALSE)*VLOOKUP(B9,A33:B37,2,TRUE)*(1+E25)*B4)</f>
        <v>#N/A</v>
      </c>
      <c r="G34" s="425">
        <f>VLOOKUP($B$8,$E$37:$G$41,MATCH($B$10,$E$37:$G$37,0),FALSE)*B9*(ROUNDUP(B4/VLOOKUP(B8,A39:C43,MATCH(B10,A39:C39,0),FALSE),0)*VLOOKUP(E24,F24:G26,2,FALSE))</f>
        <v>0.15277777777777779</v>
      </c>
    </row>
    <row r="35" spans="1:7">
      <c r="A35" s="135">
        <v>7</v>
      </c>
      <c r="B35" s="136">
        <v>0.6</v>
      </c>
      <c r="G35" s="130"/>
    </row>
    <row r="36" spans="1:7">
      <c r="A36" s="135">
        <v>15</v>
      </c>
      <c r="B36" s="136">
        <v>0.3</v>
      </c>
      <c r="G36" s="130"/>
    </row>
    <row r="37" spans="1:7">
      <c r="A37" s="135">
        <v>30</v>
      </c>
      <c r="B37" s="136">
        <v>0.15</v>
      </c>
      <c r="E37" s="131"/>
      <c r="F37" s="66" t="s">
        <v>1317</v>
      </c>
      <c r="G37" s="130" t="s">
        <v>1318</v>
      </c>
    </row>
    <row r="38" spans="1:7">
      <c r="A38" s="129"/>
      <c r="E38" s="131" t="s">
        <v>1315</v>
      </c>
      <c r="F38" s="131">
        <v>3.4722222222222222E-5</v>
      </c>
      <c r="G38" s="427">
        <v>4.6296296296296301E-5</v>
      </c>
    </row>
    <row r="39" spans="1:7">
      <c r="A39" s="129"/>
      <c r="B39" s="66" t="s">
        <v>1317</v>
      </c>
      <c r="C39" s="66" t="s">
        <v>1318</v>
      </c>
      <c r="E39" s="131" t="s">
        <v>528</v>
      </c>
      <c r="F39" s="131">
        <v>3.4722222222222222E-5</v>
      </c>
      <c r="G39" s="427">
        <v>4.6296296296296301E-5</v>
      </c>
    </row>
    <row r="40" spans="1:7">
      <c r="A40" s="129" t="s">
        <v>1315</v>
      </c>
      <c r="B40" s="66">
        <v>1</v>
      </c>
      <c r="C40" s="66">
        <v>1</v>
      </c>
      <c r="E40" s="131" t="s">
        <v>530</v>
      </c>
      <c r="F40" s="131">
        <v>2.0833333333333335E-4</v>
      </c>
      <c r="G40" s="427">
        <v>1.7361111111111109E-4</v>
      </c>
    </row>
    <row r="41" spans="1:7" ht="13.5" thickBot="1">
      <c r="A41" s="137" t="s">
        <v>528</v>
      </c>
      <c r="B41" s="138">
        <v>1</v>
      </c>
      <c r="C41" s="138">
        <v>1</v>
      </c>
      <c r="D41" s="138"/>
      <c r="E41" s="422" t="s">
        <v>1316</v>
      </c>
      <c r="F41" s="422">
        <v>4.6296296296296294E-5</v>
      </c>
      <c r="G41" s="428">
        <v>5.7870370370370366E-5</v>
      </c>
    </row>
    <row r="42" spans="1:7">
      <c r="A42" s="66" t="s">
        <v>530</v>
      </c>
      <c r="B42" s="66">
        <v>9</v>
      </c>
      <c r="C42" s="66">
        <v>5</v>
      </c>
    </row>
    <row r="43" spans="1:7">
      <c r="A43" s="66" t="s">
        <v>1316</v>
      </c>
      <c r="B43" s="66">
        <v>1</v>
      </c>
      <c r="C43" s="66">
        <v>1</v>
      </c>
    </row>
  </sheetData>
  <mergeCells count="6">
    <mergeCell ref="O2:AE2"/>
    <mergeCell ref="A2:G2"/>
    <mergeCell ref="D14:D15"/>
    <mergeCell ref="D16:D17"/>
    <mergeCell ref="A23:E23"/>
    <mergeCell ref="H2:N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0070C0"/>
  </sheetPr>
  <dimension ref="A1:X66"/>
  <sheetViews>
    <sheetView topLeftCell="A4" workbookViewId="0">
      <selection activeCell="F26" sqref="F26"/>
    </sheetView>
  </sheetViews>
  <sheetFormatPr defaultRowHeight="15"/>
  <cols>
    <col min="1" max="2" width="13" customWidth="1"/>
    <col min="3" max="3" width="20.7109375" customWidth="1"/>
    <col min="5" max="5" width="10.7109375" customWidth="1"/>
    <col min="6" max="6" width="9.85546875" bestFit="1" customWidth="1"/>
    <col min="7" max="7" width="25.85546875" customWidth="1"/>
    <col min="8" max="8" width="20.7109375" customWidth="1"/>
    <col min="9" max="9" width="9.85546875" customWidth="1"/>
    <col min="10" max="10" width="15.85546875" customWidth="1"/>
    <col min="11" max="11" width="19" customWidth="1"/>
    <col min="12" max="12" width="12.85546875" customWidth="1"/>
    <col min="14" max="14" width="16.85546875" customWidth="1"/>
  </cols>
  <sheetData>
    <row r="1" spans="1:24" ht="15.75" thickBot="1">
      <c r="A1" s="496" t="s">
        <v>662</v>
      </c>
      <c r="B1" s="497"/>
      <c r="C1" s="497"/>
      <c r="D1" s="497"/>
      <c r="E1" s="497"/>
      <c r="F1" s="498"/>
      <c r="G1" s="496" t="s">
        <v>673</v>
      </c>
      <c r="H1" s="497"/>
      <c r="I1" s="497"/>
      <c r="J1" s="497"/>
      <c r="K1" s="497"/>
      <c r="L1" s="498"/>
      <c r="M1" s="512" t="s">
        <v>669</v>
      </c>
      <c r="N1" s="513"/>
      <c r="O1" s="513"/>
      <c r="P1" s="513"/>
      <c r="Q1" s="513"/>
      <c r="R1" s="513"/>
      <c r="S1" s="513"/>
      <c r="T1" s="513"/>
      <c r="U1" s="513"/>
      <c r="V1" s="513"/>
      <c r="W1" s="513"/>
      <c r="X1" s="514"/>
    </row>
    <row r="2" spans="1:24">
      <c r="A2" s="92" t="s">
        <v>625</v>
      </c>
      <c r="B2">
        <f>KALKULATOR!C56</f>
        <v>1</v>
      </c>
      <c r="D2" t="s">
        <v>398</v>
      </c>
      <c r="E2" t="s">
        <v>667</v>
      </c>
      <c r="F2" s="107">
        <f>VLOOKUP(D2,Tabela13[[Maszyna]:[Stawka]],2,FALSE)</f>
        <v>95</v>
      </c>
      <c r="G2" s="161" t="s">
        <v>1</v>
      </c>
      <c r="H2" s="162" t="str">
        <f>VLOOKUP(KALKULATOR!B1,Materiały_zakupowe!A:AC,8,FALSE)</f>
        <v>Tupet, vivak, pcv</v>
      </c>
      <c r="I2" s="147"/>
      <c r="J2" s="147" t="s">
        <v>403</v>
      </c>
      <c r="K2" s="147" t="s">
        <v>647</v>
      </c>
      <c r="L2" s="107">
        <f>VLOOKUP(J2,Tabela13[[Maszyna]:[Stawka]],2,FALSE)</f>
        <v>100</v>
      </c>
      <c r="M2" s="159" t="s">
        <v>534</v>
      </c>
      <c r="N2" s="88" t="s">
        <v>585</v>
      </c>
      <c r="O2" s="88" t="s">
        <v>583</v>
      </c>
      <c r="P2" s="88" t="s">
        <v>571</v>
      </c>
      <c r="Q2" s="88" t="s">
        <v>582</v>
      </c>
      <c r="R2" s="88" t="s">
        <v>584</v>
      </c>
      <c r="S2" s="88" t="s">
        <v>581</v>
      </c>
      <c r="T2" s="88" t="s">
        <v>580</v>
      </c>
      <c r="U2" s="88" t="s">
        <v>588</v>
      </c>
      <c r="V2" s="88" t="s">
        <v>587</v>
      </c>
      <c r="W2" s="88" t="s">
        <v>586</v>
      </c>
      <c r="X2" s="100" t="s">
        <v>598</v>
      </c>
    </row>
    <row r="3" spans="1:24">
      <c r="A3" s="92" t="s">
        <v>607</v>
      </c>
      <c r="B3">
        <f>KALKULATOR!D56</f>
        <v>2</v>
      </c>
      <c r="F3" s="93"/>
      <c r="G3" s="92" t="s">
        <v>534</v>
      </c>
      <c r="H3" s="28">
        <f>VLOOKUP(KALKULATOR!B1,Materiały_zakupowe!A:AC,21,FALSE)</f>
        <v>3</v>
      </c>
      <c r="L3" s="93"/>
      <c r="M3" s="159">
        <v>1</v>
      </c>
      <c r="N3" s="89" t="s">
        <v>553</v>
      </c>
      <c r="O3" s="89">
        <v>6</v>
      </c>
      <c r="P3" s="89">
        <v>2</v>
      </c>
      <c r="Q3" s="89">
        <v>8</v>
      </c>
      <c r="R3" s="89" t="s">
        <v>553</v>
      </c>
      <c r="S3" s="89" t="s">
        <v>553</v>
      </c>
      <c r="T3" s="89" t="s">
        <v>553</v>
      </c>
      <c r="U3" s="89" t="s">
        <v>553</v>
      </c>
      <c r="V3" s="89" t="s">
        <v>553</v>
      </c>
      <c r="W3" s="89">
        <v>8</v>
      </c>
      <c r="X3" s="103">
        <v>1</v>
      </c>
    </row>
    <row r="4" spans="1:24">
      <c r="A4" s="92" t="s">
        <v>635</v>
      </c>
      <c r="B4">
        <f>KALKULATOR!I1/KALKULATOR!C56</f>
        <v>100</v>
      </c>
      <c r="F4" s="93"/>
      <c r="G4" s="161" t="s">
        <v>635</v>
      </c>
      <c r="H4" s="28">
        <f>KALKULATOR!I1/KALKULATOR!C65</f>
        <v>100</v>
      </c>
      <c r="L4" s="93"/>
      <c r="M4" s="159">
        <v>1.5</v>
      </c>
      <c r="N4" s="89" t="s">
        <v>553</v>
      </c>
      <c r="O4" s="89">
        <v>6</v>
      </c>
      <c r="P4" s="89">
        <v>2</v>
      </c>
      <c r="Q4" s="89">
        <v>8</v>
      </c>
      <c r="R4" s="89" t="s">
        <v>553</v>
      </c>
      <c r="S4" s="89" t="s">
        <v>553</v>
      </c>
      <c r="T4" s="89" t="s">
        <v>553</v>
      </c>
      <c r="U4" s="89" t="s">
        <v>553</v>
      </c>
      <c r="V4" s="89" t="s">
        <v>553</v>
      </c>
      <c r="W4" s="89">
        <v>6</v>
      </c>
      <c r="X4" s="103">
        <v>1</v>
      </c>
    </row>
    <row r="5" spans="1:24">
      <c r="A5" s="92"/>
      <c r="D5" s="106" t="s">
        <v>657</v>
      </c>
      <c r="E5" s="116">
        <f>SUM(A9:B9)</f>
        <v>4.6296296296296294E-2</v>
      </c>
      <c r="F5" s="108">
        <f>E5*24*$F$2</f>
        <v>105.55555555555556</v>
      </c>
      <c r="G5" s="161" t="s">
        <v>624</v>
      </c>
      <c r="H5" s="163">
        <f>KALKULATOR!D65</f>
        <v>2</v>
      </c>
      <c r="I5" s="147"/>
      <c r="J5" s="147"/>
      <c r="K5" s="147"/>
      <c r="L5" s="107"/>
      <c r="M5" s="159">
        <v>2</v>
      </c>
      <c r="N5" s="89">
        <v>8</v>
      </c>
      <c r="O5" s="89">
        <v>6</v>
      </c>
      <c r="P5" s="89">
        <v>2</v>
      </c>
      <c r="Q5" s="89">
        <v>8</v>
      </c>
      <c r="R5" s="89">
        <v>8</v>
      </c>
      <c r="S5" s="89" t="s">
        <v>553</v>
      </c>
      <c r="T5" s="89" t="s">
        <v>553</v>
      </c>
      <c r="U5" s="89" t="s">
        <v>553</v>
      </c>
      <c r="V5" s="89" t="s">
        <v>553</v>
      </c>
      <c r="W5" s="89">
        <v>6</v>
      </c>
      <c r="X5" s="103">
        <v>1</v>
      </c>
    </row>
    <row r="6" spans="1:24">
      <c r="A6" s="92"/>
      <c r="D6" s="106" t="s">
        <v>631</v>
      </c>
      <c r="E6" s="117">
        <v>1.3888888888888888E-2</v>
      </c>
      <c r="F6" s="108">
        <f>E6*24*$F$2</f>
        <v>31.666666666666664</v>
      </c>
      <c r="G6" s="161" t="s">
        <v>668</v>
      </c>
      <c r="H6" s="163">
        <f>VLOOKUP(H3,M2:X19,MATCH(H2,M2:X2,0),FALSE)</f>
        <v>4</v>
      </c>
      <c r="J6" s="164" t="s">
        <v>657</v>
      </c>
      <c r="K6" s="165">
        <f>SUM(H10:H13)</f>
        <v>8.3912037037037035E-2</v>
      </c>
      <c r="L6" s="108">
        <f>K6*24*$L$2</f>
        <v>201.38888888888889</v>
      </c>
      <c r="M6" s="159">
        <v>3</v>
      </c>
      <c r="N6" s="89">
        <v>6</v>
      </c>
      <c r="O6" s="89">
        <v>4</v>
      </c>
      <c r="P6" s="89">
        <v>2</v>
      </c>
      <c r="Q6" s="89">
        <v>6</v>
      </c>
      <c r="R6" s="89">
        <v>4</v>
      </c>
      <c r="S6" s="89" t="s">
        <v>553</v>
      </c>
      <c r="T6" s="89" t="s">
        <v>553</v>
      </c>
      <c r="U6" s="89">
        <v>8</v>
      </c>
      <c r="V6" s="89">
        <v>4</v>
      </c>
      <c r="W6" s="89">
        <v>6</v>
      </c>
      <c r="X6" s="103">
        <v>1</v>
      </c>
    </row>
    <row r="7" spans="1:24">
      <c r="A7" s="105" t="s">
        <v>608</v>
      </c>
      <c r="B7" s="26" t="s">
        <v>610</v>
      </c>
      <c r="F7" s="93"/>
      <c r="G7" s="161" t="s">
        <v>555</v>
      </c>
      <c r="H7" s="28">
        <f>ROUNDUP(H4/H6,0)</f>
        <v>25</v>
      </c>
      <c r="J7" s="164" t="s">
        <v>631</v>
      </c>
      <c r="K7" s="165">
        <v>6.9444444444444441E-3</v>
      </c>
      <c r="L7" s="108">
        <f>K7*24*$L$2</f>
        <v>16.666666666666664</v>
      </c>
      <c r="M7" s="159">
        <v>4</v>
      </c>
      <c r="N7" s="89">
        <v>4</v>
      </c>
      <c r="O7" s="89">
        <v>2</v>
      </c>
      <c r="P7" s="89">
        <v>1</v>
      </c>
      <c r="Q7" s="89">
        <v>4</v>
      </c>
      <c r="R7" s="89">
        <v>4</v>
      </c>
      <c r="S7" s="89" t="s">
        <v>553</v>
      </c>
      <c r="T7" s="89" t="s">
        <v>553</v>
      </c>
      <c r="U7" s="89" t="s">
        <v>553</v>
      </c>
      <c r="V7" s="89" t="s">
        <v>553</v>
      </c>
      <c r="W7" s="89">
        <v>4</v>
      </c>
      <c r="X7" s="103">
        <v>1</v>
      </c>
    </row>
    <row r="8" spans="1:24">
      <c r="A8" s="105">
        <v>5.7870370370370366E-5</v>
      </c>
      <c r="B8" s="26">
        <v>3.4722222222222224E-4</v>
      </c>
      <c r="F8" s="93"/>
      <c r="G8" s="92"/>
      <c r="L8" s="93"/>
      <c r="M8" s="159">
        <v>5</v>
      </c>
      <c r="N8" s="89">
        <v>3</v>
      </c>
      <c r="O8" s="89" t="s">
        <v>553</v>
      </c>
      <c r="P8" s="89" t="s">
        <v>553</v>
      </c>
      <c r="Q8" s="89" t="s">
        <v>553</v>
      </c>
      <c r="R8" s="89">
        <v>2</v>
      </c>
      <c r="S8" s="89" t="s">
        <v>553</v>
      </c>
      <c r="T8" s="89" t="s">
        <v>553</v>
      </c>
      <c r="U8" s="89" t="s">
        <v>553</v>
      </c>
      <c r="V8" s="89" t="s">
        <v>553</v>
      </c>
      <c r="W8" s="89">
        <v>4</v>
      </c>
      <c r="X8" s="103">
        <v>1</v>
      </c>
    </row>
    <row r="9" spans="1:24">
      <c r="A9" s="105">
        <f>A8*B3*B4</f>
        <v>1.1574074074074073E-2</v>
      </c>
      <c r="B9" s="26">
        <f>B8*B4</f>
        <v>3.4722222222222224E-2</v>
      </c>
      <c r="F9" s="93"/>
      <c r="G9" s="92"/>
      <c r="L9" s="93"/>
      <c r="M9" s="159">
        <v>6</v>
      </c>
      <c r="N9" s="89">
        <v>3</v>
      </c>
      <c r="O9" s="89" t="s">
        <v>553</v>
      </c>
      <c r="P9" s="89" t="s">
        <v>553</v>
      </c>
      <c r="Q9" s="89" t="s">
        <v>553</v>
      </c>
      <c r="R9" s="89">
        <v>2</v>
      </c>
      <c r="S9" s="89">
        <v>5</v>
      </c>
      <c r="T9" s="89">
        <v>4</v>
      </c>
      <c r="U9" s="89">
        <v>5</v>
      </c>
      <c r="V9" s="89">
        <v>2</v>
      </c>
      <c r="W9" s="89">
        <v>4</v>
      </c>
      <c r="X9" s="103">
        <v>1</v>
      </c>
    </row>
    <row r="10" spans="1:24">
      <c r="A10" s="92"/>
      <c r="F10" s="93"/>
      <c r="G10" s="92" t="s">
        <v>670</v>
      </c>
      <c r="H10" s="26">
        <f>VLOOKUP(HLOOKUP(H2,N2:X21,20,FALSE),J10:L12,2,FALSE)*VLOOKUP(H5,G15:I18,3,TRUE)*H7*H5</f>
        <v>2.8935185185185189E-2</v>
      </c>
      <c r="J10" s="28" t="s">
        <v>623</v>
      </c>
      <c r="K10" s="26">
        <v>5.7870370370370378E-4</v>
      </c>
      <c r="L10" s="96">
        <v>1.1574074074074073E-4</v>
      </c>
      <c r="M10" s="159">
        <v>8</v>
      </c>
      <c r="N10" s="89">
        <v>2</v>
      </c>
      <c r="O10" s="89" t="s">
        <v>553</v>
      </c>
      <c r="P10" s="89" t="s">
        <v>553</v>
      </c>
      <c r="Q10" s="89" t="s">
        <v>553</v>
      </c>
      <c r="R10" s="89">
        <v>2</v>
      </c>
      <c r="S10" s="89">
        <v>4</v>
      </c>
      <c r="T10" s="89">
        <v>3</v>
      </c>
      <c r="U10" s="89" t="s">
        <v>553</v>
      </c>
      <c r="V10" s="89" t="s">
        <v>553</v>
      </c>
      <c r="W10" s="89">
        <v>3</v>
      </c>
      <c r="X10" s="103">
        <v>1</v>
      </c>
    </row>
    <row r="11" spans="1:24">
      <c r="A11" s="92"/>
      <c r="F11" s="93"/>
      <c r="G11" s="92" t="s">
        <v>671</v>
      </c>
      <c r="H11" s="104">
        <f>I11*H4</f>
        <v>3.4722222222222224E-2</v>
      </c>
      <c r="I11" s="104">
        <v>3.4722222222222224E-4</v>
      </c>
      <c r="J11" s="28" t="s">
        <v>622</v>
      </c>
      <c r="K11" s="26">
        <v>5.7870370370370378E-4</v>
      </c>
      <c r="L11" s="96">
        <v>2.3148148148148146E-4</v>
      </c>
      <c r="M11" s="159">
        <v>10</v>
      </c>
      <c r="N11" s="89">
        <v>2</v>
      </c>
      <c r="O11" s="89" t="s">
        <v>553</v>
      </c>
      <c r="P11" s="89" t="s">
        <v>553</v>
      </c>
      <c r="Q11" s="89" t="s">
        <v>553</v>
      </c>
      <c r="R11" s="89">
        <v>1</v>
      </c>
      <c r="S11" s="89">
        <v>3</v>
      </c>
      <c r="T11" s="89">
        <v>2</v>
      </c>
      <c r="U11" s="89" t="s">
        <v>553</v>
      </c>
      <c r="V11" s="89" t="s">
        <v>553</v>
      </c>
      <c r="W11" s="89">
        <v>2</v>
      </c>
      <c r="X11" s="103">
        <v>1</v>
      </c>
    </row>
    <row r="12" spans="1:24">
      <c r="A12" s="92"/>
      <c r="F12" s="93"/>
      <c r="G12" s="92" t="s">
        <v>672</v>
      </c>
      <c r="H12" s="26">
        <f>VLOOKUP(HLOOKUP(H2,N2:X21,20,FALSE),J10:L12,3,FALSE)*H5*H7</f>
        <v>1.1574074074074073E-2</v>
      </c>
      <c r="J12" s="28" t="s">
        <v>621</v>
      </c>
      <c r="K12" s="26">
        <v>6.9444444444444447E-4</v>
      </c>
      <c r="L12" s="96">
        <v>2.3148148148148146E-4</v>
      </c>
      <c r="M12" s="159">
        <v>12</v>
      </c>
      <c r="N12" s="89">
        <v>2</v>
      </c>
      <c r="O12" s="89" t="s">
        <v>553</v>
      </c>
      <c r="P12" s="89" t="s">
        <v>553</v>
      </c>
      <c r="Q12" s="89" t="s">
        <v>553</v>
      </c>
      <c r="R12" s="89">
        <v>1</v>
      </c>
      <c r="S12" s="89">
        <v>3</v>
      </c>
      <c r="T12" s="89">
        <v>2</v>
      </c>
      <c r="U12" s="89" t="s">
        <v>553</v>
      </c>
      <c r="V12" s="89" t="s">
        <v>553</v>
      </c>
      <c r="W12" s="89">
        <v>2</v>
      </c>
      <c r="X12" s="103">
        <v>1</v>
      </c>
    </row>
    <row r="13" spans="1:24">
      <c r="A13" s="92"/>
      <c r="F13" s="93"/>
      <c r="G13" s="92"/>
      <c r="H13" s="104">
        <f>I11*H7</f>
        <v>8.6805555555555559E-3</v>
      </c>
      <c r="L13" s="93"/>
      <c r="M13" s="159">
        <v>16</v>
      </c>
      <c r="N13" s="89">
        <v>2</v>
      </c>
      <c r="O13" s="89" t="s">
        <v>553</v>
      </c>
      <c r="P13" s="89" t="s">
        <v>553</v>
      </c>
      <c r="Q13" s="89" t="s">
        <v>553</v>
      </c>
      <c r="R13" s="89">
        <v>1</v>
      </c>
      <c r="S13" s="89">
        <v>2</v>
      </c>
      <c r="T13" s="89">
        <v>2</v>
      </c>
      <c r="U13" s="89" t="s">
        <v>553</v>
      </c>
      <c r="V13" s="89" t="s">
        <v>553</v>
      </c>
      <c r="W13" s="89">
        <v>2</v>
      </c>
      <c r="X13" s="103">
        <v>1</v>
      </c>
    </row>
    <row r="14" spans="1:24" ht="15.75" thickBot="1">
      <c r="A14" s="94"/>
      <c r="B14" s="97"/>
      <c r="C14" s="97"/>
      <c r="D14" s="97"/>
      <c r="E14" s="97"/>
      <c r="F14" s="95"/>
      <c r="G14" s="92"/>
      <c r="L14" s="93"/>
      <c r="M14" s="159">
        <v>18</v>
      </c>
      <c r="N14" s="89">
        <v>1</v>
      </c>
      <c r="O14" s="89" t="s">
        <v>553</v>
      </c>
      <c r="P14" s="89" t="s">
        <v>553</v>
      </c>
      <c r="Q14" s="89" t="s">
        <v>553</v>
      </c>
      <c r="R14" s="89">
        <v>1</v>
      </c>
      <c r="S14" s="89">
        <v>2</v>
      </c>
      <c r="T14" s="89">
        <v>2</v>
      </c>
      <c r="U14" s="89" t="s">
        <v>553</v>
      </c>
      <c r="V14" s="89" t="s">
        <v>553</v>
      </c>
      <c r="W14" s="89">
        <v>2</v>
      </c>
      <c r="X14" s="103">
        <v>1</v>
      </c>
    </row>
    <row r="15" spans="1:24" ht="15.75" thickBot="1">
      <c r="A15" s="496" t="s">
        <v>663</v>
      </c>
      <c r="B15" s="497"/>
      <c r="C15" s="497"/>
      <c r="D15" s="497"/>
      <c r="E15" s="497"/>
      <c r="F15" s="498"/>
      <c r="G15" s="166">
        <v>0</v>
      </c>
      <c r="H15" s="28">
        <v>10</v>
      </c>
      <c r="I15" s="28">
        <v>1</v>
      </c>
      <c r="J15" s="27"/>
      <c r="K15" s="27"/>
      <c r="L15" s="167"/>
      <c r="M15" s="159">
        <v>19</v>
      </c>
      <c r="N15" s="89">
        <v>1</v>
      </c>
      <c r="O15" s="89" t="s">
        <v>553</v>
      </c>
      <c r="P15" s="89" t="s">
        <v>553</v>
      </c>
      <c r="Q15" s="89" t="s">
        <v>553</v>
      </c>
      <c r="R15" s="89">
        <v>1</v>
      </c>
      <c r="S15" s="89">
        <v>2</v>
      </c>
      <c r="T15" s="89">
        <v>2</v>
      </c>
      <c r="U15" s="89" t="s">
        <v>553</v>
      </c>
      <c r="V15" s="89" t="s">
        <v>553</v>
      </c>
      <c r="W15" s="89">
        <v>2</v>
      </c>
      <c r="X15" s="103">
        <v>1</v>
      </c>
    </row>
    <row r="16" spans="1:24">
      <c r="A16" s="92" t="s">
        <v>660</v>
      </c>
      <c r="B16">
        <f>KALKULATOR!I1/KALKULATOR!C60</f>
        <v>100</v>
      </c>
      <c r="D16" t="s">
        <v>406</v>
      </c>
      <c r="E16" t="s">
        <v>647</v>
      </c>
      <c r="F16" s="107">
        <f>VLOOKUP(D16,Tabela13[[Maszyna]:[Stawka]],2,FALSE)</f>
        <v>70</v>
      </c>
      <c r="G16" s="166">
        <v>11</v>
      </c>
      <c r="H16" s="28">
        <v>20</v>
      </c>
      <c r="I16" s="28">
        <v>0.85</v>
      </c>
      <c r="L16" s="93"/>
      <c r="M16" s="159">
        <v>22</v>
      </c>
      <c r="N16" s="89">
        <v>1</v>
      </c>
      <c r="O16" s="89" t="s">
        <v>553</v>
      </c>
      <c r="P16" s="89" t="s">
        <v>553</v>
      </c>
      <c r="Q16" s="89" t="s">
        <v>553</v>
      </c>
      <c r="R16" s="89">
        <v>1</v>
      </c>
      <c r="S16" s="89">
        <v>2</v>
      </c>
      <c r="T16" s="89">
        <v>2</v>
      </c>
      <c r="U16" s="89" t="s">
        <v>553</v>
      </c>
      <c r="V16" s="89" t="s">
        <v>553</v>
      </c>
      <c r="W16" s="89">
        <v>1</v>
      </c>
      <c r="X16" s="103">
        <v>1</v>
      </c>
    </row>
    <row r="17" spans="1:24">
      <c r="A17" s="92" t="s">
        <v>607</v>
      </c>
      <c r="B17">
        <f>KALKULATOR!D60</f>
        <v>1</v>
      </c>
      <c r="F17" s="93"/>
      <c r="G17" s="166">
        <v>21</v>
      </c>
      <c r="H17" s="28">
        <v>40</v>
      </c>
      <c r="I17" s="28">
        <v>0.7</v>
      </c>
      <c r="L17" s="93"/>
      <c r="M17" s="159">
        <v>25</v>
      </c>
      <c r="N17" s="89">
        <v>1</v>
      </c>
      <c r="O17" s="89" t="s">
        <v>553</v>
      </c>
      <c r="P17" s="89" t="s">
        <v>553</v>
      </c>
      <c r="Q17" s="89" t="s">
        <v>553</v>
      </c>
      <c r="R17" s="89">
        <v>1</v>
      </c>
      <c r="S17" s="89">
        <v>1</v>
      </c>
      <c r="T17" s="89">
        <v>1</v>
      </c>
      <c r="U17" s="89" t="s">
        <v>553</v>
      </c>
      <c r="V17" s="89" t="s">
        <v>553</v>
      </c>
      <c r="W17" s="89">
        <v>1</v>
      </c>
      <c r="X17" s="103">
        <v>1</v>
      </c>
    </row>
    <row r="18" spans="1:24">
      <c r="A18" s="92" t="s">
        <v>2</v>
      </c>
      <c r="B18">
        <f>KALKULATOR!E60</f>
        <v>1</v>
      </c>
      <c r="E18" s="104">
        <v>6.9444444444444441E-3</v>
      </c>
      <c r="F18" s="93"/>
      <c r="G18" s="166">
        <v>41</v>
      </c>
      <c r="H18" s="28"/>
      <c r="I18" s="28">
        <v>0.5</v>
      </c>
      <c r="L18" s="93"/>
      <c r="M18" s="159">
        <v>30</v>
      </c>
      <c r="N18" s="89">
        <v>1</v>
      </c>
      <c r="O18" s="89" t="s">
        <v>553</v>
      </c>
      <c r="P18" s="89" t="s">
        <v>553</v>
      </c>
      <c r="Q18" s="89" t="s">
        <v>553</v>
      </c>
      <c r="R18" s="89">
        <v>1</v>
      </c>
      <c r="S18" s="89">
        <v>1</v>
      </c>
      <c r="T18" s="89">
        <v>1</v>
      </c>
      <c r="U18" s="89" t="s">
        <v>553</v>
      </c>
      <c r="V18" s="89" t="s">
        <v>553</v>
      </c>
      <c r="W18" s="89">
        <v>1</v>
      </c>
      <c r="X18" s="103">
        <v>1</v>
      </c>
    </row>
    <row r="19" spans="1:24">
      <c r="A19" s="92"/>
      <c r="F19" s="93"/>
      <c r="G19" s="92"/>
      <c r="L19" s="93"/>
      <c r="M19" s="159">
        <v>35</v>
      </c>
      <c r="N19" s="89">
        <v>1</v>
      </c>
      <c r="O19" s="89" t="s">
        <v>553</v>
      </c>
      <c r="P19" s="89" t="s">
        <v>553</v>
      </c>
      <c r="Q19" s="89" t="s">
        <v>553</v>
      </c>
      <c r="R19" s="89">
        <v>1</v>
      </c>
      <c r="S19" s="89">
        <v>1</v>
      </c>
      <c r="T19" s="89">
        <v>1</v>
      </c>
      <c r="U19" s="89" t="s">
        <v>553</v>
      </c>
      <c r="V19" s="89" t="s">
        <v>553</v>
      </c>
      <c r="W19" s="89">
        <v>1</v>
      </c>
      <c r="X19" s="103">
        <v>1</v>
      </c>
    </row>
    <row r="20" spans="1:24">
      <c r="A20" s="515" t="s">
        <v>677</v>
      </c>
      <c r="B20" s="516"/>
      <c r="C20" s="516"/>
      <c r="F20" s="93"/>
      <c r="G20" s="92"/>
      <c r="L20" s="93"/>
      <c r="M20" s="159"/>
      <c r="N20" s="88" t="s">
        <v>619</v>
      </c>
      <c r="O20" s="88" t="s">
        <v>619</v>
      </c>
      <c r="P20" s="88" t="s">
        <v>619</v>
      </c>
      <c r="Q20" s="88" t="s">
        <v>619</v>
      </c>
      <c r="R20" s="88" t="s">
        <v>619</v>
      </c>
      <c r="S20" s="88" t="s">
        <v>619</v>
      </c>
      <c r="T20" s="88" t="s">
        <v>620</v>
      </c>
      <c r="U20" s="88" t="s">
        <v>619</v>
      </c>
      <c r="V20" s="88" t="s">
        <v>620</v>
      </c>
      <c r="W20" s="88" t="s">
        <v>619</v>
      </c>
      <c r="X20" s="100" t="s">
        <v>621</v>
      </c>
    </row>
    <row r="21" spans="1:24" ht="15.75" thickBot="1">
      <c r="A21" s="156" t="s">
        <v>674</v>
      </c>
      <c r="B21" s="157">
        <v>1.7361111111111112E-4</v>
      </c>
      <c r="C21" s="158">
        <f>B18*B21</f>
        <v>1.7361111111111112E-4</v>
      </c>
      <c r="F21" s="93"/>
      <c r="G21" s="92"/>
      <c r="L21" s="93"/>
      <c r="M21" s="160"/>
      <c r="N21" s="101" t="s">
        <v>622</v>
      </c>
      <c r="O21" s="101" t="s">
        <v>622</v>
      </c>
      <c r="P21" s="101" t="s">
        <v>622</v>
      </c>
      <c r="Q21" s="101" t="s">
        <v>622</v>
      </c>
      <c r="R21" s="101" t="s">
        <v>622</v>
      </c>
      <c r="S21" s="101" t="s">
        <v>623</v>
      </c>
      <c r="T21" s="101" t="s">
        <v>623</v>
      </c>
      <c r="U21" s="101" t="s">
        <v>623</v>
      </c>
      <c r="V21" s="101" t="s">
        <v>623</v>
      </c>
      <c r="W21" s="101" t="s">
        <v>623</v>
      </c>
      <c r="X21" s="102" t="s">
        <v>621</v>
      </c>
    </row>
    <row r="22" spans="1:24">
      <c r="A22" s="156" t="s">
        <v>675</v>
      </c>
      <c r="B22" s="157">
        <v>4.6296296296296294E-5</v>
      </c>
      <c r="C22" s="158">
        <f>B18*B22</f>
        <v>4.6296296296296294E-5</v>
      </c>
      <c r="F22" s="93"/>
      <c r="G22" s="92"/>
      <c r="L22" s="93"/>
    </row>
    <row r="23" spans="1:24">
      <c r="A23" s="156" t="s">
        <v>676</v>
      </c>
      <c r="B23" s="157">
        <v>1.1574074074074073E-4</v>
      </c>
      <c r="C23" s="158">
        <f>B17*B23</f>
        <v>1.1574074074074073E-4</v>
      </c>
      <c r="F23" s="93"/>
      <c r="G23" s="92"/>
      <c r="L23" s="93"/>
    </row>
    <row r="24" spans="1:24">
      <c r="A24" s="92"/>
      <c r="F24" s="93"/>
      <c r="G24" s="92"/>
      <c r="L24" s="93"/>
      <c r="N24" t="s">
        <v>928</v>
      </c>
    </row>
    <row r="25" spans="1:24" ht="15.75" thickBot="1">
      <c r="A25" s="92"/>
      <c r="D25" s="106" t="s">
        <v>657</v>
      </c>
      <c r="E25" s="116">
        <f>SUM(C21:C24)*B16</f>
        <v>3.3564814814814811E-2</v>
      </c>
      <c r="F25" s="108">
        <f>E25*24*$F$16</f>
        <v>56.388888888888886</v>
      </c>
      <c r="G25" s="94"/>
      <c r="H25" s="97"/>
      <c r="I25" s="97"/>
      <c r="J25" s="97"/>
      <c r="K25" s="97"/>
      <c r="L25" s="95"/>
    </row>
    <row r="26" spans="1:24" ht="15.75" thickBot="1">
      <c r="A26" s="92"/>
      <c r="D26" s="106" t="s">
        <v>631</v>
      </c>
      <c r="E26" s="117">
        <f>IF(SUM(C28:C29)&lt;E18,E18,SUM(C28:C29))</f>
        <v>6.9444444444444441E-3</v>
      </c>
      <c r="F26" s="108">
        <f>E26*24*$F$16</f>
        <v>11.666666666666666</v>
      </c>
      <c r="G26" s="496" t="s">
        <v>680</v>
      </c>
      <c r="H26" s="497"/>
      <c r="I26" s="497"/>
      <c r="J26" s="497"/>
      <c r="K26" s="497"/>
      <c r="L26" s="498"/>
    </row>
    <row r="27" spans="1:24">
      <c r="A27" s="92"/>
      <c r="D27" s="106"/>
      <c r="E27" s="117"/>
      <c r="F27" s="108"/>
      <c r="G27" s="92" t="s">
        <v>635</v>
      </c>
      <c r="H27">
        <f>KALKULATOR!I1/KALKULATOR!C70</f>
        <v>100</v>
      </c>
      <c r="J27" t="s">
        <v>401</v>
      </c>
      <c r="K27" t="s">
        <v>667</v>
      </c>
      <c r="L27" s="107">
        <f>VLOOKUP(DREWNO!J27,Tabela13[[Maszyna]:[Stawka]],2,FALSE)</f>
        <v>100</v>
      </c>
    </row>
    <row r="28" spans="1:24">
      <c r="A28" s="156" t="s">
        <v>678</v>
      </c>
      <c r="B28" s="157">
        <v>6.9444444444444447E-4</v>
      </c>
      <c r="C28" s="104">
        <f>B28*B17</f>
        <v>6.9444444444444447E-4</v>
      </c>
      <c r="F28" s="93"/>
      <c r="G28" s="92" t="s">
        <v>681</v>
      </c>
      <c r="H28">
        <f>KALKULATOR!D70</f>
        <v>8000</v>
      </c>
      <c r="L28" s="93"/>
    </row>
    <row r="29" spans="1:24">
      <c r="A29" s="156" t="s">
        <v>679</v>
      </c>
      <c r="B29" s="157">
        <v>1.3888888888888889E-3</v>
      </c>
      <c r="C29" s="104">
        <f>B29*B18</f>
        <v>1.3888888888888889E-3</v>
      </c>
      <c r="F29" s="93"/>
      <c r="G29" s="92"/>
      <c r="J29" s="106" t="s">
        <v>657</v>
      </c>
      <c r="K29" s="117">
        <f>(H28+H31)/H30*H32*H27</f>
        <v>0.1111111111111111</v>
      </c>
      <c r="L29" s="108">
        <f>K29*24*$L$27</f>
        <v>266.66666666666663</v>
      </c>
    </row>
    <row r="30" spans="1:24">
      <c r="A30" s="92"/>
      <c r="F30" s="93"/>
      <c r="G30" s="92" t="s">
        <v>365</v>
      </c>
      <c r="H30" s="115">
        <v>10000</v>
      </c>
      <c r="J30" s="106" t="s">
        <v>631</v>
      </c>
      <c r="K30" s="117">
        <v>1.3888888888888888E-2</v>
      </c>
      <c r="L30" s="108">
        <f>K30*24*$L$27</f>
        <v>33.333333333333329</v>
      </c>
    </row>
    <row r="31" spans="1:24">
      <c r="A31" s="92"/>
      <c r="F31" s="93"/>
      <c r="G31" s="92" t="s">
        <v>682</v>
      </c>
      <c r="H31">
        <v>8000</v>
      </c>
      <c r="L31" s="93"/>
    </row>
    <row r="32" spans="1:24">
      <c r="A32" s="92"/>
      <c r="F32" s="93"/>
      <c r="G32" s="92"/>
      <c r="H32" s="104">
        <v>6.9444444444444447E-4</v>
      </c>
      <c r="L32" s="93"/>
    </row>
    <row r="33" spans="1:12">
      <c r="A33" s="92"/>
      <c r="F33" s="93"/>
      <c r="G33" s="92"/>
      <c r="L33" s="93"/>
    </row>
    <row r="34" spans="1:12">
      <c r="A34" s="92"/>
      <c r="F34" s="93"/>
      <c r="G34" s="92"/>
      <c r="L34" s="93"/>
    </row>
    <row r="35" spans="1:12" ht="15.75" thickBot="1">
      <c r="A35" s="94"/>
      <c r="B35" s="97"/>
      <c r="C35" s="97"/>
      <c r="D35" s="97"/>
      <c r="E35" s="97"/>
      <c r="F35" s="95"/>
      <c r="G35" s="94"/>
      <c r="H35" s="97"/>
      <c r="I35" s="97"/>
      <c r="J35" s="97"/>
      <c r="K35" s="97"/>
      <c r="L35" s="95"/>
    </row>
    <row r="36" spans="1:12" ht="15.75" thickBot="1">
      <c r="A36" s="496" t="s">
        <v>701</v>
      </c>
      <c r="B36" s="497"/>
      <c r="C36" s="497"/>
      <c r="D36" s="497"/>
      <c r="E36" s="497"/>
      <c r="F36" s="498"/>
      <c r="G36" s="496" t="s">
        <v>685</v>
      </c>
      <c r="H36" s="497"/>
      <c r="I36" s="497"/>
      <c r="J36" s="497"/>
      <c r="K36" s="497"/>
      <c r="L36" s="498"/>
    </row>
    <row r="37" spans="1:12">
      <c r="A37" s="92" t="s">
        <v>625</v>
      </c>
      <c r="B37">
        <f>KALKULATOR!D81</f>
        <v>1</v>
      </c>
      <c r="D37" t="s">
        <v>399</v>
      </c>
      <c r="E37" t="s">
        <v>756</v>
      </c>
      <c r="F37" s="107">
        <f>VLOOKUP(D37,Tabela13[[Maszyna]:[Stawka]],2,FALSE)</f>
        <v>85</v>
      </c>
      <c r="G37" s="90" t="s">
        <v>643</v>
      </c>
      <c r="H37" s="119">
        <f>KALKULATOR!I1/KALKULATOR!C76</f>
        <v>100</v>
      </c>
      <c r="I37" s="119"/>
      <c r="J37" s="119" t="s">
        <v>399</v>
      </c>
      <c r="K37" s="119" t="s">
        <v>665</v>
      </c>
      <c r="L37" s="146">
        <f>VLOOKUP(DREWNO!J37,Tabela13[[Maszyna]:[Stawka]],2,FALSE)</f>
        <v>85</v>
      </c>
    </row>
    <row r="38" spans="1:12">
      <c r="A38" s="92" t="s">
        <v>643</v>
      </c>
      <c r="B38">
        <f>KALKULATOR!I1/KALKULATOR!D81</f>
        <v>100</v>
      </c>
      <c r="F38" s="93"/>
      <c r="G38" s="92" t="s">
        <v>683</v>
      </c>
      <c r="H38">
        <f>KALKULATOR!D76</f>
        <v>2300</v>
      </c>
      <c r="L38" s="93"/>
    </row>
    <row r="39" spans="1:12">
      <c r="A39" s="92" t="s">
        <v>723</v>
      </c>
      <c r="B39">
        <f>KALKULATOR!E81</f>
        <v>1500</v>
      </c>
      <c r="F39" s="93"/>
      <c r="G39" s="92" t="s">
        <v>684</v>
      </c>
      <c r="H39">
        <f>KALKULATOR!E76</f>
        <v>1</v>
      </c>
      <c r="L39" s="93"/>
    </row>
    <row r="40" spans="1:12">
      <c r="A40" s="92" t="s">
        <v>1</v>
      </c>
      <c r="B40">
        <f>VLOOKUP(KALKULATOR!B1,Materiały_zakupowe!A:AC,23,FALSE)</f>
        <v>0</v>
      </c>
      <c r="C40" t="s">
        <v>730</v>
      </c>
      <c r="F40" s="93"/>
      <c r="G40" s="92"/>
      <c r="L40" s="93"/>
    </row>
    <row r="41" spans="1:12">
      <c r="A41" s="92" t="s">
        <v>357</v>
      </c>
      <c r="B41" t="str">
        <f>KALKULATOR!C81</f>
        <v>do B2</v>
      </c>
      <c r="F41" s="93"/>
      <c r="G41" s="92"/>
      <c r="L41" s="93"/>
    </row>
    <row r="42" spans="1:12">
      <c r="A42" s="92" t="s">
        <v>728</v>
      </c>
      <c r="B42">
        <f>VLOOKUP(B41,A45:B46,2,FALSE)</f>
        <v>5000</v>
      </c>
      <c r="F42" s="93"/>
      <c r="G42" s="92"/>
      <c r="L42" s="93"/>
    </row>
    <row r="43" spans="1:12">
      <c r="A43" s="92"/>
      <c r="F43" s="93"/>
      <c r="G43" s="92"/>
      <c r="L43" s="93"/>
    </row>
    <row r="44" spans="1:12">
      <c r="A44" s="92"/>
      <c r="C44" t="s">
        <v>731</v>
      </c>
      <c r="D44" t="s">
        <v>732</v>
      </c>
      <c r="F44" s="93"/>
      <c r="G44" s="92"/>
      <c r="H44" s="104">
        <v>1.1574074074074073E-5</v>
      </c>
      <c r="I44" s="104">
        <v>6.9444444444444447E-4</v>
      </c>
      <c r="J44" s="501" t="s">
        <v>696</v>
      </c>
      <c r="K44" s="501"/>
      <c r="L44" s="511"/>
    </row>
    <row r="45" spans="1:12">
      <c r="A45" s="92" t="s">
        <v>726</v>
      </c>
      <c r="B45">
        <v>5000</v>
      </c>
      <c r="C45" s="28">
        <v>3000</v>
      </c>
      <c r="D45" s="28">
        <v>2000</v>
      </c>
      <c r="F45" s="93"/>
      <c r="G45" s="502" t="s">
        <v>698</v>
      </c>
      <c r="H45" s="501"/>
      <c r="I45" s="501"/>
      <c r="J45">
        <v>60</v>
      </c>
      <c r="K45">
        <v>1000</v>
      </c>
      <c r="L45" s="93"/>
    </row>
    <row r="46" spans="1:12">
      <c r="A46" s="92" t="s">
        <v>727</v>
      </c>
      <c r="B46">
        <v>10000</v>
      </c>
      <c r="C46" s="28">
        <v>6000</v>
      </c>
      <c r="D46" s="28">
        <v>4000</v>
      </c>
      <c r="F46" s="93"/>
      <c r="G46" s="92" t="s">
        <v>686</v>
      </c>
      <c r="H46">
        <v>8000</v>
      </c>
      <c r="I46" s="104">
        <f>$H$38/H46*$I$44</f>
        <v>1.9965277777777776E-4</v>
      </c>
      <c r="K46" s="104">
        <f>H38*J45/K45*H44</f>
        <v>1.5972222222222221E-3</v>
      </c>
      <c r="L46" s="93"/>
    </row>
    <row r="47" spans="1:12">
      <c r="A47" s="92"/>
      <c r="F47" s="93"/>
      <c r="G47" s="92" t="s">
        <v>687</v>
      </c>
      <c r="H47">
        <v>10000</v>
      </c>
      <c r="I47" s="104">
        <f>$H$38/H47*$I$44</f>
        <v>1.5972222222222223E-4</v>
      </c>
      <c r="L47" s="93"/>
    </row>
    <row r="48" spans="1:12">
      <c r="A48" s="112">
        <v>6.9444444444444447E-4</v>
      </c>
      <c r="F48" s="93"/>
      <c r="G48" s="92" t="s">
        <v>688</v>
      </c>
      <c r="H48">
        <v>10000</v>
      </c>
      <c r="I48" s="104">
        <f>$H$38/H48*$I$44</f>
        <v>1.5972222222222223E-4</v>
      </c>
      <c r="J48" s="509" t="s">
        <v>694</v>
      </c>
      <c r="K48" s="509"/>
      <c r="L48" s="510"/>
    </row>
    <row r="49" spans="1:12">
      <c r="A49" s="92" t="s">
        <v>753</v>
      </c>
      <c r="B49" s="104">
        <f>B39/B42*A48</f>
        <v>2.0833333333333335E-4</v>
      </c>
      <c r="G49" s="92" t="s">
        <v>689</v>
      </c>
      <c r="H49">
        <v>10000</v>
      </c>
      <c r="I49" s="104">
        <f>$H$38/H49*$I$44</f>
        <v>1.5972222222222223E-4</v>
      </c>
      <c r="J49" s="106" t="s">
        <v>657</v>
      </c>
      <c r="K49" s="117">
        <f>I53*H37</f>
        <v>0.20978009259259256</v>
      </c>
      <c r="L49" s="108">
        <f>K49*$L$37*24</f>
        <v>427.9513888888888</v>
      </c>
    </row>
    <row r="50" spans="1:12">
      <c r="A50" s="92" t="s">
        <v>754</v>
      </c>
      <c r="B50" s="104">
        <f>C50*B37</f>
        <v>1.0416666666666667E-4</v>
      </c>
      <c r="C50" s="210">
        <v>1.0416666666666667E-4</v>
      </c>
      <c r="G50" s="92" t="s">
        <v>690</v>
      </c>
      <c r="H50">
        <v>5000</v>
      </c>
      <c r="I50" s="104">
        <f>$H$38/H50*$I$44</f>
        <v>3.1944444444444446E-4</v>
      </c>
      <c r="J50" s="106" t="s">
        <v>631</v>
      </c>
      <c r="K50" s="117">
        <v>8.3333333333333332E-3</v>
      </c>
      <c r="L50" s="108">
        <f>K50*$L$37*24</f>
        <v>17</v>
      </c>
    </row>
    <row r="51" spans="1:12">
      <c r="A51" s="92" t="s">
        <v>755</v>
      </c>
      <c r="B51" s="104">
        <v>3.4722222222222224E-4</v>
      </c>
      <c r="F51" s="93"/>
      <c r="G51" s="92" t="s">
        <v>691</v>
      </c>
      <c r="H51" s="104">
        <v>9.2592592592592585E-4</v>
      </c>
      <c r="I51" s="104">
        <f>H51*H39</f>
        <v>9.2592592592592585E-4</v>
      </c>
      <c r="J51" s="106"/>
      <c r="K51" s="106"/>
      <c r="L51" s="168"/>
    </row>
    <row r="52" spans="1:12">
      <c r="A52" s="92"/>
      <c r="B52" s="169">
        <f>SUM(B49:B51)</f>
        <v>6.5972222222222224E-4</v>
      </c>
      <c r="C52" s="106" t="s">
        <v>657</v>
      </c>
      <c r="D52" s="117">
        <f>B52*B38</f>
        <v>6.5972222222222224E-2</v>
      </c>
      <c r="E52" s="189">
        <f>D52*$F$37*24</f>
        <v>134.58333333333334</v>
      </c>
      <c r="F52" s="93"/>
      <c r="G52" s="92" t="s">
        <v>692</v>
      </c>
      <c r="H52" s="104"/>
      <c r="I52" s="104">
        <v>1.7361111111111112E-4</v>
      </c>
      <c r="J52" s="509" t="s">
        <v>695</v>
      </c>
      <c r="K52" s="509"/>
      <c r="L52" s="510"/>
    </row>
    <row r="53" spans="1:12">
      <c r="A53" s="92"/>
      <c r="C53" s="106" t="s">
        <v>631</v>
      </c>
      <c r="D53" s="117">
        <v>6.9444444444444441E-3</v>
      </c>
      <c r="E53" s="189">
        <f>D53*$F$37*24</f>
        <v>14.166666666666668</v>
      </c>
      <c r="F53" s="93"/>
      <c r="G53" s="92" t="s">
        <v>693</v>
      </c>
      <c r="I53" s="169">
        <f>SUM(I46:I52)</f>
        <v>2.0978009259259257E-3</v>
      </c>
      <c r="J53" s="106"/>
      <c r="K53" s="106" t="s">
        <v>696</v>
      </c>
      <c r="L53" s="168" t="s">
        <v>697</v>
      </c>
    </row>
    <row r="54" spans="1:12">
      <c r="A54" s="92"/>
      <c r="F54" s="93"/>
      <c r="G54" s="92"/>
      <c r="J54" s="106" t="s">
        <v>657</v>
      </c>
      <c r="K54" s="117">
        <f>K46*H37</f>
        <v>0.15972222222222221</v>
      </c>
      <c r="L54" s="170">
        <f>SUM(I49:I52)*H37</f>
        <v>0.15787037037037038</v>
      </c>
    </row>
    <row r="55" spans="1:12">
      <c r="A55" s="92"/>
      <c r="F55" s="93"/>
      <c r="G55" s="92"/>
      <c r="J55" s="106" t="s">
        <v>631</v>
      </c>
      <c r="K55" s="117">
        <v>2.0833333333333332E-2</v>
      </c>
      <c r="L55" s="181">
        <v>3.472222222222222E-3</v>
      </c>
    </row>
    <row r="56" spans="1:12">
      <c r="A56" s="92"/>
      <c r="F56" s="93"/>
      <c r="G56" s="92"/>
      <c r="L56" s="93"/>
    </row>
    <row r="57" spans="1:12">
      <c r="A57" s="92"/>
      <c r="F57" s="93"/>
      <c r="G57" s="92"/>
      <c r="L57" s="93"/>
    </row>
    <row r="58" spans="1:12">
      <c r="A58" s="92"/>
      <c r="F58" s="93"/>
      <c r="G58" s="92"/>
      <c r="L58" s="93"/>
    </row>
    <row r="59" spans="1:12">
      <c r="A59" s="92"/>
      <c r="F59" s="93"/>
      <c r="G59" s="92"/>
      <c r="L59" s="93"/>
    </row>
    <row r="60" spans="1:12">
      <c r="A60" s="92"/>
      <c r="F60" s="93"/>
      <c r="G60" s="92"/>
      <c r="L60" s="93"/>
    </row>
    <row r="61" spans="1:12">
      <c r="A61" s="92"/>
      <c r="F61" s="93"/>
      <c r="G61" s="92"/>
      <c r="L61" s="93"/>
    </row>
    <row r="62" spans="1:12">
      <c r="A62" s="92"/>
      <c r="F62" s="93"/>
      <c r="G62" s="92"/>
      <c r="L62" s="93"/>
    </row>
    <row r="63" spans="1:12">
      <c r="A63" s="92"/>
      <c r="F63" s="93"/>
      <c r="G63" s="92"/>
      <c r="L63" s="93"/>
    </row>
    <row r="64" spans="1:12">
      <c r="A64" s="92"/>
      <c r="F64" s="93"/>
      <c r="G64" s="92"/>
      <c r="L64" s="93"/>
    </row>
    <row r="65" spans="1:12">
      <c r="A65" s="92"/>
      <c r="F65" s="93"/>
      <c r="G65" s="92"/>
      <c r="L65" s="93"/>
    </row>
    <row r="66" spans="1:12" ht="15.75" thickBot="1">
      <c r="A66" s="94"/>
      <c r="B66" s="97"/>
      <c r="C66" s="97"/>
      <c r="D66" s="97"/>
      <c r="E66" s="97"/>
      <c r="F66" s="95"/>
      <c r="G66" s="94"/>
      <c r="H66" s="97"/>
      <c r="I66" s="97"/>
      <c r="J66" s="97"/>
      <c r="K66" s="97"/>
      <c r="L66" s="95"/>
    </row>
  </sheetData>
  <mergeCells count="12">
    <mergeCell ref="G26:L26"/>
    <mergeCell ref="M1:X1"/>
    <mergeCell ref="A1:F1"/>
    <mergeCell ref="A15:F15"/>
    <mergeCell ref="G1:L1"/>
    <mergeCell ref="A20:C20"/>
    <mergeCell ref="J48:L48"/>
    <mergeCell ref="J52:L52"/>
    <mergeCell ref="G45:I45"/>
    <mergeCell ref="A36:F36"/>
    <mergeCell ref="J44:L44"/>
    <mergeCell ref="G36:L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5">
    <tabColor rgb="FF0070C0"/>
  </sheetPr>
  <dimension ref="A1:AH46"/>
  <sheetViews>
    <sheetView workbookViewId="0">
      <selection activeCell="K32" sqref="K32"/>
    </sheetView>
  </sheetViews>
  <sheetFormatPr defaultRowHeight="15"/>
  <cols>
    <col min="1" max="1" width="16.28515625" customWidth="1"/>
    <col min="2" max="2" width="9.7109375" customWidth="1"/>
    <col min="3" max="3" width="8.85546875" customWidth="1"/>
    <col min="4" max="4" width="8.140625" customWidth="1"/>
    <col min="5" max="5" width="10.5703125" bestFit="1" customWidth="1"/>
    <col min="6" max="6" width="7.85546875" customWidth="1"/>
    <col min="7" max="7" width="11.42578125" customWidth="1"/>
    <col min="8" max="8" width="8.5703125" customWidth="1"/>
    <col min="9" max="9" width="14.140625" customWidth="1"/>
    <col min="10" max="10" width="9.42578125" customWidth="1"/>
    <col min="12" max="13" width="9.85546875" bestFit="1" customWidth="1"/>
    <col min="14" max="14" width="11.140625" customWidth="1"/>
    <col min="15" max="15" width="15.85546875" customWidth="1"/>
    <col min="16" max="16" width="12.85546875" customWidth="1"/>
    <col min="19" max="19" width="12" bestFit="1" customWidth="1"/>
    <col min="20" max="20" width="17.28515625" customWidth="1"/>
    <col min="22" max="22" width="11.28515625" bestFit="1" customWidth="1"/>
    <col min="26" max="26" width="21.7109375" customWidth="1"/>
    <col min="27" max="27" width="17" customWidth="1"/>
    <col min="28" max="28" width="14.7109375" customWidth="1"/>
    <col min="29" max="29" width="20.5703125" customWidth="1"/>
    <col min="34" max="34" width="11.7109375" customWidth="1"/>
  </cols>
  <sheetData>
    <row r="1" spans="1:34" ht="15.75" thickBot="1">
      <c r="A1" s="496" t="s">
        <v>702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6" t="s">
        <v>703</v>
      </c>
      <c r="Q1" s="497"/>
      <c r="R1" s="497"/>
      <c r="S1" s="497"/>
      <c r="T1" s="497"/>
      <c r="U1" s="497"/>
      <c r="V1" s="497"/>
      <c r="W1" s="497"/>
      <c r="X1" s="497"/>
      <c r="Y1" s="498"/>
      <c r="Z1" s="497" t="s">
        <v>704</v>
      </c>
      <c r="AA1" s="497"/>
      <c r="AB1" s="497"/>
      <c r="AC1" s="497"/>
      <c r="AD1" s="497"/>
      <c r="AE1" s="497"/>
      <c r="AF1" s="497"/>
      <c r="AG1" s="497"/>
      <c r="AH1" s="498"/>
    </row>
    <row r="2" spans="1:34">
      <c r="A2" t="s">
        <v>1</v>
      </c>
      <c r="B2" t="str">
        <f>VLOOKUP(KALKULATOR!B1,Materiały_zakupowe!A:AC,19,FALSE)</f>
        <v>VIVAK</v>
      </c>
      <c r="C2">
        <f>VLOOKUP(KALKULATOR!B1,Materiały_zakupowe!A:AC,25,FALSE)</f>
        <v>0</v>
      </c>
      <c r="O2" s="147"/>
      <c r="P2" t="s">
        <v>766</v>
      </c>
      <c r="Q2" s="28" t="str">
        <f>VLOOKUP(KALKULATOR!B1,Materiały_zakupowe!A:AD,20,FALSE)</f>
        <v>PET/VIVAK</v>
      </c>
      <c r="R2" s="28"/>
      <c r="W2" t="s">
        <v>475</v>
      </c>
      <c r="X2" t="s">
        <v>773</v>
      </c>
      <c r="Y2" s="147">
        <f>VLOOKUP(W2,Tabela13[[Maszyna]:[Stawka]],2,FALSE)</f>
        <v>35</v>
      </c>
      <c r="Z2" t="s">
        <v>746</v>
      </c>
      <c r="AA2">
        <f>KALKULATOR!D98</f>
        <v>1</v>
      </c>
      <c r="AF2" t="s">
        <v>477</v>
      </c>
      <c r="AG2" t="s">
        <v>773</v>
      </c>
      <c r="AH2" s="147">
        <f>VLOOKUP(AF2,Tabela13[[Maszyna]:[Stawka]],2,FALSE)</f>
        <v>55</v>
      </c>
    </row>
    <row r="3" spans="1:34">
      <c r="A3" t="s">
        <v>534</v>
      </c>
      <c r="B3" s="28">
        <f>VLOOKUP(KALKULATOR!B1,Materiały_zakupowe!A:AC,21,FALSE)</f>
        <v>3</v>
      </c>
      <c r="P3" t="s">
        <v>802</v>
      </c>
      <c r="Q3" s="28">
        <f>VLOOKUP(KALKULATOR!B1,Materiały_zakupowe!A:AD,21,FALSE)</f>
        <v>3</v>
      </c>
      <c r="R3" s="28"/>
      <c r="Z3" t="s">
        <v>881</v>
      </c>
      <c r="AA3">
        <f>KALKULATOR!I1/KALKULATOR!D98</f>
        <v>100</v>
      </c>
    </row>
    <row r="4" spans="1:34">
      <c r="A4" t="s">
        <v>722</v>
      </c>
      <c r="B4" t="s">
        <v>712</v>
      </c>
      <c r="C4">
        <f>IF(B4="metaliczne perłowe",1.2,1)</f>
        <v>1.2</v>
      </c>
      <c r="P4" t="s">
        <v>883</v>
      </c>
      <c r="Q4" s="28">
        <f>VLOOKUP(KALKULATOR!C98,A42:C46,3,FALSE)</f>
        <v>1000</v>
      </c>
      <c r="R4" s="28"/>
      <c r="AA4" t="str">
        <f>KALKULATOR!D101</f>
        <v>TACKI</v>
      </c>
    </row>
    <row r="5" spans="1:34">
      <c r="B5" s="27"/>
      <c r="P5" t="s">
        <v>705</v>
      </c>
      <c r="Q5" s="28">
        <f>KALKULATOR!D98</f>
        <v>1</v>
      </c>
      <c r="R5" s="28"/>
      <c r="AA5" t="s">
        <v>892</v>
      </c>
    </row>
    <row r="6" spans="1:34">
      <c r="A6" t="s">
        <v>705</v>
      </c>
      <c r="B6" s="218">
        <f>KALKULATOR!D98</f>
        <v>1</v>
      </c>
      <c r="P6" t="s">
        <v>898</v>
      </c>
      <c r="Q6" t="str">
        <f>KALKULATOR!D104</f>
        <v>UKŁADANIE I SORTOWANIE</v>
      </c>
      <c r="S6">
        <f>VLOOKUP(Q6,P16:Q17,2,FALSE)</f>
        <v>3</v>
      </c>
      <c r="Z6" t="s">
        <v>885</v>
      </c>
      <c r="AA6" s="26">
        <v>1.1574074074074073E-4</v>
      </c>
      <c r="AB6" s="26">
        <f>AA6*AA3</f>
        <v>1.1574074074074073E-2</v>
      </c>
    </row>
    <row r="7" spans="1:34">
      <c r="A7" t="s">
        <v>713</v>
      </c>
      <c r="B7" s="27">
        <f>KALKULATOR!I1/TERMO!B6</f>
        <v>100</v>
      </c>
      <c r="J7" s="106" t="s">
        <v>910</v>
      </c>
      <c r="K7" s="116">
        <f>VLOOKUP(L7,A34:O40,10,FALSE)</f>
        <v>0.30937499999999996</v>
      </c>
      <c r="L7" s="165">
        <f>MIN(A34:A40)</f>
        <v>572.24999999999989</v>
      </c>
      <c r="P7" t="s">
        <v>899</v>
      </c>
      <c r="Q7" t="str">
        <f>KALKULATOR!E104</f>
        <v>do 0,5m</v>
      </c>
      <c r="S7" s="26">
        <f>VLOOKUP(Q7,T15:U17,2,FALSE)</f>
        <v>5.7870370370370366E-5</v>
      </c>
      <c r="Z7" t="s">
        <v>886</v>
      </c>
      <c r="AA7" s="26">
        <v>4.6296296296296294E-5</v>
      </c>
      <c r="AB7" s="26">
        <f>AA7*AD8*AA3</f>
        <v>4.6296296296296294E-3</v>
      </c>
    </row>
    <row r="8" spans="1:34">
      <c r="A8" t="s">
        <v>706</v>
      </c>
      <c r="B8" t="str">
        <f>KALKULATOR!E98</f>
        <v>NIE</v>
      </c>
      <c r="J8" s="106" t="s">
        <v>911</v>
      </c>
      <c r="K8" s="116">
        <f>VLOOKUP(L7,A34:O40,11,FALSE)</f>
        <v>3.125E-2</v>
      </c>
      <c r="L8" s="189">
        <f>VLOOKUP(L7,A34:P40,15,FALSE)</f>
        <v>52.5</v>
      </c>
      <c r="P8" t="s">
        <v>905</v>
      </c>
      <c r="Q8">
        <f>KALKULATOR!I1/KALKULATOR!D98</f>
        <v>100</v>
      </c>
      <c r="U8" s="106" t="s">
        <v>657</v>
      </c>
      <c r="V8" s="117">
        <f>((Q4/1000)/Q9/1440)*Q8+U19*Q8+S7*Q8*S6*Q5</f>
        <v>3.4060846560846555E-2</v>
      </c>
      <c r="W8" s="189">
        <f>V8*24*$Y$2</f>
        <v>28.611111111111107</v>
      </c>
      <c r="Z8" t="s">
        <v>887</v>
      </c>
      <c r="AA8" s="26">
        <v>3.4722222222222222E-5</v>
      </c>
      <c r="AB8" s="26">
        <f>AA8*AD8*AA3</f>
        <v>3.472222222222222E-3</v>
      </c>
      <c r="AC8" t="s">
        <v>889</v>
      </c>
      <c r="AD8" s="27">
        <f>ROUNDUP(AA2/3,0)</f>
        <v>1</v>
      </c>
      <c r="AF8" s="106" t="s">
        <v>657</v>
      </c>
      <c r="AG8" s="116">
        <f>VLOOKUP(AA4,AA14:AB15,2,FALSE)</f>
        <v>7.6736111111111102E-2</v>
      </c>
      <c r="AH8" s="189">
        <f>AG8*24*$AH$2</f>
        <v>101.29166666666664</v>
      </c>
    </row>
    <row r="9" spans="1:34">
      <c r="A9" t="s">
        <v>707</v>
      </c>
      <c r="B9" t="str">
        <f>IF(C2="rolka","z roli",KALKULATOR!C98)</f>
        <v>750x1000</v>
      </c>
      <c r="P9" t="s">
        <v>628</v>
      </c>
      <c r="Q9">
        <f>VLOOKUP(Q2,P21:X28,MATCH(Q3,P21:X21),FALSE)*Q20</f>
        <v>5.25</v>
      </c>
      <c r="U9" s="106" t="s">
        <v>639</v>
      </c>
      <c r="V9" s="117">
        <v>6.9444444444444441E-3</v>
      </c>
      <c r="W9" s="189">
        <f>V9*24*$Y$2</f>
        <v>5.833333333333333</v>
      </c>
      <c r="Z9" t="s">
        <v>888</v>
      </c>
      <c r="AA9" s="26">
        <v>9.2592592592592588E-5</v>
      </c>
      <c r="AB9" s="26">
        <f>AA9*AA3</f>
        <v>9.2592592592592587E-3</v>
      </c>
      <c r="AF9" s="106" t="s">
        <v>639</v>
      </c>
      <c r="AG9" s="117">
        <v>2.0833333333333332E-2</v>
      </c>
      <c r="AH9" s="189">
        <f>AG9*24*$AH$2</f>
        <v>27.5</v>
      </c>
    </row>
    <row r="10" spans="1:34">
      <c r="A10" t="s">
        <v>709</v>
      </c>
      <c r="B10" s="27">
        <v>1.1499999999999999</v>
      </c>
      <c r="Z10" t="s">
        <v>890</v>
      </c>
      <c r="AA10" s="26">
        <v>4.6296296296296294E-5</v>
      </c>
      <c r="AB10" s="26">
        <f>AA10*AA3</f>
        <v>4.6296296296296294E-3</v>
      </c>
    </row>
    <row r="11" spans="1:34">
      <c r="Z11" t="s">
        <v>891</v>
      </c>
      <c r="AA11" s="26">
        <v>5.7870370370370366E-5</v>
      </c>
      <c r="AB11" s="26">
        <f>AA11*AA2*AA3</f>
        <v>5.7870370370370367E-3</v>
      </c>
    </row>
    <row r="14" spans="1:34">
      <c r="B14" s="27"/>
      <c r="C14" s="27"/>
      <c r="AA14" t="s">
        <v>884</v>
      </c>
      <c r="AB14" s="26">
        <f>1.5*1.3*SUM(AB6:AB11)</f>
        <v>7.6736111111111102E-2</v>
      </c>
    </row>
    <row r="15" spans="1:34">
      <c r="B15" s="27"/>
      <c r="C15" s="27"/>
      <c r="T15" t="s">
        <v>895</v>
      </c>
      <c r="U15" s="26">
        <v>5.7870370370370366E-5</v>
      </c>
      <c r="AA15" t="s">
        <v>568</v>
      </c>
      <c r="AB15" s="26">
        <f>1.5*SUM(AB6:AB11)</f>
        <v>5.9027777777777769E-2</v>
      </c>
    </row>
    <row r="16" spans="1:34">
      <c r="B16" s="27"/>
      <c r="C16" s="27"/>
      <c r="P16" t="s">
        <v>893</v>
      </c>
      <c r="Q16">
        <v>3</v>
      </c>
      <c r="T16" t="s">
        <v>896</v>
      </c>
      <c r="U16" s="26">
        <v>1.1574074074074073E-4</v>
      </c>
      <c r="AA16" t="s">
        <v>639</v>
      </c>
      <c r="AB16" s="104">
        <v>2.0833333333333332E-2</v>
      </c>
    </row>
    <row r="17" spans="1:24">
      <c r="B17" s="27"/>
      <c r="C17" s="27"/>
      <c r="P17" t="s">
        <v>894</v>
      </c>
      <c r="Q17">
        <v>5</v>
      </c>
      <c r="T17" t="s">
        <v>897</v>
      </c>
      <c r="U17" s="26">
        <v>1.7361111111111112E-4</v>
      </c>
    </row>
    <row r="18" spans="1:24">
      <c r="B18" s="27"/>
      <c r="C18" s="27"/>
    </row>
    <row r="19" spans="1:24">
      <c r="T19" t="s">
        <v>909</v>
      </c>
      <c r="U19" s="104">
        <v>3.4722222222222222E-5</v>
      </c>
    </row>
    <row r="20" spans="1:24">
      <c r="Q20" s="501">
        <v>3.5</v>
      </c>
      <c r="R20" s="501"/>
      <c r="S20" s="501"/>
      <c r="T20" s="501"/>
      <c r="U20" s="501"/>
      <c r="V20" s="501"/>
      <c r="W20" s="501"/>
      <c r="X20" s="501"/>
    </row>
    <row r="21" spans="1:24">
      <c r="A21" s="172" t="s">
        <v>539</v>
      </c>
      <c r="B21" s="180" t="s">
        <v>708</v>
      </c>
      <c r="C21" s="180" t="s">
        <v>252</v>
      </c>
      <c r="D21" s="180" t="s">
        <v>547</v>
      </c>
      <c r="E21" s="180" t="s">
        <v>594</v>
      </c>
      <c r="F21" s="180" t="s">
        <v>546</v>
      </c>
      <c r="G21" s="213"/>
      <c r="H21" s="224">
        <f>MIN(H34:H40)</f>
        <v>1</v>
      </c>
      <c r="I21" s="224"/>
      <c r="Q21" t="s">
        <v>1370</v>
      </c>
      <c r="S21">
        <v>1</v>
      </c>
      <c r="T21">
        <v>1.5</v>
      </c>
      <c r="U21">
        <v>2</v>
      </c>
      <c r="V21">
        <v>3</v>
      </c>
      <c r="W21">
        <v>4</v>
      </c>
      <c r="X21">
        <v>5</v>
      </c>
    </row>
    <row r="22" spans="1:24">
      <c r="A22" s="172">
        <v>0.3</v>
      </c>
      <c r="B22" s="171" t="s">
        <v>524</v>
      </c>
      <c r="C22" s="171" t="s">
        <v>524</v>
      </c>
      <c r="D22" s="171" t="s">
        <v>524</v>
      </c>
      <c r="E22" s="171" t="s">
        <v>524</v>
      </c>
      <c r="F22" s="171">
        <v>4.0509259259259258E-4</v>
      </c>
      <c r="G22" s="212"/>
      <c r="H22" s="212"/>
      <c r="I22" s="212"/>
      <c r="P22" t="s">
        <v>564</v>
      </c>
      <c r="Q22" s="28" t="s">
        <v>524</v>
      </c>
      <c r="R22" s="28"/>
      <c r="S22" s="28" t="s">
        <v>524</v>
      </c>
      <c r="T22" s="28" t="s">
        <v>524</v>
      </c>
      <c r="U22" s="28">
        <v>1</v>
      </c>
      <c r="V22" s="28">
        <v>1</v>
      </c>
      <c r="W22" s="28">
        <v>1.5</v>
      </c>
      <c r="X22" s="28">
        <v>2</v>
      </c>
    </row>
    <row r="23" spans="1:24">
      <c r="A23" s="172">
        <v>0.5</v>
      </c>
      <c r="B23" s="171" t="s">
        <v>524</v>
      </c>
      <c r="C23" s="171">
        <v>1.1574074074074073E-3</v>
      </c>
      <c r="D23" s="171">
        <v>7.5231481481481471E-4</v>
      </c>
      <c r="E23" s="460">
        <v>6.9444444444444447E-4</v>
      </c>
      <c r="F23" s="171">
        <v>6.9444444444444447E-4</v>
      </c>
      <c r="G23" s="212"/>
      <c r="H23" s="212"/>
      <c r="I23" s="212"/>
      <c r="P23" t="s">
        <v>152</v>
      </c>
      <c r="Q23" s="28">
        <v>0.33</v>
      </c>
      <c r="R23" s="28"/>
      <c r="S23" s="28">
        <v>1</v>
      </c>
      <c r="T23" s="28">
        <v>1</v>
      </c>
      <c r="U23" s="28">
        <v>1</v>
      </c>
      <c r="V23" s="28">
        <v>1</v>
      </c>
      <c r="W23" s="28">
        <v>1.5</v>
      </c>
      <c r="X23" s="28">
        <v>1.5</v>
      </c>
    </row>
    <row r="24" spans="1:24">
      <c r="A24" s="172">
        <v>0.8</v>
      </c>
      <c r="B24" s="171" t="s">
        <v>524</v>
      </c>
      <c r="C24" s="171">
        <v>1.5046296296296294E-3</v>
      </c>
      <c r="D24" s="171">
        <v>8.9120370370370362E-4</v>
      </c>
      <c r="E24" s="460">
        <v>8.3333333333333339E-4</v>
      </c>
      <c r="F24" s="171">
        <v>8.1018518518518516E-4</v>
      </c>
      <c r="G24" s="212"/>
      <c r="H24" s="212"/>
      <c r="I24" s="212"/>
      <c r="P24" t="s">
        <v>573</v>
      </c>
      <c r="Q24" s="28">
        <v>0.33</v>
      </c>
      <c r="R24" s="28"/>
      <c r="S24" s="28">
        <v>0.5</v>
      </c>
      <c r="T24" s="28">
        <v>1.5</v>
      </c>
      <c r="U24" s="28" t="s">
        <v>524</v>
      </c>
      <c r="V24" s="28" t="s">
        <v>524</v>
      </c>
      <c r="W24" s="28" t="s">
        <v>524</v>
      </c>
      <c r="X24" s="28" t="s">
        <v>524</v>
      </c>
    </row>
    <row r="25" spans="1:24">
      <c r="A25" s="172">
        <v>1</v>
      </c>
      <c r="B25" s="171" t="s">
        <v>524</v>
      </c>
      <c r="C25" s="171">
        <v>1.8518518518518517E-3</v>
      </c>
      <c r="D25" s="171">
        <v>1.0995370370370371E-3</v>
      </c>
      <c r="E25" s="171">
        <v>1.0416666666666667E-3</v>
      </c>
      <c r="F25" s="171">
        <v>1.0416666666666667E-3</v>
      </c>
      <c r="G25" s="212"/>
      <c r="H25" s="212"/>
      <c r="I25" s="212"/>
      <c r="P25" t="s">
        <v>595</v>
      </c>
      <c r="Q25" s="28">
        <v>0.33</v>
      </c>
      <c r="R25" s="28"/>
      <c r="S25" s="28">
        <v>0.5</v>
      </c>
      <c r="T25" s="28">
        <v>1.5</v>
      </c>
      <c r="U25" s="28">
        <v>1.5</v>
      </c>
      <c r="V25" s="28">
        <v>1.5</v>
      </c>
      <c r="W25" s="28" t="s">
        <v>524</v>
      </c>
      <c r="X25" s="28" t="s">
        <v>524</v>
      </c>
    </row>
    <row r="26" spans="1:24">
      <c r="A26" s="172">
        <v>1.5</v>
      </c>
      <c r="B26" s="171">
        <v>1.9097222222222222E-3</v>
      </c>
      <c r="C26" s="171">
        <v>2.4305555555555556E-3</v>
      </c>
      <c r="D26" s="171">
        <v>1.5624999999999999E-3</v>
      </c>
      <c r="E26" s="171">
        <v>1.2731481481481483E-3</v>
      </c>
      <c r="F26" s="171">
        <v>1.5624999999999999E-3</v>
      </c>
      <c r="G26" s="212"/>
      <c r="H26" s="212"/>
      <c r="I26" s="212"/>
      <c r="P26" t="s">
        <v>252</v>
      </c>
      <c r="Q26" s="28">
        <v>0.33</v>
      </c>
      <c r="R26" s="28"/>
      <c r="S26" s="28">
        <v>0.33</v>
      </c>
      <c r="T26" s="28">
        <v>1.5</v>
      </c>
      <c r="U26" s="28">
        <v>1.5</v>
      </c>
      <c r="V26" s="28">
        <v>1.5</v>
      </c>
      <c r="W26" s="28" t="s">
        <v>524</v>
      </c>
      <c r="X26" s="28" t="s">
        <v>524</v>
      </c>
    </row>
    <row r="27" spans="1:24">
      <c r="A27" s="172">
        <v>2</v>
      </c>
      <c r="B27" s="171">
        <v>2.0833333333333333E-3</v>
      </c>
      <c r="C27" s="171">
        <v>2.7777777777777779E-3</v>
      </c>
      <c r="D27" s="171">
        <v>2.2569444444444447E-3</v>
      </c>
      <c r="E27" s="171">
        <v>1.736111111111111E-3</v>
      </c>
      <c r="F27" s="171">
        <v>1.9097222222222222E-3</v>
      </c>
      <c r="G27" s="212"/>
      <c r="H27" s="212"/>
      <c r="I27" s="212"/>
      <c r="P27" t="s">
        <v>597</v>
      </c>
      <c r="Q27" s="28" t="s">
        <v>524</v>
      </c>
      <c r="R27" s="28"/>
      <c r="S27" s="28" t="s">
        <v>524</v>
      </c>
      <c r="T27" s="28" t="s">
        <v>524</v>
      </c>
      <c r="U27" s="28">
        <v>0.33</v>
      </c>
      <c r="V27" s="28">
        <v>0.33</v>
      </c>
      <c r="W27" s="28">
        <v>1.5</v>
      </c>
      <c r="X27" s="28">
        <v>1.5</v>
      </c>
    </row>
    <row r="28" spans="1:24">
      <c r="A28" s="172">
        <v>3</v>
      </c>
      <c r="B28" s="171">
        <v>3.9930555555555561E-3</v>
      </c>
      <c r="C28" s="171">
        <v>3.1828703703703702E-3</v>
      </c>
      <c r="D28" s="171" t="s">
        <v>524</v>
      </c>
      <c r="E28" s="171">
        <v>2.2569444444444447E-3</v>
      </c>
      <c r="F28" s="171">
        <v>2.1412037037037038E-3</v>
      </c>
      <c r="G28" s="212"/>
      <c r="H28" s="212"/>
      <c r="I28" s="212"/>
      <c r="P28" t="s">
        <v>596</v>
      </c>
      <c r="Q28" s="28" t="s">
        <v>524</v>
      </c>
      <c r="R28" s="28"/>
      <c r="S28" s="28" t="s">
        <v>524</v>
      </c>
      <c r="T28" s="28" t="s">
        <v>524</v>
      </c>
      <c r="U28" s="28">
        <v>0.66</v>
      </c>
      <c r="V28" s="28">
        <v>1</v>
      </c>
      <c r="W28" s="28">
        <v>1.5</v>
      </c>
      <c r="X28" s="28">
        <v>1.5</v>
      </c>
    </row>
    <row r="29" spans="1:24">
      <c r="A29" s="172">
        <v>4</v>
      </c>
      <c r="B29" s="171">
        <v>4.7222222222222223E-3</v>
      </c>
      <c r="C29" s="171">
        <v>3.645833333333333E-3</v>
      </c>
      <c r="D29" s="171" t="s">
        <v>524</v>
      </c>
      <c r="E29" s="171">
        <v>3.0671296296296297E-3</v>
      </c>
      <c r="F29" s="171">
        <v>2.6041666666666665E-3</v>
      </c>
      <c r="G29" s="212"/>
      <c r="H29" s="212"/>
      <c r="I29" s="212"/>
    </row>
    <row r="30" spans="1:24">
      <c r="A30" s="172">
        <v>5</v>
      </c>
      <c r="B30" s="171">
        <v>5.3819444444444453E-3</v>
      </c>
      <c r="C30" s="171">
        <v>4.6874999999999998E-3</v>
      </c>
      <c r="D30" s="171" t="s">
        <v>524</v>
      </c>
      <c r="E30" s="171">
        <v>3.9930555555555561E-3</v>
      </c>
      <c r="F30" s="171">
        <v>3.2986111111111111E-3</v>
      </c>
      <c r="G30" s="212"/>
      <c r="H30" s="212"/>
    </row>
    <row r="31" spans="1:24">
      <c r="J31" t="s">
        <v>710</v>
      </c>
      <c r="K31" s="26">
        <f>VLOOKUP(B3,A21:F30,MATCH(B2,A21:F21,0),FALSE)*B10*C4</f>
        <v>2.9548611111111108E-3</v>
      </c>
      <c r="L31" s="26"/>
    </row>
    <row r="33" spans="1:21" ht="15" customHeight="1">
      <c r="A33" s="176" t="s">
        <v>912</v>
      </c>
      <c r="C33" t="s">
        <v>721</v>
      </c>
      <c r="D33" s="126" t="s">
        <v>719</v>
      </c>
      <c r="E33" s="126" t="s">
        <v>720</v>
      </c>
      <c r="F33" t="s">
        <v>706</v>
      </c>
      <c r="G33" s="175"/>
      <c r="J33" t="s">
        <v>657</v>
      </c>
      <c r="K33" t="s">
        <v>639</v>
      </c>
      <c r="L33" t="s">
        <v>693</v>
      </c>
      <c r="M33" t="s">
        <v>667</v>
      </c>
    </row>
    <row r="34" spans="1:21" ht="51" customHeight="1">
      <c r="A34" s="26" t="str">
        <f>IFERROR(IF(VLOOKUP(I34,$R$34:$R$40,1,FALSE)=I34,L34*24*M34,"ograniczenie maszyny"),"ograniczenie maszyny")</f>
        <v>ograniczenie maszyny</v>
      </c>
      <c r="B34" s="176" t="s">
        <v>714</v>
      </c>
      <c r="C34" s="213" t="s">
        <v>913</v>
      </c>
      <c r="D34" s="212">
        <v>5.7870370370370366E-5</v>
      </c>
      <c r="E34" s="28">
        <v>1</v>
      </c>
      <c r="F34" s="211" t="s">
        <v>26</v>
      </c>
      <c r="G34" s="147"/>
      <c r="H34" s="223" t="str">
        <f>IF($B$9="z roli",IF($B$9=C34,1,""),IF(G34&gt;=$G$44,IF($B$8="NIE",1+MAX($H$33:H33),IF(F34="NIE","",1+MAX($H$33:H33))),""))</f>
        <v/>
      </c>
      <c r="I34" s="238" t="str">
        <f t="shared" ref="I34:I40" si="0">B34</f>
        <v>Z ROLI
SB 53,
TF 105</v>
      </c>
      <c r="J34" s="234">
        <f>($K$31*E34+D34)*$B$7</f>
        <v>0.30127314814814815</v>
      </c>
      <c r="K34" s="175">
        <v>2.0833333333333332E-2</v>
      </c>
      <c r="L34" s="175">
        <f>J34+K34</f>
        <v>0.32210648148148147</v>
      </c>
      <c r="M34" s="239">
        <v>80</v>
      </c>
      <c r="N34" s="239">
        <f>J34*$M34*24</f>
        <v>578.44444444444446</v>
      </c>
      <c r="O34" s="239">
        <f>K34*$M34*24</f>
        <v>40</v>
      </c>
      <c r="Q34">
        <v>1</v>
      </c>
      <c r="R34" t="str">
        <f t="shared" ref="R34:R40" si="1">IFERROR(VLOOKUP(Q34,$H$34:$I$40,2,FALSE),"")</f>
        <v>Z PŁYTY
TF 103,
TF 104</v>
      </c>
      <c r="S34" s="147"/>
    </row>
    <row r="35" spans="1:21" ht="45">
      <c r="A35" s="26">
        <f t="shared" ref="A35:A40" si="2">IFERROR(IF(VLOOKUP(I35,$R$34:$R$40,1,FALSE)=I35,L35*24*M35,"ograniczenie maszyny"),"ograniczenie maszyny")</f>
        <v>572.24999999999989</v>
      </c>
      <c r="B35" s="176" t="s">
        <v>715</v>
      </c>
      <c r="C35" s="213" t="s">
        <v>794</v>
      </c>
      <c r="D35" s="212">
        <v>1.3888888888888889E-4</v>
      </c>
      <c r="E35" s="28">
        <v>1</v>
      </c>
      <c r="F35" s="211" t="s">
        <v>25</v>
      </c>
      <c r="G35" s="225">
        <f t="shared" ref="G35:G40" si="3">LEFT(C35,SEARCH("x",C35)-1)*RIGHT(C35,LEN(C35)-SEARCH("x",C35))/(1000^2)</f>
        <v>0.75</v>
      </c>
      <c r="H35" s="223">
        <f>IF($B$9="z roli",IF($B$9=C35,1,""),IF(G35&gt;=$G$44,IF($B$8="NIE",1+MAX($H$33:H34),IF(F35="NIE","",1+MAX($H$33:H34))),""))</f>
        <v>1</v>
      </c>
      <c r="I35" s="238" t="str">
        <f t="shared" si="0"/>
        <v>Z PŁYTY
TF 103,
TF 104</v>
      </c>
      <c r="J35" s="234">
        <f t="shared" ref="J35:J40" si="4">($K$31*E35+D35)*$B$7</f>
        <v>0.30937499999999996</v>
      </c>
      <c r="K35" s="175">
        <v>3.125E-2</v>
      </c>
      <c r="L35" s="175">
        <f t="shared" ref="L35:L40" si="5">J35+K35</f>
        <v>0.34062499999999996</v>
      </c>
      <c r="M35" s="239">
        <v>70</v>
      </c>
      <c r="N35" s="239">
        <f t="shared" ref="N35:O39" si="6">J35*$M35*24</f>
        <v>519.74999999999989</v>
      </c>
      <c r="O35" s="239">
        <f t="shared" si="6"/>
        <v>52.5</v>
      </c>
      <c r="Q35">
        <v>2</v>
      </c>
      <c r="R35" t="str">
        <f t="shared" si="1"/>
        <v>Z PŁYTY
TF 102</v>
      </c>
      <c r="S35" s="147"/>
    </row>
    <row r="36" spans="1:21" ht="30">
      <c r="A36" s="26">
        <f t="shared" si="2"/>
        <v>671.53333333333319</v>
      </c>
      <c r="B36" s="176" t="s">
        <v>793</v>
      </c>
      <c r="C36" s="213" t="s">
        <v>794</v>
      </c>
      <c r="D36" s="212">
        <v>1.3888888888888889E-4</v>
      </c>
      <c r="E36" s="28">
        <v>1.2</v>
      </c>
      <c r="F36" s="211" t="s">
        <v>26</v>
      </c>
      <c r="G36" s="225">
        <f t="shared" si="3"/>
        <v>0.75</v>
      </c>
      <c r="H36" s="223">
        <f>IF($B$9="z roli",IF($B$9=C36,1,""),IF(G36&gt;=$G$44,IF($B$8="NIE",1+MAX($H$33:H35),IF(F36="NIE","",1+MAX($H$33:H35))),""))</f>
        <v>2</v>
      </c>
      <c r="I36" s="238" t="str">
        <f t="shared" si="0"/>
        <v>Z PŁYTY
TF 102</v>
      </c>
      <c r="J36" s="234">
        <f t="shared" si="4"/>
        <v>0.36847222222222215</v>
      </c>
      <c r="K36" s="175">
        <v>3.125E-2</v>
      </c>
      <c r="L36" s="175">
        <f t="shared" si="5"/>
        <v>0.39972222222222215</v>
      </c>
      <c r="M36" s="239">
        <v>70</v>
      </c>
      <c r="N36" s="239">
        <f t="shared" si="6"/>
        <v>619.03333333333319</v>
      </c>
      <c r="O36" s="239">
        <f t="shared" si="6"/>
        <v>52.5</v>
      </c>
      <c r="Q36">
        <v>3</v>
      </c>
      <c r="R36" t="str">
        <f t="shared" si="1"/>
        <v>Z PŁYTY
TF 1</v>
      </c>
      <c r="S36" s="147"/>
    </row>
    <row r="37" spans="1:21" ht="30">
      <c r="A37" s="224">
        <f t="shared" si="2"/>
        <v>671.53333333333319</v>
      </c>
      <c r="B37" s="176" t="s">
        <v>792</v>
      </c>
      <c r="C37" s="213" t="s">
        <v>795</v>
      </c>
      <c r="D37" s="212">
        <v>1.3888888888888889E-4</v>
      </c>
      <c r="E37" s="28">
        <v>1.2</v>
      </c>
      <c r="F37" s="211" t="s">
        <v>26</v>
      </c>
      <c r="G37" s="225">
        <f t="shared" si="3"/>
        <v>1</v>
      </c>
      <c r="H37" s="223">
        <f>IF($B$9="z roli",IF($B$9=C37,1,""),IF(G37&gt;=$G$44,IF($B$8="NIE",1+MAX($H$33:H36),IF(F37="NIE","",1+MAX($H$33:H36))),""))</f>
        <v>3</v>
      </c>
      <c r="I37" s="238" t="str">
        <f t="shared" si="0"/>
        <v>Z PŁYTY
TF 1</v>
      </c>
      <c r="J37" s="234">
        <f t="shared" si="4"/>
        <v>0.36847222222222215</v>
      </c>
      <c r="K37" s="175">
        <v>3.125E-2</v>
      </c>
      <c r="L37" s="175">
        <f>J37+K37</f>
        <v>0.39972222222222215</v>
      </c>
      <c r="M37" s="239">
        <v>70</v>
      </c>
      <c r="N37" s="239">
        <f t="shared" si="6"/>
        <v>619.03333333333319</v>
      </c>
      <c r="O37" s="239">
        <f t="shared" si="6"/>
        <v>52.5</v>
      </c>
      <c r="Q37">
        <v>4</v>
      </c>
      <c r="R37" t="str">
        <f t="shared" si="1"/>
        <v>Z PŁYTY
TF 12G
2 PIECE</v>
      </c>
      <c r="S37" s="147"/>
    </row>
    <row r="38" spans="1:21" ht="45">
      <c r="A38" s="224">
        <f t="shared" si="2"/>
        <v>589.74999999999989</v>
      </c>
      <c r="B38" s="176" t="s">
        <v>717</v>
      </c>
      <c r="C38" s="213" t="s">
        <v>795</v>
      </c>
      <c r="D38" s="212">
        <v>1.3888888888888889E-4</v>
      </c>
      <c r="E38" s="28">
        <v>1</v>
      </c>
      <c r="F38" s="211" t="s">
        <v>26</v>
      </c>
      <c r="G38" s="225">
        <f t="shared" si="3"/>
        <v>1</v>
      </c>
      <c r="H38" s="223">
        <f>IF($B$9="z roli",IF($B$9=C38,1,""),IF(G38&gt;=$G$44,IF($B$8="NIE",1+MAX($H$33:H37),IF(F38="NIE","",1+MAX($H$33:H37))),""))</f>
        <v>4</v>
      </c>
      <c r="I38" s="238" t="str">
        <f t="shared" si="0"/>
        <v>Z PŁYTY
TF 12G
2 PIECE</v>
      </c>
      <c r="J38" s="234">
        <f t="shared" si="4"/>
        <v>0.30937499999999996</v>
      </c>
      <c r="K38" s="175">
        <v>4.1666666666666664E-2</v>
      </c>
      <c r="L38" s="175">
        <f t="shared" si="5"/>
        <v>0.35104166666666664</v>
      </c>
      <c r="M38" s="239">
        <v>70</v>
      </c>
      <c r="N38" s="239">
        <f t="shared" si="6"/>
        <v>519.74999999999989</v>
      </c>
      <c r="O38" s="239">
        <f t="shared" si="6"/>
        <v>70</v>
      </c>
      <c r="Q38">
        <v>5</v>
      </c>
      <c r="R38" t="str">
        <f t="shared" si="1"/>
        <v>Z PŁYTY
TF 15</v>
      </c>
      <c r="S38" s="147"/>
      <c r="U38" t="str">
        <f t="shared" ref="U38:U40" si="7">R38</f>
        <v>Z PŁYTY
TF 15</v>
      </c>
    </row>
    <row r="39" spans="1:21" ht="30">
      <c r="A39" s="224">
        <f t="shared" si="2"/>
        <v>731.49111111111108</v>
      </c>
      <c r="B39" s="176" t="s">
        <v>716</v>
      </c>
      <c r="C39" s="213" t="s">
        <v>796</v>
      </c>
      <c r="D39" s="212">
        <v>2.3148148148148146E-4</v>
      </c>
      <c r="E39" s="28">
        <v>1.07</v>
      </c>
      <c r="F39" s="211" t="s">
        <v>26</v>
      </c>
      <c r="G39" s="225">
        <f t="shared" si="3"/>
        <v>1.5</v>
      </c>
      <c r="H39" s="223">
        <f>IF($B$9="z roli",IF($B$9=C39,1,""),IF(G39&gt;=$G$44,IF($B$8="NIE",1+MAX($H$33:H38),IF(F39="NIE","",1+MAX($H$33:H38))),""))</f>
        <v>5</v>
      </c>
      <c r="I39" s="238" t="str">
        <f t="shared" si="0"/>
        <v>Z PŁYTY
TF 15</v>
      </c>
      <c r="J39" s="234">
        <f t="shared" si="4"/>
        <v>0.33931828703703704</v>
      </c>
      <c r="K39" s="175">
        <v>4.1666666666666664E-2</v>
      </c>
      <c r="L39" s="175">
        <f t="shared" si="5"/>
        <v>0.38098495370370372</v>
      </c>
      <c r="M39" s="239">
        <v>80</v>
      </c>
      <c r="N39" s="239">
        <f t="shared" si="6"/>
        <v>651.49111111111108</v>
      </c>
      <c r="O39" s="239">
        <f t="shared" si="6"/>
        <v>80</v>
      </c>
      <c r="Q39">
        <v>6</v>
      </c>
      <c r="R39" t="str">
        <f t="shared" si="1"/>
        <v>Z PŁYTY
TF 25G
2 PIECE</v>
      </c>
      <c r="S39" s="147"/>
      <c r="U39" t="str">
        <f t="shared" si="7"/>
        <v>Z PŁYTY
TF 25G
2 PIECE</v>
      </c>
    </row>
    <row r="40" spans="1:21" ht="45">
      <c r="A40" s="224">
        <f t="shared" si="2"/>
        <v>1786.4999999999998</v>
      </c>
      <c r="B40" s="176" t="s">
        <v>718</v>
      </c>
      <c r="C40" s="213" t="s">
        <v>797</v>
      </c>
      <c r="D40" s="212">
        <v>3.4722222222222224E-4</v>
      </c>
      <c r="E40" s="28">
        <v>1</v>
      </c>
      <c r="F40" s="211" t="s">
        <v>26</v>
      </c>
      <c r="G40" s="225">
        <f t="shared" si="3"/>
        <v>3.75</v>
      </c>
      <c r="H40" s="223">
        <f>IF($B$9="z roli",IF($B$9=C40,1,""),IF(G40&gt;=$G$44,IF($B$8="NIE",1+MAX($H$33:H39),IF(F40="NIE","",1+MAX($H$33:H39))),""))</f>
        <v>6</v>
      </c>
      <c r="I40" s="238" t="str">
        <f t="shared" si="0"/>
        <v>Z PŁYTY
TF 25G
2 PIECE</v>
      </c>
      <c r="J40" s="234">
        <f t="shared" si="4"/>
        <v>0.33020833333333333</v>
      </c>
      <c r="K40" s="175">
        <v>8.3333333333333329E-2</v>
      </c>
      <c r="L40" s="175">
        <f t="shared" si="5"/>
        <v>0.41354166666666664</v>
      </c>
      <c r="M40" s="239">
        <v>180</v>
      </c>
      <c r="N40" s="239">
        <f t="shared" ref="N40" si="8">J40*$M40*24</f>
        <v>1426.5</v>
      </c>
      <c r="O40" s="239">
        <f t="shared" ref="O40" si="9">K40*$M40*24</f>
        <v>360</v>
      </c>
      <c r="Q40">
        <v>7</v>
      </c>
      <c r="R40" t="str">
        <f t="shared" si="1"/>
        <v/>
      </c>
      <c r="S40" s="147"/>
      <c r="U40" t="str">
        <f t="shared" si="7"/>
        <v/>
      </c>
    </row>
    <row r="41" spans="1:21">
      <c r="J41" s="223"/>
    </row>
    <row r="42" spans="1:21">
      <c r="A42" s="176" t="s">
        <v>801</v>
      </c>
      <c r="B42">
        <v>700</v>
      </c>
      <c r="C42">
        <v>700</v>
      </c>
    </row>
    <row r="43" spans="1:21">
      <c r="A43" t="s">
        <v>794</v>
      </c>
      <c r="B43" t="s">
        <v>794</v>
      </c>
      <c r="C43">
        <v>1000</v>
      </c>
    </row>
    <row r="44" spans="1:21">
      <c r="A44" t="s">
        <v>795</v>
      </c>
      <c r="B44" t="s">
        <v>795</v>
      </c>
      <c r="C44">
        <v>1000</v>
      </c>
      <c r="G44" s="225">
        <f>LEFT(B9,SEARCH("x",B9)-1)*RIGHT(B9,LEN(B9)-SEARCH("x",B9))/(1000^2)</f>
        <v>0.75</v>
      </c>
    </row>
    <row r="45" spans="1:21">
      <c r="A45" t="s">
        <v>796</v>
      </c>
      <c r="B45" t="s">
        <v>796</v>
      </c>
      <c r="C45">
        <v>1500</v>
      </c>
    </row>
    <row r="46" spans="1:21">
      <c r="A46" t="s">
        <v>797</v>
      </c>
      <c r="B46" t="s">
        <v>797</v>
      </c>
      <c r="C46">
        <v>2500</v>
      </c>
    </row>
  </sheetData>
  <dataConsolidate/>
  <mergeCells count="4">
    <mergeCell ref="A1:O1"/>
    <mergeCell ref="P1:Y1"/>
    <mergeCell ref="Z1:AH1"/>
    <mergeCell ref="Q20:X2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6">
    <tabColor rgb="FF0070C0"/>
  </sheetPr>
  <dimension ref="A1:AF137"/>
  <sheetViews>
    <sheetView workbookViewId="0">
      <selection activeCell="D9" sqref="D9"/>
    </sheetView>
  </sheetViews>
  <sheetFormatPr defaultRowHeight="15"/>
  <cols>
    <col min="1" max="1" width="23.28515625" customWidth="1"/>
    <col min="2" max="2" width="18.85546875" customWidth="1"/>
    <col min="7" max="7" width="9.85546875" bestFit="1" customWidth="1"/>
    <col min="8" max="8" width="9.85546875" customWidth="1"/>
    <col min="10" max="10" width="16.42578125" customWidth="1"/>
    <col min="11" max="11" width="11.140625" customWidth="1"/>
    <col min="24" max="24" width="20.5703125" bestFit="1" customWidth="1"/>
    <col min="25" max="25" width="24.140625" customWidth="1"/>
  </cols>
  <sheetData>
    <row r="1" spans="1:18" ht="15.75" thickBot="1">
      <c r="A1" s="496" t="s">
        <v>812</v>
      </c>
      <c r="B1" s="497"/>
      <c r="C1" s="497"/>
      <c r="D1" s="497"/>
      <c r="E1" s="497"/>
      <c r="F1" s="497"/>
      <c r="G1" s="497"/>
      <c r="H1" s="497"/>
      <c r="I1" s="498"/>
      <c r="J1" s="496" t="s">
        <v>823</v>
      </c>
      <c r="K1" s="497"/>
      <c r="L1" s="497"/>
      <c r="M1" s="497"/>
      <c r="N1" s="497"/>
      <c r="O1" s="497"/>
      <c r="P1" s="497"/>
      <c r="Q1" s="497"/>
      <c r="R1" s="498"/>
    </row>
    <row r="2" spans="1:18">
      <c r="A2" s="92" t="s">
        <v>1</v>
      </c>
      <c r="B2" t="str">
        <f>VLOOKUP(KALKULATOR!B1,Materiały_zakupowe!A:AD,5,FALSE)</f>
        <v>VIVAK/PET/TUPET/AXPET</v>
      </c>
      <c r="F2" t="s">
        <v>422</v>
      </c>
      <c r="G2" t="s">
        <v>665</v>
      </c>
      <c r="H2" s="216">
        <f>VLOOKUP(F2,Tabela13[[Maszyna]:[Stawka]],2,FALSE)</f>
        <v>35</v>
      </c>
      <c r="I2" s="93"/>
      <c r="J2" s="92" t="s">
        <v>811</v>
      </c>
      <c r="K2" t="str">
        <f>KALKULATOR!C112</f>
        <v>WYTŁOCZKA</v>
      </c>
      <c r="O2" t="s">
        <v>434</v>
      </c>
      <c r="P2" t="s">
        <v>847</v>
      </c>
      <c r="Q2" s="216">
        <f>VLOOKUP(O2,Tabela13[[Maszyna]:[Stawka]],2,FALSE)</f>
        <v>35</v>
      </c>
      <c r="R2" s="93"/>
    </row>
    <row r="3" spans="1:18">
      <c r="A3" s="92" t="s">
        <v>643</v>
      </c>
      <c r="B3">
        <f>KALKULATOR!I1/KALKULATOR!D108</f>
        <v>100</v>
      </c>
      <c r="I3" s="93"/>
      <c r="J3" s="92" t="s">
        <v>842</v>
      </c>
      <c r="K3">
        <f>KALKULATOR!E112</f>
        <v>200</v>
      </c>
      <c r="L3" s="104">
        <v>6.9444444444444447E-4</v>
      </c>
      <c r="R3" s="93"/>
    </row>
    <row r="4" spans="1:18">
      <c r="A4" s="92" t="s">
        <v>817</v>
      </c>
      <c r="B4">
        <f>KALKULATOR!E108</f>
        <v>250</v>
      </c>
      <c r="I4" s="93"/>
      <c r="J4" s="92" t="s">
        <v>660</v>
      </c>
      <c r="K4">
        <f>KALKULATOR!I1/KALKULATOR!D112</f>
        <v>100</v>
      </c>
      <c r="R4" s="93"/>
    </row>
    <row r="5" spans="1:18">
      <c r="A5" s="92" t="s">
        <v>818</v>
      </c>
      <c r="B5" t="str">
        <f>KALKULATOR!C108</f>
        <v>WYTŁOCZKA OBRÓBKA NIEPROSTOLINIOWA</v>
      </c>
      <c r="C5" s="104">
        <v>6.9444444444444447E-4</v>
      </c>
      <c r="E5" t="s">
        <v>816</v>
      </c>
      <c r="I5" s="93"/>
      <c r="J5" s="92"/>
      <c r="R5" s="93"/>
    </row>
    <row r="6" spans="1:18">
      <c r="A6" s="92"/>
      <c r="I6" s="93"/>
      <c r="J6" s="92"/>
      <c r="R6" s="93"/>
    </row>
    <row r="7" spans="1:18">
      <c r="A7" s="92"/>
      <c r="I7" s="93"/>
      <c r="J7" s="92" t="s">
        <v>843</v>
      </c>
      <c r="K7">
        <f>VLOOKUP(K2,J15:K17,2,FALSE)</f>
        <v>1000</v>
      </c>
      <c r="R7" s="93"/>
    </row>
    <row r="8" spans="1:18">
      <c r="A8" s="92" t="s">
        <v>636</v>
      </c>
      <c r="B8">
        <f>VLOOKUP(B2,A15:E20,MATCH(B5,A15:E15,0),FALSE)</f>
        <v>550</v>
      </c>
      <c r="E8" s="106" t="s">
        <v>657</v>
      </c>
      <c r="F8" s="215">
        <f>B12*B3</f>
        <v>6.6287878787878798E-2</v>
      </c>
      <c r="G8" s="189">
        <f>F8*24*$H$2</f>
        <v>55.681818181818194</v>
      </c>
      <c r="H8" s="189"/>
      <c r="I8" s="93"/>
      <c r="J8" s="92" t="s">
        <v>846</v>
      </c>
      <c r="K8" s="104">
        <v>1.1574074074074073E-4</v>
      </c>
      <c r="N8" s="106" t="s">
        <v>657</v>
      </c>
      <c r="O8" s="215">
        <f>K12*K4</f>
        <v>3.125E-2</v>
      </c>
      <c r="P8" s="189">
        <f>O8*24*$Q$2</f>
        <v>26.25</v>
      </c>
      <c r="Q8" s="189"/>
      <c r="R8" s="93"/>
    </row>
    <row r="9" spans="1:18">
      <c r="A9" s="92"/>
      <c r="E9" s="106" t="s">
        <v>631</v>
      </c>
      <c r="F9" s="117">
        <v>1.0416666666666666E-2</v>
      </c>
      <c r="G9" s="189">
        <f>F9*24*$H$2</f>
        <v>8.75</v>
      </c>
      <c r="H9" s="189"/>
      <c r="I9" s="93"/>
      <c r="J9" s="92"/>
      <c r="N9" s="106" t="s">
        <v>631</v>
      </c>
      <c r="O9" s="117">
        <v>1.0416666666666666E-2</v>
      </c>
      <c r="P9" s="189">
        <f>O9*24*$Q$2</f>
        <v>8.75</v>
      </c>
      <c r="Q9" s="189"/>
      <c r="R9" s="93"/>
    </row>
    <row r="10" spans="1:18">
      <c r="A10" s="92" t="s">
        <v>845</v>
      </c>
      <c r="B10" s="104">
        <f>B4/B8*C5</f>
        <v>3.1565656565656568E-4</v>
      </c>
      <c r="I10" s="93"/>
      <c r="J10" s="92" t="s">
        <v>844</v>
      </c>
      <c r="K10" s="104">
        <f>IF(K3/K7*L3&lt;K8,K8,K3/K7*L3)</f>
        <v>1.3888888888888889E-4</v>
      </c>
      <c r="R10" s="93"/>
    </row>
    <row r="11" spans="1:18">
      <c r="A11" s="92" t="s">
        <v>819</v>
      </c>
      <c r="B11" s="104">
        <f>HLOOKUP(B5,B15:E21,7,FALSE)</f>
        <v>3.4722222222222224E-4</v>
      </c>
      <c r="I11" s="93"/>
      <c r="J11" s="92" t="s">
        <v>692</v>
      </c>
      <c r="K11" s="26">
        <f>VLOOKUP(K2,J15:L17,3,FALSE)</f>
        <v>1.7361111111111112E-4</v>
      </c>
      <c r="R11" s="93"/>
    </row>
    <row r="12" spans="1:18">
      <c r="A12" s="92" t="s">
        <v>693</v>
      </c>
      <c r="B12" s="169">
        <f>SUM(B10:B11)</f>
        <v>6.6287878787878792E-4</v>
      </c>
      <c r="I12" s="93"/>
      <c r="J12" s="92" t="s">
        <v>650</v>
      </c>
      <c r="K12" s="169">
        <f>SUM(K10:K11)</f>
        <v>3.1250000000000001E-4</v>
      </c>
      <c r="R12" s="93"/>
    </row>
    <row r="13" spans="1:18">
      <c r="A13" s="92"/>
      <c r="I13" s="93"/>
      <c r="J13" s="92"/>
      <c r="R13" s="93"/>
    </row>
    <row r="14" spans="1:18">
      <c r="A14" s="92"/>
      <c r="I14" s="93"/>
      <c r="J14" s="92"/>
      <c r="R14" s="93"/>
    </row>
    <row r="15" spans="1:18">
      <c r="A15" s="92" t="s">
        <v>23</v>
      </c>
      <c r="B15" t="s">
        <v>813</v>
      </c>
      <c r="C15" t="s">
        <v>814</v>
      </c>
      <c r="D15" t="s">
        <v>815</v>
      </c>
      <c r="E15" t="s">
        <v>816</v>
      </c>
      <c r="I15" s="93"/>
      <c r="J15" s="92" t="s">
        <v>820</v>
      </c>
      <c r="K15">
        <v>1000</v>
      </c>
      <c r="L15" s="104">
        <v>1.7361111111111112E-4</v>
      </c>
      <c r="R15" s="93"/>
    </row>
    <row r="16" spans="1:18">
      <c r="A16" s="92" t="s">
        <v>591</v>
      </c>
      <c r="B16" s="28">
        <v>950</v>
      </c>
      <c r="C16" s="28">
        <v>850</v>
      </c>
      <c r="D16" s="28">
        <v>470</v>
      </c>
      <c r="E16" s="28">
        <v>400</v>
      </c>
      <c r="I16" s="93"/>
      <c r="J16" s="92" t="s">
        <v>821</v>
      </c>
      <c r="K16">
        <v>1000</v>
      </c>
      <c r="L16" s="104">
        <v>6.9444444444444444E-5</v>
      </c>
      <c r="R16" s="93"/>
    </row>
    <row r="17" spans="1:18">
      <c r="A17" s="92" t="s">
        <v>252</v>
      </c>
      <c r="B17" s="28">
        <v>900</v>
      </c>
      <c r="C17" s="28">
        <v>900</v>
      </c>
      <c r="D17" s="28">
        <v>450</v>
      </c>
      <c r="E17" s="28">
        <v>450</v>
      </c>
      <c r="I17" s="93"/>
      <c r="J17" s="92" t="s">
        <v>822</v>
      </c>
      <c r="K17">
        <v>2000</v>
      </c>
      <c r="L17" s="104">
        <v>6.9444444444444444E-5</v>
      </c>
      <c r="R17" s="93"/>
    </row>
    <row r="18" spans="1:18">
      <c r="A18" s="92" t="s">
        <v>593</v>
      </c>
      <c r="B18" s="28">
        <v>1100</v>
      </c>
      <c r="C18" s="28">
        <v>1000</v>
      </c>
      <c r="D18" s="28">
        <v>550</v>
      </c>
      <c r="E18" s="28">
        <v>500</v>
      </c>
      <c r="I18" s="93"/>
      <c r="J18" s="92"/>
      <c r="R18" s="93"/>
    </row>
    <row r="19" spans="1:18">
      <c r="A19" s="92" t="s">
        <v>70</v>
      </c>
      <c r="B19" s="28">
        <v>1200</v>
      </c>
      <c r="C19" s="28">
        <v>1100</v>
      </c>
      <c r="D19" s="28">
        <v>600</v>
      </c>
      <c r="E19" s="28">
        <v>550</v>
      </c>
      <c r="I19" s="93"/>
      <c r="J19" s="92"/>
      <c r="R19" s="93"/>
    </row>
    <row r="20" spans="1:18">
      <c r="A20" s="92" t="s">
        <v>152</v>
      </c>
      <c r="B20" s="28">
        <v>1100</v>
      </c>
      <c r="C20" s="28">
        <v>1000</v>
      </c>
      <c r="D20" s="28">
        <v>550</v>
      </c>
      <c r="E20" s="28">
        <v>500</v>
      </c>
      <c r="I20" s="93"/>
      <c r="J20" s="92"/>
      <c r="R20" s="93"/>
    </row>
    <row r="21" spans="1:18">
      <c r="A21" s="92"/>
      <c r="B21" s="104">
        <v>2.3148148148148146E-4</v>
      </c>
      <c r="C21" s="104">
        <v>3.4722222222222224E-4</v>
      </c>
      <c r="D21" s="104">
        <v>2.3148148148148146E-4</v>
      </c>
      <c r="E21" s="104">
        <v>3.4722222222222224E-4</v>
      </c>
      <c r="I21" s="93"/>
      <c r="J21" s="92"/>
      <c r="R21" s="93"/>
    </row>
    <row r="22" spans="1:18">
      <c r="A22" s="92"/>
      <c r="I22" s="93"/>
      <c r="J22" s="92"/>
      <c r="R22" s="93"/>
    </row>
    <row r="23" spans="1:18">
      <c r="A23" s="92"/>
      <c r="I23" s="93"/>
      <c r="J23" s="92"/>
      <c r="R23" s="93"/>
    </row>
    <row r="24" spans="1:18">
      <c r="A24" s="92"/>
      <c r="I24" s="93"/>
      <c r="J24" s="92"/>
      <c r="R24" s="93"/>
    </row>
    <row r="25" spans="1:18">
      <c r="A25" s="92"/>
      <c r="I25" s="93"/>
      <c r="J25" s="92"/>
      <c r="R25" s="93"/>
    </row>
    <row r="26" spans="1:18">
      <c r="A26" s="92"/>
      <c r="I26" s="93"/>
      <c r="J26" s="92"/>
      <c r="R26" s="93"/>
    </row>
    <row r="27" spans="1:18">
      <c r="A27" s="92"/>
      <c r="I27" s="93"/>
      <c r="J27" s="92"/>
      <c r="R27" s="93"/>
    </row>
    <row r="28" spans="1:18" ht="15.75" thickBot="1">
      <c r="A28" s="94"/>
      <c r="B28" s="97"/>
      <c r="C28" s="97"/>
      <c r="D28" s="97"/>
      <c r="E28" s="97"/>
      <c r="F28" s="97"/>
      <c r="G28" s="97"/>
      <c r="H28" s="97"/>
      <c r="I28" s="95"/>
      <c r="J28" s="94"/>
      <c r="K28" s="97"/>
      <c r="L28" s="97"/>
      <c r="M28" s="97"/>
      <c r="N28" s="97"/>
      <c r="O28" s="97"/>
      <c r="P28" s="97"/>
      <c r="Q28" s="97"/>
      <c r="R28" s="95"/>
    </row>
    <row r="29" spans="1:18" ht="15.75" thickBot="1">
      <c r="A29" s="496" t="s">
        <v>839</v>
      </c>
      <c r="B29" s="497"/>
      <c r="C29" s="497"/>
      <c r="D29" s="497"/>
      <c r="E29" s="497"/>
      <c r="F29" s="497"/>
      <c r="G29" s="497"/>
      <c r="H29" s="497"/>
      <c r="I29" s="498"/>
      <c r="J29" s="496" t="s">
        <v>848</v>
      </c>
      <c r="K29" s="497"/>
      <c r="L29" s="497"/>
      <c r="M29" s="497"/>
      <c r="N29" s="497"/>
      <c r="O29" s="497"/>
      <c r="P29" s="497"/>
      <c r="Q29" s="497"/>
      <c r="R29" s="498"/>
    </row>
    <row r="30" spans="1:18">
      <c r="A30" t="s">
        <v>879</v>
      </c>
      <c r="B30">
        <f>KALKULATOR!I1/KALKULATOR!E116</f>
        <v>100</v>
      </c>
      <c r="H30" t="s">
        <v>667</v>
      </c>
      <c r="I30" s="147">
        <v>60</v>
      </c>
      <c r="J30" t="s">
        <v>879</v>
      </c>
      <c r="K30">
        <f>KALKULATOR!I1/KALKULATOR!E120</f>
        <v>100</v>
      </c>
      <c r="Q30" t="s">
        <v>667</v>
      </c>
      <c r="R30" s="147">
        <v>60</v>
      </c>
    </row>
    <row r="31" spans="1:18">
      <c r="A31" t="s">
        <v>873</v>
      </c>
      <c r="B31" t="str">
        <f>KALKULATOR!C116</f>
        <v>TACKI FREZOWANIE FASOLKI 1PKT</v>
      </c>
      <c r="J31" t="s">
        <v>873</v>
      </c>
      <c r="K31" t="str">
        <f>KALKULATOR!C120</f>
        <v>KĄTOWNIK WTRYSKOWY</v>
      </c>
    </row>
    <row r="32" spans="1:18">
      <c r="A32" t="s">
        <v>880</v>
      </c>
      <c r="B32" t="str">
        <f>KALKULATOR!D116</f>
        <v>TACKI FREZOWANIE FASOLKI 1PKT</v>
      </c>
      <c r="G32" s="106" t="s">
        <v>657</v>
      </c>
      <c r="H32" s="117">
        <f>VLOOKUP(B31&amp;B32,A91:E106,5,FALSE)</f>
        <v>2.0833333333333336E-2</v>
      </c>
      <c r="I32" s="189">
        <f>H32*24*$I$30</f>
        <v>30</v>
      </c>
      <c r="J32" t="s">
        <v>880</v>
      </c>
      <c r="K32" t="str">
        <f>KALKULATOR!D120</f>
        <v>CIĘCIE NÓŻEK</v>
      </c>
      <c r="P32" s="106" t="s">
        <v>657</v>
      </c>
      <c r="Q32" s="117">
        <f>VLOOKUP(K31&amp;K32,J91:N137,5,FALSE)</f>
        <v>2.7777777777777776E-2</v>
      </c>
      <c r="R32" s="189">
        <f>Q32*24*R30</f>
        <v>40</v>
      </c>
    </row>
    <row r="33" spans="1:32">
      <c r="G33" s="106" t="s">
        <v>631</v>
      </c>
      <c r="H33" s="117">
        <v>3.472222222222222E-3</v>
      </c>
      <c r="I33" s="189">
        <f>H33*24*$I$30</f>
        <v>5</v>
      </c>
      <c r="P33" s="106" t="s">
        <v>631</v>
      </c>
      <c r="Q33" s="117">
        <v>3.472222222222222E-3</v>
      </c>
      <c r="R33" s="189">
        <f>Q33*24*R30</f>
        <v>5</v>
      </c>
    </row>
    <row r="34" spans="1:32">
      <c r="AB34" s="106"/>
      <c r="AC34" s="106"/>
      <c r="AD34" s="106"/>
      <c r="AE34" s="106"/>
      <c r="AF34" s="106"/>
    </row>
    <row r="35" spans="1:32" ht="30">
      <c r="A35" s="197" t="s">
        <v>873</v>
      </c>
      <c r="B35" s="226" t="s">
        <v>874</v>
      </c>
      <c r="J35" s="197" t="s">
        <v>873</v>
      </c>
      <c r="K35" s="226" t="s">
        <v>874</v>
      </c>
      <c r="AB35" s="106"/>
      <c r="AC35" s="106"/>
      <c r="AD35" s="106"/>
      <c r="AE35" s="106"/>
      <c r="AF35" s="106"/>
    </row>
    <row r="36" spans="1:32">
      <c r="A36" t="s">
        <v>836</v>
      </c>
      <c r="B36" t="s">
        <v>825</v>
      </c>
      <c r="C36" t="str">
        <f>IF($B$31=A36,MAX(C$35:$C35)+1,"")</f>
        <v/>
      </c>
      <c r="D36" t="str">
        <f t="shared" ref="D36:D51" si="0">B36</f>
        <v>FREZOWANIE ŁUKU</v>
      </c>
      <c r="E36" s="106">
        <v>1</v>
      </c>
      <c r="F36" s="106" t="str">
        <f>IFERROR(VLOOKUP(E36,$C$36:$D$52,2,FALSE),"")</f>
        <v>TACKI FREZOWANIE FASOLKI 1PKT</v>
      </c>
      <c r="G36" s="106">
        <f>IF(F36="","",E36)</f>
        <v>1</v>
      </c>
      <c r="J36" t="s">
        <v>836</v>
      </c>
      <c r="K36" t="s">
        <v>823</v>
      </c>
      <c r="L36" t="str">
        <f>IF($K$31=J36,MAX(L$35:$L35)+1,"")</f>
        <v/>
      </c>
      <c r="M36" t="str">
        <f>K36</f>
        <v>CIĘCIE</v>
      </c>
      <c r="N36" s="106">
        <v>1</v>
      </c>
      <c r="O36" t="str">
        <f>IFERROR(VLOOKUP(N36,$L$36:$M$52,2,FALSE),"")</f>
        <v>CIĘCIE ŁĄCZNIKA</v>
      </c>
      <c r="P36">
        <f>IF(O36="","",N36)</f>
        <v>1</v>
      </c>
      <c r="AE36" s="106"/>
      <c r="AF36" s="106"/>
    </row>
    <row r="37" spans="1:32">
      <c r="A37" t="s">
        <v>836</v>
      </c>
      <c r="B37" t="s">
        <v>826</v>
      </c>
      <c r="C37" t="str">
        <f>IF($B$31=A37,MAX(C$35:$C36)+1,"")</f>
        <v/>
      </c>
      <c r="D37" t="str">
        <f t="shared" si="0"/>
        <v>FREZOWANIE KANAŁU</v>
      </c>
      <c r="E37" s="106">
        <v>2</v>
      </c>
      <c r="F37" s="106" t="str">
        <f>IFERROR(VLOOKUP(E37,$C$36:$D$52,2,FALSE),"")</f>
        <v/>
      </c>
      <c r="G37" s="106" t="str">
        <f t="shared" ref="G37:G52" si="1">IF(F37="","",E37)</f>
        <v/>
      </c>
      <c r="J37" t="s">
        <v>837</v>
      </c>
      <c r="K37" t="s">
        <v>823</v>
      </c>
      <c r="L37" t="str">
        <f>IF($K$31=J37,MAX(L$35:$L36)+1,"")</f>
        <v/>
      </c>
      <c r="M37" t="str">
        <f t="shared" ref="M37:M82" si="2">K37</f>
        <v>CIĘCIE</v>
      </c>
      <c r="N37" s="106">
        <v>2</v>
      </c>
      <c r="O37" t="str">
        <f t="shared" ref="O37:O52" si="3">IFERROR(VLOOKUP(N37,$L$36:$M$52,2,FALSE),"")</f>
        <v>CIĘCIE NÓŻEK</v>
      </c>
      <c r="P37">
        <f t="shared" ref="P37:P52" si="4">IF(O37="","",N37)</f>
        <v>2</v>
      </c>
      <c r="AE37" s="106"/>
      <c r="AF37" s="106"/>
    </row>
    <row r="38" spans="1:32">
      <c r="A38" t="s">
        <v>837</v>
      </c>
      <c r="B38" t="s">
        <v>825</v>
      </c>
      <c r="C38" t="str">
        <f>IF($B$31=A38,MAX(C$35:$C37)+1,"")</f>
        <v/>
      </c>
      <c r="D38" t="str">
        <f t="shared" si="0"/>
        <v>FREZOWANIE ŁUKU</v>
      </c>
      <c r="E38" s="106">
        <v>3</v>
      </c>
      <c r="F38" s="106" t="str">
        <f t="shared" ref="F38:F52" si="5">IFERROR(VLOOKUP(E38,$C$36:$D$52,2,FALSE),"")</f>
        <v/>
      </c>
      <c r="G38" s="106" t="str">
        <f t="shared" si="1"/>
        <v/>
      </c>
      <c r="J38" t="s">
        <v>838</v>
      </c>
      <c r="K38" t="s">
        <v>823</v>
      </c>
      <c r="L38" t="str">
        <f>IF($K$31=J38,MAX(L$35:$L37)+1,"")</f>
        <v/>
      </c>
      <c r="M38" t="str">
        <f t="shared" si="2"/>
        <v>CIĘCIE</v>
      </c>
      <c r="N38" s="106">
        <v>3</v>
      </c>
      <c r="O38" t="str">
        <f t="shared" si="3"/>
        <v>CIĘCIE ŁĄCZNIKA TOPEROWEGO</v>
      </c>
      <c r="P38">
        <f t="shared" si="4"/>
        <v>3</v>
      </c>
      <c r="AE38" s="106"/>
      <c r="AF38" s="106"/>
    </row>
    <row r="39" spans="1:32">
      <c r="A39" t="s">
        <v>837</v>
      </c>
      <c r="B39" t="s">
        <v>826</v>
      </c>
      <c r="C39" t="str">
        <f>IF($B$31=A39,MAX(C$35:$C38)+1,"")</f>
        <v/>
      </c>
      <c r="D39" t="str">
        <f t="shared" si="0"/>
        <v>FREZOWANIE KANAŁU</v>
      </c>
      <c r="E39" s="106">
        <v>4</v>
      </c>
      <c r="F39" s="106" t="str">
        <f t="shared" si="5"/>
        <v/>
      </c>
      <c r="G39" s="106" t="str">
        <f t="shared" si="1"/>
        <v/>
      </c>
      <c r="J39" t="s">
        <v>829</v>
      </c>
      <c r="K39" t="s">
        <v>849</v>
      </c>
      <c r="L39">
        <f>IF($K$31=J39,MAX(L$35:$L38)+1,"")</f>
        <v>1</v>
      </c>
      <c r="M39" t="str">
        <f t="shared" si="2"/>
        <v>CIĘCIE ŁĄCZNIKA</v>
      </c>
      <c r="N39" s="106">
        <v>4</v>
      </c>
      <c r="O39" t="str">
        <f t="shared" si="3"/>
        <v/>
      </c>
      <c r="P39" t="str">
        <f t="shared" si="4"/>
        <v/>
      </c>
      <c r="AE39" s="106"/>
      <c r="AF39" s="106"/>
    </row>
    <row r="40" spans="1:32">
      <c r="A40" t="s">
        <v>838</v>
      </c>
      <c r="B40" t="s">
        <v>825</v>
      </c>
      <c r="C40" t="str">
        <f>IF($B$31=A40,MAX(C$35:$C39)+1,"")</f>
        <v/>
      </c>
      <c r="D40" t="str">
        <f t="shared" si="0"/>
        <v>FREZOWANIE ŁUKU</v>
      </c>
      <c r="E40" s="106">
        <v>5</v>
      </c>
      <c r="F40" s="106" t="str">
        <f t="shared" si="5"/>
        <v/>
      </c>
      <c r="G40" s="106" t="str">
        <f t="shared" si="1"/>
        <v/>
      </c>
      <c r="J40" t="s">
        <v>829</v>
      </c>
      <c r="K40" t="s">
        <v>850</v>
      </c>
      <c r="L40">
        <f>IF($K$31=J40,MAX(L$35:$L39)+1,"")</f>
        <v>2</v>
      </c>
      <c r="M40" t="str">
        <f t="shared" si="2"/>
        <v>CIĘCIE NÓŻEK</v>
      </c>
      <c r="N40" s="106">
        <v>5</v>
      </c>
      <c r="O40" t="str">
        <f t="shared" si="3"/>
        <v/>
      </c>
      <c r="P40" t="str">
        <f t="shared" si="4"/>
        <v/>
      </c>
      <c r="AE40" s="106"/>
      <c r="AF40" s="106"/>
    </row>
    <row r="41" spans="1:32">
      <c r="A41" t="s">
        <v>838</v>
      </c>
      <c r="B41" t="s">
        <v>826</v>
      </c>
      <c r="C41" t="str">
        <f>IF($B$31=A41,MAX(C$35:$C40)+1,"")</f>
        <v/>
      </c>
      <c r="D41" t="str">
        <f t="shared" si="0"/>
        <v>FREZOWANIE KANAŁU</v>
      </c>
      <c r="E41" s="106">
        <v>6</v>
      </c>
      <c r="F41" s="106" t="str">
        <f t="shared" si="5"/>
        <v/>
      </c>
      <c r="G41" s="106" t="str">
        <f t="shared" si="1"/>
        <v/>
      </c>
      <c r="J41" t="s">
        <v>829</v>
      </c>
      <c r="K41" t="s">
        <v>851</v>
      </c>
      <c r="L41">
        <f>IF($K$31=J41,MAX(L$35:$L40)+1,"")</f>
        <v>3</v>
      </c>
      <c r="M41" t="str">
        <f t="shared" si="2"/>
        <v>CIĘCIE ŁĄCZNIKA TOPEROWEGO</v>
      </c>
      <c r="N41" s="106">
        <v>6</v>
      </c>
      <c r="O41" t="str">
        <f t="shared" si="3"/>
        <v/>
      </c>
      <c r="P41" t="str">
        <f t="shared" si="4"/>
        <v/>
      </c>
      <c r="AE41" s="106"/>
      <c r="AF41" s="106"/>
    </row>
    <row r="42" spans="1:32">
      <c r="A42" t="s">
        <v>824</v>
      </c>
      <c r="B42" t="s">
        <v>825</v>
      </c>
      <c r="C42" t="str">
        <f>IF($B$31=A42,MAX(C$35:$C41)+1,"")</f>
        <v/>
      </c>
      <c r="D42" t="str">
        <f t="shared" si="0"/>
        <v>FREZOWANIE ŁUKU</v>
      </c>
      <c r="E42" s="106">
        <v>7</v>
      </c>
      <c r="F42" s="106" t="str">
        <f t="shared" si="5"/>
        <v/>
      </c>
      <c r="G42" s="106" t="str">
        <f t="shared" si="1"/>
        <v/>
      </c>
      <c r="J42" t="s">
        <v>824</v>
      </c>
      <c r="K42" t="s">
        <v>823</v>
      </c>
      <c r="L42" t="str">
        <f>IF($K$31=J42,MAX(L$35:$L41)+1,"")</f>
        <v/>
      </c>
      <c r="M42" t="str">
        <f t="shared" si="2"/>
        <v>CIĘCIE</v>
      </c>
      <c r="N42" s="106">
        <v>7</v>
      </c>
      <c r="O42" t="str">
        <f t="shared" si="3"/>
        <v/>
      </c>
      <c r="P42" t="str">
        <f t="shared" si="4"/>
        <v/>
      </c>
      <c r="AE42" s="106"/>
      <c r="AF42" s="106"/>
    </row>
    <row r="43" spans="1:32">
      <c r="A43" t="s">
        <v>824</v>
      </c>
      <c r="B43" t="s">
        <v>826</v>
      </c>
      <c r="C43" t="str">
        <f>IF($B$31=A43,MAX(C$35:$C42)+1,"")</f>
        <v/>
      </c>
      <c r="D43" t="str">
        <f t="shared" si="0"/>
        <v>FREZOWANIE KANAŁU</v>
      </c>
      <c r="E43" s="106">
        <v>8</v>
      </c>
      <c r="F43" s="106" t="str">
        <f t="shared" si="5"/>
        <v/>
      </c>
      <c r="G43" s="106" t="str">
        <f t="shared" si="1"/>
        <v/>
      </c>
      <c r="J43" t="s">
        <v>852</v>
      </c>
      <c r="K43" t="s">
        <v>849</v>
      </c>
      <c r="L43" t="str">
        <f>IF($K$31=J43,MAX(L$35:$L42)+1,"")</f>
        <v/>
      </c>
      <c r="M43" t="str">
        <f t="shared" si="2"/>
        <v>CIĘCIE ŁĄCZNIKA</v>
      </c>
      <c r="N43" s="106">
        <v>8</v>
      </c>
      <c r="O43" t="str">
        <f t="shared" si="3"/>
        <v/>
      </c>
      <c r="P43" t="str">
        <f t="shared" si="4"/>
        <v/>
      </c>
      <c r="AE43" s="106"/>
      <c r="AF43" s="106"/>
    </row>
    <row r="44" spans="1:32">
      <c r="A44" t="s">
        <v>827</v>
      </c>
      <c r="B44" t="s">
        <v>825</v>
      </c>
      <c r="C44" t="str">
        <f>IF($B$31=A44,MAX(C$35:$C43)+1,"")</f>
        <v/>
      </c>
      <c r="D44" t="str">
        <f t="shared" si="0"/>
        <v>FREZOWANIE ŁUKU</v>
      </c>
      <c r="E44" s="106">
        <v>9</v>
      </c>
      <c r="F44" s="106" t="str">
        <f t="shared" si="5"/>
        <v/>
      </c>
      <c r="G44" s="106" t="str">
        <f t="shared" si="1"/>
        <v/>
      </c>
      <c r="J44" t="s">
        <v>852</v>
      </c>
      <c r="K44" t="s">
        <v>851</v>
      </c>
      <c r="L44" t="str">
        <f>IF($K$31=J44,MAX(L$35:$L43)+1,"")</f>
        <v/>
      </c>
      <c r="M44" t="str">
        <f t="shared" si="2"/>
        <v>CIĘCIE ŁĄCZNIKA TOPEROWEGO</v>
      </c>
      <c r="N44" s="106">
        <v>9</v>
      </c>
      <c r="O44" t="str">
        <f t="shared" si="3"/>
        <v/>
      </c>
      <c r="P44" t="str">
        <f t="shared" si="4"/>
        <v/>
      </c>
      <c r="AE44" s="106"/>
      <c r="AF44" s="106"/>
    </row>
    <row r="45" spans="1:32">
      <c r="A45" t="s">
        <v>827</v>
      </c>
      <c r="B45" t="s">
        <v>826</v>
      </c>
      <c r="C45" t="str">
        <f>IF($B$31=A45,MAX(C$35:$C44)+1,"")</f>
        <v/>
      </c>
      <c r="D45" t="str">
        <f t="shared" si="0"/>
        <v>FREZOWANIE KANAŁU</v>
      </c>
      <c r="E45" s="106">
        <v>10</v>
      </c>
      <c r="F45" s="106" t="str">
        <f t="shared" si="5"/>
        <v/>
      </c>
      <c r="G45" s="106" t="str">
        <f t="shared" si="1"/>
        <v/>
      </c>
      <c r="J45" t="s">
        <v>827</v>
      </c>
      <c r="K45" t="s">
        <v>823</v>
      </c>
      <c r="L45" t="str">
        <f>IF($K$31=J45,MAX(L$35:$L44)+1,"")</f>
        <v/>
      </c>
      <c r="M45" t="str">
        <f t="shared" si="2"/>
        <v>CIĘCIE</v>
      </c>
      <c r="N45" s="106">
        <v>10</v>
      </c>
      <c r="O45" t="str">
        <f t="shared" si="3"/>
        <v/>
      </c>
      <c r="P45" t="str">
        <f t="shared" si="4"/>
        <v/>
      </c>
      <c r="AE45" s="106"/>
      <c r="AF45" s="106"/>
    </row>
    <row r="46" spans="1:32">
      <c r="A46" t="s">
        <v>828</v>
      </c>
      <c r="B46" t="s">
        <v>812</v>
      </c>
      <c r="C46" t="str">
        <f>IF($B$31=A46,MAX(C$35:$C45)+1,"")</f>
        <v/>
      </c>
      <c r="D46" t="str">
        <f t="shared" si="0"/>
        <v>FREZOWANIE</v>
      </c>
      <c r="E46" s="106">
        <v>11</v>
      </c>
      <c r="F46" s="106" t="str">
        <f t="shared" si="5"/>
        <v/>
      </c>
      <c r="G46" s="106" t="str">
        <f t="shared" si="1"/>
        <v/>
      </c>
      <c r="J46" t="s">
        <v>853</v>
      </c>
      <c r="K46" t="s">
        <v>849</v>
      </c>
      <c r="L46" t="str">
        <f>IF($K$31=J46,MAX(L$35:$L45)+1,"")</f>
        <v/>
      </c>
      <c r="M46" t="str">
        <f t="shared" si="2"/>
        <v>CIĘCIE ŁĄCZNIKA</v>
      </c>
      <c r="N46" s="106">
        <v>11</v>
      </c>
      <c r="O46" t="str">
        <f t="shared" si="3"/>
        <v/>
      </c>
      <c r="P46" t="str">
        <f t="shared" si="4"/>
        <v/>
      </c>
      <c r="AE46" s="106"/>
      <c r="AF46" s="106"/>
    </row>
    <row r="47" spans="1:32">
      <c r="A47" t="s">
        <v>829</v>
      </c>
      <c r="B47" t="s">
        <v>830</v>
      </c>
      <c r="C47" t="str">
        <f>IF($B$31=A47,MAX(C$35:$C46)+1,"")</f>
        <v/>
      </c>
      <c r="D47" t="str">
        <f t="shared" si="0"/>
        <v>FREZOWANIE NÓŻEK DO PODESTÓW</v>
      </c>
      <c r="E47" s="106">
        <v>12</v>
      </c>
      <c r="F47" s="106" t="str">
        <f t="shared" si="5"/>
        <v/>
      </c>
      <c r="G47" s="106" t="str">
        <f t="shared" si="1"/>
        <v/>
      </c>
      <c r="J47" t="s">
        <v>853</v>
      </c>
      <c r="K47" t="s">
        <v>854</v>
      </c>
      <c r="L47" t="str">
        <f>IF($K$31=J47,MAX(L$35:$L46)+1,"")</f>
        <v/>
      </c>
      <c r="M47" t="str">
        <f t="shared" si="2"/>
        <v>NACINANIE ŁĄCZNIKA</v>
      </c>
      <c r="N47" s="106">
        <v>12</v>
      </c>
      <c r="O47" t="str">
        <f t="shared" si="3"/>
        <v/>
      </c>
      <c r="P47" t="str">
        <f t="shared" si="4"/>
        <v/>
      </c>
      <c r="AE47" s="106"/>
      <c r="AF47" s="106"/>
    </row>
    <row r="48" spans="1:32">
      <c r="A48" t="s">
        <v>831</v>
      </c>
      <c r="B48" t="s">
        <v>831</v>
      </c>
      <c r="C48">
        <f>IF($B$31=A48,MAX(C$35:$C47)+1,"")</f>
        <v>1</v>
      </c>
      <c r="D48" t="str">
        <f t="shared" si="0"/>
        <v>TACKI FREZOWANIE FASOLKI 1PKT</v>
      </c>
      <c r="E48" s="106">
        <v>13</v>
      </c>
      <c r="F48" s="106" t="str">
        <f t="shared" si="5"/>
        <v/>
      </c>
      <c r="G48" s="106" t="str">
        <f t="shared" si="1"/>
        <v/>
      </c>
      <c r="J48" t="s">
        <v>853</v>
      </c>
      <c r="K48" t="s">
        <v>850</v>
      </c>
      <c r="L48" t="str">
        <f>IF($K$31=J48,MAX(L$35:$L47)+1,"")</f>
        <v/>
      </c>
      <c r="M48" t="str">
        <f t="shared" si="2"/>
        <v>CIĘCIE NÓŻEK</v>
      </c>
      <c r="N48" s="106">
        <v>13</v>
      </c>
      <c r="O48" t="str">
        <f t="shared" si="3"/>
        <v/>
      </c>
      <c r="P48" t="str">
        <f t="shared" si="4"/>
        <v/>
      </c>
      <c r="AE48" s="106"/>
      <c r="AF48" s="106"/>
    </row>
    <row r="49" spans="1:32">
      <c r="A49" t="s">
        <v>832</v>
      </c>
      <c r="B49" t="s">
        <v>832</v>
      </c>
      <c r="C49" t="str">
        <f>IF($B$31=A49,MAX(C$35:$C48)+1,"")</f>
        <v/>
      </c>
      <c r="D49" t="str">
        <f t="shared" si="0"/>
        <v>TACKI FREZOWANIE FASOLEK 2PKTY</v>
      </c>
      <c r="E49" s="106">
        <v>14</v>
      </c>
      <c r="F49" s="106" t="str">
        <f t="shared" si="5"/>
        <v/>
      </c>
      <c r="G49" s="106" t="str">
        <f t="shared" si="1"/>
        <v/>
      </c>
      <c r="J49" t="s">
        <v>853</v>
      </c>
      <c r="K49" t="s">
        <v>855</v>
      </c>
      <c r="L49" t="str">
        <f>IF($K$31=J49,MAX(L$35:$L48)+1,"")</f>
        <v/>
      </c>
      <c r="M49" t="str">
        <f t="shared" si="2"/>
        <v>NACINANIE NÓŻEK</v>
      </c>
      <c r="N49" s="106">
        <v>14</v>
      </c>
      <c r="O49" t="str">
        <f t="shared" si="3"/>
        <v/>
      </c>
      <c r="P49" t="str">
        <f t="shared" si="4"/>
        <v/>
      </c>
      <c r="AE49" s="106"/>
      <c r="AF49" s="106"/>
    </row>
    <row r="50" spans="1:32">
      <c r="A50" t="s">
        <v>833</v>
      </c>
      <c r="B50" t="s">
        <v>833</v>
      </c>
      <c r="C50" t="str">
        <f>IF($B$31=A50,MAX(C$35:$C49)+1,"")</f>
        <v/>
      </c>
      <c r="D50" t="str">
        <f t="shared" si="0"/>
        <v>FRONT FREZOWANIE FASOLKI 1PKT</v>
      </c>
      <c r="E50" s="106">
        <v>15</v>
      </c>
      <c r="F50" s="106" t="str">
        <f t="shared" si="5"/>
        <v/>
      </c>
      <c r="G50" s="106" t="str">
        <f t="shared" si="1"/>
        <v/>
      </c>
      <c r="J50" t="s">
        <v>853</v>
      </c>
      <c r="K50" t="s">
        <v>851</v>
      </c>
      <c r="L50" t="str">
        <f>IF($K$31=J50,MAX(L$35:$L49)+1,"")</f>
        <v/>
      </c>
      <c r="M50" t="str">
        <f t="shared" si="2"/>
        <v>CIĘCIE ŁĄCZNIKA TOPEROWEGO</v>
      </c>
      <c r="N50" s="106">
        <v>15</v>
      </c>
      <c r="O50" t="str">
        <f t="shared" si="3"/>
        <v/>
      </c>
      <c r="P50" t="str">
        <f t="shared" si="4"/>
        <v/>
      </c>
      <c r="AE50" s="106"/>
      <c r="AF50" s="106"/>
    </row>
    <row r="51" spans="1:32">
      <c r="A51" t="s">
        <v>834</v>
      </c>
      <c r="B51" t="s">
        <v>835</v>
      </c>
      <c r="C51" t="str">
        <f>IF($B$31=A51,MAX(C$35:$C50)+1,"")</f>
        <v/>
      </c>
      <c r="D51" t="str">
        <f t="shared" si="0"/>
        <v>FREZOWANIE ŁĄCZNIKA (2 STR.)</v>
      </c>
      <c r="E51" s="106">
        <v>16</v>
      </c>
      <c r="F51" s="106" t="str">
        <f t="shared" si="5"/>
        <v/>
      </c>
      <c r="G51" s="106" t="str">
        <f t="shared" si="1"/>
        <v/>
      </c>
      <c r="J51" t="s">
        <v>853</v>
      </c>
      <c r="K51" t="s">
        <v>856</v>
      </c>
      <c r="L51" t="str">
        <f>IF($K$31=J51,MAX(L$35:$L50)+1,"")</f>
        <v/>
      </c>
      <c r="M51" t="str">
        <f t="shared" si="2"/>
        <v>FREZ. ŁĄCZNIKA TOPEROWEGO POD GRAFIKĘ</v>
      </c>
      <c r="N51" s="106">
        <v>16</v>
      </c>
      <c r="O51" t="str">
        <f t="shared" si="3"/>
        <v/>
      </c>
      <c r="P51" t="str">
        <f t="shared" si="4"/>
        <v/>
      </c>
      <c r="AE51" s="106"/>
      <c r="AF51" s="106"/>
    </row>
    <row r="52" spans="1:32">
      <c r="E52" s="106">
        <v>17</v>
      </c>
      <c r="F52" s="106" t="str">
        <f t="shared" si="5"/>
        <v/>
      </c>
      <c r="G52" s="106" t="str">
        <f t="shared" si="1"/>
        <v/>
      </c>
      <c r="J52" t="s">
        <v>857</v>
      </c>
      <c r="K52" t="s">
        <v>849</v>
      </c>
      <c r="L52" t="str">
        <f>IF($K$31=J52,MAX(L$35:$L51)+1,"")</f>
        <v/>
      </c>
      <c r="M52" t="str">
        <f t="shared" si="2"/>
        <v>CIĘCIE ŁĄCZNIKA</v>
      </c>
      <c r="N52" s="106">
        <v>17</v>
      </c>
      <c r="O52" t="str">
        <f t="shared" si="3"/>
        <v/>
      </c>
      <c r="P52" t="str">
        <f t="shared" si="4"/>
        <v/>
      </c>
      <c r="AE52" s="106"/>
      <c r="AF52" s="106"/>
    </row>
    <row r="53" spans="1:32">
      <c r="J53" t="s">
        <v>857</v>
      </c>
      <c r="K53" t="s">
        <v>854</v>
      </c>
      <c r="L53" t="str">
        <f>IF($K$31=J53,MAX(L$35:$L52)+1,"")</f>
        <v/>
      </c>
      <c r="M53" t="str">
        <f t="shared" si="2"/>
        <v>NACINANIE ŁĄCZNIKA</v>
      </c>
      <c r="AB53" s="106"/>
      <c r="AC53" s="106"/>
      <c r="AD53" s="106"/>
      <c r="AE53" s="106"/>
      <c r="AF53" s="106"/>
    </row>
    <row r="54" spans="1:32">
      <c r="J54" t="s">
        <v>857</v>
      </c>
      <c r="K54" t="s">
        <v>850</v>
      </c>
      <c r="L54" t="str">
        <f>IF($K$31=J54,MAX(L$35:$L53)+1,"")</f>
        <v/>
      </c>
      <c r="M54" t="str">
        <f t="shared" si="2"/>
        <v>CIĘCIE NÓŻEK</v>
      </c>
      <c r="AB54" s="106"/>
      <c r="AC54" s="106"/>
      <c r="AD54" s="106"/>
      <c r="AE54" s="106"/>
      <c r="AF54" s="106"/>
    </row>
    <row r="55" spans="1:32">
      <c r="J55" t="s">
        <v>857</v>
      </c>
      <c r="K55" t="s">
        <v>855</v>
      </c>
      <c r="L55" t="str">
        <f>IF($K$31=J55,MAX(L$35:$L54)+1,"")</f>
        <v/>
      </c>
      <c r="M55" t="str">
        <f t="shared" si="2"/>
        <v>NACINANIE NÓŻEK</v>
      </c>
      <c r="AB55" s="106"/>
      <c r="AC55" s="106"/>
      <c r="AD55" s="106"/>
      <c r="AE55" s="106"/>
      <c r="AF55" s="106"/>
    </row>
    <row r="56" spans="1:32">
      <c r="J56" t="s">
        <v>857</v>
      </c>
      <c r="K56" t="s">
        <v>851</v>
      </c>
      <c r="L56" t="str">
        <f>IF($K$31=J56,MAX(L$35:$L55)+1,"")</f>
        <v/>
      </c>
      <c r="M56" t="str">
        <f t="shared" si="2"/>
        <v>CIĘCIE ŁĄCZNIKA TOPEROWEGO</v>
      </c>
    </row>
    <row r="57" spans="1:32">
      <c r="J57" t="s">
        <v>857</v>
      </c>
      <c r="K57" t="s">
        <v>856</v>
      </c>
      <c r="L57" t="str">
        <f>IF($K$31=J57,MAX(L$35:$L56)+1,"")</f>
        <v/>
      </c>
      <c r="M57" t="str">
        <f t="shared" si="2"/>
        <v>FREZ. ŁĄCZNIKA TOPEROWEGO POD GRAFIKĘ</v>
      </c>
    </row>
    <row r="58" spans="1:32">
      <c r="D58" s="106" t="s">
        <v>657</v>
      </c>
      <c r="E58" s="117">
        <f>VLOOKUP(B31&amp;B32,A91:E106,5,FALSE)</f>
        <v>2.0833333333333336E-2</v>
      </c>
      <c r="F58" s="189"/>
      <c r="J58" t="s">
        <v>858</v>
      </c>
      <c r="K58" t="s">
        <v>849</v>
      </c>
      <c r="L58" t="str">
        <f>IF($K$31=J58,MAX(L$35:$L57)+1,"")</f>
        <v/>
      </c>
      <c r="M58" t="str">
        <f t="shared" si="2"/>
        <v>CIĘCIE ŁĄCZNIKA</v>
      </c>
    </row>
    <row r="59" spans="1:32">
      <c r="D59" s="106" t="s">
        <v>631</v>
      </c>
      <c r="E59" s="117">
        <v>3.472222222222222E-3</v>
      </c>
      <c r="F59" s="189"/>
      <c r="J59" t="s">
        <v>858</v>
      </c>
      <c r="K59" t="s">
        <v>850</v>
      </c>
      <c r="L59" t="str">
        <f>IF($K$31=J59,MAX(L$35:$L58)+1,"")</f>
        <v/>
      </c>
      <c r="M59" t="str">
        <f t="shared" si="2"/>
        <v>CIĘCIE NÓŻEK</v>
      </c>
    </row>
    <row r="60" spans="1:32">
      <c r="J60" t="s">
        <v>858</v>
      </c>
      <c r="K60" t="s">
        <v>851</v>
      </c>
      <c r="L60" t="str">
        <f>IF($K$31=J60,MAX(L$35:$L59)+1,"")</f>
        <v/>
      </c>
      <c r="M60" t="str">
        <f t="shared" si="2"/>
        <v>CIĘCIE ŁĄCZNIKA TOPEROWEGO</v>
      </c>
    </row>
    <row r="61" spans="1:32">
      <c r="J61" t="s">
        <v>858</v>
      </c>
      <c r="K61" t="s">
        <v>856</v>
      </c>
      <c r="L61" t="str">
        <f>IF($K$31=J61,MAX(L$35:$L60)+1,"")</f>
        <v/>
      </c>
      <c r="M61" t="str">
        <f t="shared" si="2"/>
        <v>FREZ. ŁĄCZNIKA TOPEROWEGO POD GRAFIKĘ</v>
      </c>
    </row>
    <row r="62" spans="1:32">
      <c r="J62" t="s">
        <v>859</v>
      </c>
      <c r="K62" t="s">
        <v>849</v>
      </c>
      <c r="L62" t="str">
        <f>IF($K$31=J62,MAX(L$35:$L61)+1,"")</f>
        <v/>
      </c>
      <c r="M62" t="str">
        <f t="shared" si="2"/>
        <v>CIĘCIE ŁĄCZNIKA</v>
      </c>
    </row>
    <row r="63" spans="1:32">
      <c r="J63" t="s">
        <v>859</v>
      </c>
      <c r="K63" t="s">
        <v>850</v>
      </c>
      <c r="L63" t="str">
        <f>IF($K$31=J63,MAX(L$35:$L62)+1,"")</f>
        <v/>
      </c>
      <c r="M63" t="str">
        <f t="shared" si="2"/>
        <v>CIĘCIE NÓŻEK</v>
      </c>
    </row>
    <row r="64" spans="1:32">
      <c r="J64" t="s">
        <v>859</v>
      </c>
      <c r="K64" t="s">
        <v>851</v>
      </c>
      <c r="L64" t="str">
        <f>IF($K$31=J64,MAX(L$35:$L63)+1,"")</f>
        <v/>
      </c>
      <c r="M64" t="str">
        <f t="shared" si="2"/>
        <v>CIĘCIE ŁĄCZNIKA TOPEROWEGO</v>
      </c>
    </row>
    <row r="65" spans="10:13">
      <c r="J65" t="s">
        <v>859</v>
      </c>
      <c r="K65" t="s">
        <v>856</v>
      </c>
      <c r="L65" t="str">
        <f>IF($K$31=J65,MAX(L$35:$L64)+1,"")</f>
        <v/>
      </c>
      <c r="M65" t="str">
        <f t="shared" si="2"/>
        <v>FREZ. ŁĄCZNIKA TOPEROWEGO POD GRAFIKĘ</v>
      </c>
    </row>
    <row r="66" spans="10:13">
      <c r="J66" t="s">
        <v>860</v>
      </c>
      <c r="K66" t="s">
        <v>849</v>
      </c>
      <c r="L66" t="str">
        <f>IF($K$31=J66,MAX(L$35:$L65)+1,"")</f>
        <v/>
      </c>
      <c r="M66" t="str">
        <f t="shared" si="2"/>
        <v>CIĘCIE ŁĄCZNIKA</v>
      </c>
    </row>
    <row r="67" spans="10:13">
      <c r="J67" t="s">
        <v>860</v>
      </c>
      <c r="K67" t="s">
        <v>850</v>
      </c>
      <c r="L67" t="str">
        <f>IF($K$31=J67,MAX(L$35:$L66)+1,"")</f>
        <v/>
      </c>
      <c r="M67" t="str">
        <f t="shared" si="2"/>
        <v>CIĘCIE NÓŻEK</v>
      </c>
    </row>
    <row r="68" spans="10:13">
      <c r="J68" t="s">
        <v>860</v>
      </c>
      <c r="K68" t="s">
        <v>851</v>
      </c>
      <c r="L68" t="str">
        <f>IF($K$31=J68,MAX(L$35:$L67)+1,"")</f>
        <v/>
      </c>
      <c r="M68" t="str">
        <f t="shared" si="2"/>
        <v>CIĘCIE ŁĄCZNIKA TOPEROWEGO</v>
      </c>
    </row>
    <row r="69" spans="10:13">
      <c r="J69" t="s">
        <v>860</v>
      </c>
      <c r="K69" t="s">
        <v>856</v>
      </c>
      <c r="L69" t="str">
        <f>IF($K$31=J69,MAX(L$35:$L68)+1,"")</f>
        <v/>
      </c>
      <c r="M69" t="str">
        <f t="shared" si="2"/>
        <v>FREZ. ŁĄCZNIKA TOPEROWEGO POD GRAFIKĘ</v>
      </c>
    </row>
    <row r="70" spans="10:13">
      <c r="J70" t="s">
        <v>861</v>
      </c>
      <c r="K70" t="s">
        <v>849</v>
      </c>
      <c r="L70" t="str">
        <f>IF($K$31=J70,MAX(L$35:$L69)+1,"")</f>
        <v/>
      </c>
      <c r="M70" t="str">
        <f t="shared" si="2"/>
        <v>CIĘCIE ŁĄCZNIKA</v>
      </c>
    </row>
    <row r="71" spans="10:13">
      <c r="J71" t="s">
        <v>861</v>
      </c>
      <c r="K71" t="s">
        <v>850</v>
      </c>
      <c r="L71" t="str">
        <f>IF($K$31=J71,MAX(L$35:$L70)+1,"")</f>
        <v/>
      </c>
      <c r="M71" t="str">
        <f t="shared" si="2"/>
        <v>CIĘCIE NÓŻEK</v>
      </c>
    </row>
    <row r="72" spans="10:13">
      <c r="J72" t="s">
        <v>862</v>
      </c>
      <c r="K72" t="s">
        <v>862</v>
      </c>
      <c r="L72" t="str">
        <f>IF($K$31=J72,MAX(L$35:$L71)+1,"")</f>
        <v/>
      </c>
      <c r="M72" t="str">
        <f t="shared" si="2"/>
        <v>CENÓWKA</v>
      </c>
    </row>
    <row r="73" spans="10:13">
      <c r="J73" t="s">
        <v>863</v>
      </c>
      <c r="K73" t="s">
        <v>863</v>
      </c>
      <c r="L73" t="str">
        <f>IF($K$31=J73,MAX(L$35:$L72)+1,"")</f>
        <v/>
      </c>
      <c r="M73" t="str">
        <f t="shared" si="2"/>
        <v>SZYBKA (FRONT) ZWYKŁA (TRAY A,B,C,D,E,P)</v>
      </c>
    </row>
    <row r="74" spans="10:13">
      <c r="J74" t="s">
        <v>864</v>
      </c>
      <c r="K74" t="s">
        <v>864</v>
      </c>
      <c r="L74" t="str">
        <f>IF($K$31=J74,MAX(L$35:$L73)+1,"")</f>
        <v/>
      </c>
      <c r="M74" t="str">
        <f t="shared" si="2"/>
        <v>SZYBKA PT</v>
      </c>
    </row>
    <row r="75" spans="10:13">
      <c r="J75" t="s">
        <v>865</v>
      </c>
      <c r="K75" t="s">
        <v>865</v>
      </c>
      <c r="L75" t="str">
        <f>IF($K$31=J75,MAX(L$35:$L74)+1,"")</f>
        <v/>
      </c>
      <c r="M75" t="str">
        <f t="shared" si="2"/>
        <v>ŁĄCZNIK "ŁEZKA" KR</v>
      </c>
    </row>
    <row r="76" spans="10:13">
      <c r="J76" t="s">
        <v>828</v>
      </c>
      <c r="K76" t="s">
        <v>823</v>
      </c>
      <c r="L76" t="str">
        <f>IF($K$31=J76,MAX(L$35:$L75)+1,"")</f>
        <v/>
      </c>
      <c r="M76" t="str">
        <f t="shared" si="2"/>
        <v>CIĘCIE</v>
      </c>
    </row>
    <row r="77" spans="10:13">
      <c r="J77" t="s">
        <v>866</v>
      </c>
      <c r="K77" t="s">
        <v>866</v>
      </c>
      <c r="L77" t="str">
        <f>IF($K$31=J77,MAX(L$35:$L76)+1,"")</f>
        <v/>
      </c>
      <c r="M77" t="str">
        <f t="shared" si="2"/>
        <v>RURKA ALUMINIOWA CIĘCIE</v>
      </c>
    </row>
    <row r="78" spans="10:13">
      <c r="J78" t="s">
        <v>867</v>
      </c>
      <c r="K78" t="s">
        <v>867</v>
      </c>
      <c r="L78" t="str">
        <f>IF($K$31=J78,MAX(L$35:$L77)+1,"")</f>
        <v/>
      </c>
      <c r="M78" t="str">
        <f t="shared" si="2"/>
        <v>PROFIL ALUMINIOWY CIĘCIE</v>
      </c>
    </row>
    <row r="79" spans="10:13">
      <c r="J79" t="s">
        <v>868</v>
      </c>
      <c r="K79" t="s">
        <v>869</v>
      </c>
      <c r="L79" t="str">
        <f>IF($K$31=J79,MAX(L$35:$L78)+1,"")</f>
        <v/>
      </c>
      <c r="M79" t="str">
        <f t="shared" si="2"/>
        <v>CIĘCIE I NACINANIE</v>
      </c>
    </row>
    <row r="80" spans="10:13">
      <c r="J80" t="s">
        <v>870</v>
      </c>
      <c r="K80" t="s">
        <v>823</v>
      </c>
      <c r="L80" t="str">
        <f>IF($K$31=J80,MAX(L$35:$L79)+1,"")</f>
        <v/>
      </c>
      <c r="M80" t="str">
        <f t="shared" si="2"/>
        <v>CIĘCIE</v>
      </c>
    </row>
    <row r="81" spans="1:15">
      <c r="J81" t="s">
        <v>834</v>
      </c>
      <c r="K81" t="s">
        <v>871</v>
      </c>
      <c r="L81" t="str">
        <f>IF($K$31=J81,MAX(L$35:$L80)+1,"")</f>
        <v/>
      </c>
      <c r="M81" t="str">
        <f t="shared" si="2"/>
        <v>CIĘCIE ŁĄCZNIKA NA WYMIAR (2 STR.)</v>
      </c>
    </row>
    <row r="82" spans="1:15">
      <c r="J82" t="s">
        <v>872</v>
      </c>
      <c r="K82" t="s">
        <v>823</v>
      </c>
      <c r="L82" t="str">
        <f>IF($K$31=J82,MAX(L$35:$L81)+1,"")</f>
        <v/>
      </c>
      <c r="M82" t="str">
        <f t="shared" si="2"/>
        <v>CIĘCIE</v>
      </c>
    </row>
    <row r="90" spans="1:15">
      <c r="B90" s="197" t="s">
        <v>875</v>
      </c>
      <c r="C90" s="197" t="s">
        <v>876</v>
      </c>
      <c r="D90" s="197" t="s">
        <v>877</v>
      </c>
      <c r="E90" s="197" t="s">
        <v>878</v>
      </c>
      <c r="F90" s="197" t="s">
        <v>914</v>
      </c>
      <c r="J90" s="197"/>
      <c r="K90" s="197" t="s">
        <v>875</v>
      </c>
      <c r="L90" s="197" t="s">
        <v>876</v>
      </c>
      <c r="M90" s="197" t="s">
        <v>877</v>
      </c>
      <c r="N90" s="197" t="s">
        <v>878</v>
      </c>
      <c r="O90" s="197" t="s">
        <v>915</v>
      </c>
    </row>
    <row r="91" spans="1:15">
      <c r="A91" t="str">
        <f t="shared" ref="A91:A106" si="6">A36&amp;B36</f>
        <v>ŁĄCZNIK ELIPSA MAŁAFREZOWANIE ŁUKU</v>
      </c>
      <c r="B91">
        <v>45</v>
      </c>
      <c r="C91" s="114">
        <f t="shared" ref="C91:C106" si="7">3600/B91</f>
        <v>80</v>
      </c>
      <c r="D91" s="26">
        <f t="shared" ref="D91:D106" si="8">B91/24/3600</f>
        <v>5.2083333333333333E-4</v>
      </c>
      <c r="E91" s="26">
        <f t="shared" ref="E91:E106" si="9">D91*$B$30</f>
        <v>5.2083333333333336E-2</v>
      </c>
      <c r="F91" t="s">
        <v>836</v>
      </c>
      <c r="J91" t="str">
        <f t="shared" ref="J91:J137" si="10">J36&amp;K36</f>
        <v>ŁĄCZNIK ELIPSA MAŁACIĘCIE</v>
      </c>
      <c r="K91">
        <v>30</v>
      </c>
      <c r="L91" s="114">
        <f t="shared" ref="L91:L124" si="11">3600/K91</f>
        <v>120</v>
      </c>
      <c r="M91" s="26">
        <f t="shared" ref="M91:M137" si="12">K91/24/3600</f>
        <v>3.4722222222222224E-4</v>
      </c>
      <c r="N91" s="26">
        <f t="shared" ref="N91:N137" si="13">M91*$K$30</f>
        <v>3.4722222222222224E-2</v>
      </c>
      <c r="O91" t="s">
        <v>836</v>
      </c>
    </row>
    <row r="92" spans="1:15">
      <c r="A92" t="str">
        <f t="shared" si="6"/>
        <v>ŁĄCZNIK ELIPSA MAŁAFREZOWANIE KANAŁU</v>
      </c>
      <c r="B92">
        <v>36</v>
      </c>
      <c r="C92" s="114">
        <f t="shared" si="7"/>
        <v>100</v>
      </c>
      <c r="D92" s="26">
        <f t="shared" si="8"/>
        <v>4.1666666666666669E-4</v>
      </c>
      <c r="E92" s="26">
        <f t="shared" si="9"/>
        <v>4.1666666666666671E-2</v>
      </c>
      <c r="F92" t="s">
        <v>837</v>
      </c>
      <c r="J92" t="str">
        <f t="shared" si="10"/>
        <v>ŁĄCZNIK ELIPSA DUŻACIĘCIE</v>
      </c>
      <c r="K92">
        <v>36</v>
      </c>
      <c r="L92" s="114">
        <f t="shared" si="11"/>
        <v>100</v>
      </c>
      <c r="M92" s="26">
        <f t="shared" si="12"/>
        <v>4.1666666666666669E-4</v>
      </c>
      <c r="N92" s="26">
        <f t="shared" si="13"/>
        <v>4.1666666666666671E-2</v>
      </c>
      <c r="O92" t="s">
        <v>837</v>
      </c>
    </row>
    <row r="93" spans="1:15">
      <c r="A93" t="str">
        <f t="shared" si="6"/>
        <v>ŁĄCZNIK ELIPSA DUŻAFREZOWANIE ŁUKU</v>
      </c>
      <c r="B93">
        <v>72</v>
      </c>
      <c r="C93" s="114">
        <f t="shared" si="7"/>
        <v>50</v>
      </c>
      <c r="D93" s="26">
        <f t="shared" si="8"/>
        <v>8.3333333333333339E-4</v>
      </c>
      <c r="E93" s="26">
        <f t="shared" si="9"/>
        <v>8.3333333333333343E-2</v>
      </c>
      <c r="F93" t="s">
        <v>838</v>
      </c>
      <c r="J93" t="str">
        <f t="shared" si="10"/>
        <v>ŁĄCZNIK PTCIĘCIE</v>
      </c>
      <c r="K93">
        <v>30</v>
      </c>
      <c r="L93" s="114">
        <f t="shared" si="11"/>
        <v>120</v>
      </c>
      <c r="M93" s="26">
        <f t="shared" si="12"/>
        <v>3.4722222222222224E-4</v>
      </c>
      <c r="N93" s="26">
        <f t="shared" si="13"/>
        <v>3.4722222222222224E-2</v>
      </c>
      <c r="O93" t="s">
        <v>838</v>
      </c>
    </row>
    <row r="94" spans="1:15">
      <c r="A94" t="str">
        <f t="shared" si="6"/>
        <v>ŁĄCZNIK ELIPSA DUŻAFREZOWANIE KANAŁU</v>
      </c>
      <c r="B94">
        <v>36</v>
      </c>
      <c r="C94" s="114">
        <f t="shared" si="7"/>
        <v>100</v>
      </c>
      <c r="D94" s="26">
        <f t="shared" si="8"/>
        <v>4.1666666666666669E-4</v>
      </c>
      <c r="E94" s="26">
        <f t="shared" si="9"/>
        <v>4.1666666666666671E-2</v>
      </c>
      <c r="F94" t="s">
        <v>824</v>
      </c>
      <c r="J94" t="str">
        <f t="shared" si="10"/>
        <v>KĄTOWNIK WTRYSKOWYCIĘCIE ŁĄCZNIKA</v>
      </c>
      <c r="K94">
        <v>24</v>
      </c>
      <c r="L94" s="114">
        <f t="shared" si="11"/>
        <v>150</v>
      </c>
      <c r="M94" s="26">
        <f t="shared" si="12"/>
        <v>2.7777777777777778E-4</v>
      </c>
      <c r="N94" s="26">
        <f t="shared" si="13"/>
        <v>2.7777777777777776E-2</v>
      </c>
      <c r="O94" t="s">
        <v>829</v>
      </c>
    </row>
    <row r="95" spans="1:15">
      <c r="A95" t="str">
        <f t="shared" si="6"/>
        <v>ŁĄCZNIK PTFREZOWANIE ŁUKU</v>
      </c>
      <c r="B95">
        <v>51</v>
      </c>
      <c r="C95" s="114">
        <f t="shared" si="7"/>
        <v>70.588235294117652</v>
      </c>
      <c r="D95" s="26">
        <f t="shared" si="8"/>
        <v>5.9027777777777778E-4</v>
      </c>
      <c r="E95" s="26">
        <f t="shared" si="9"/>
        <v>5.9027777777777776E-2</v>
      </c>
      <c r="F95" t="s">
        <v>827</v>
      </c>
      <c r="J95" t="str">
        <f t="shared" si="10"/>
        <v>KĄTOWNIK WTRYSKOWYCIĘCIE NÓŻEK</v>
      </c>
      <c r="K95">
        <v>24</v>
      </c>
      <c r="L95" s="114">
        <f t="shared" si="11"/>
        <v>150</v>
      </c>
      <c r="M95" s="26">
        <f t="shared" si="12"/>
        <v>2.7777777777777778E-4</v>
      </c>
      <c r="N95" s="26">
        <f t="shared" si="13"/>
        <v>2.7777777777777776E-2</v>
      </c>
      <c r="O95" t="s">
        <v>824</v>
      </c>
    </row>
    <row r="96" spans="1:15">
      <c r="A96" t="str">
        <f t="shared" si="6"/>
        <v>ŁĄCZNIK PTFREZOWANIE KANAŁU</v>
      </c>
      <c r="B96">
        <v>36</v>
      </c>
      <c r="C96" s="114">
        <f t="shared" si="7"/>
        <v>100</v>
      </c>
      <c r="D96" s="26">
        <f t="shared" si="8"/>
        <v>4.1666666666666669E-4</v>
      </c>
      <c r="E96" s="26">
        <f t="shared" si="9"/>
        <v>4.1666666666666671E-2</v>
      </c>
      <c r="F96" t="s">
        <v>828</v>
      </c>
      <c r="J96" t="str">
        <f t="shared" si="10"/>
        <v>KĄTOWNIK WTRYSKOWYCIĘCIE ŁĄCZNIKA TOPEROWEGO</v>
      </c>
      <c r="K96">
        <v>24</v>
      </c>
      <c r="L96" s="114">
        <f t="shared" si="11"/>
        <v>150</v>
      </c>
      <c r="M96" s="26">
        <f t="shared" si="12"/>
        <v>2.7777777777777778E-4</v>
      </c>
      <c r="N96" s="26">
        <f t="shared" si="13"/>
        <v>2.7777777777777776E-2</v>
      </c>
      <c r="O96" t="s">
        <v>852</v>
      </c>
    </row>
    <row r="97" spans="1:15">
      <c r="A97" t="str">
        <f t="shared" si="6"/>
        <v>ŁĄCZNIK WINGFREZOWANIE ŁUKU</v>
      </c>
      <c r="B97">
        <v>45</v>
      </c>
      <c r="C97" s="114">
        <f t="shared" si="7"/>
        <v>80</v>
      </c>
      <c r="D97" s="26">
        <f t="shared" si="8"/>
        <v>5.2083333333333333E-4</v>
      </c>
      <c r="E97" s="26">
        <f t="shared" si="9"/>
        <v>5.2083333333333336E-2</v>
      </c>
      <c r="F97" t="s">
        <v>829</v>
      </c>
      <c r="J97" t="str">
        <f t="shared" si="10"/>
        <v>ŁĄCZNIK WINGCIĘCIE</v>
      </c>
      <c r="K97">
        <v>30</v>
      </c>
      <c r="L97" s="114">
        <f t="shared" si="11"/>
        <v>120</v>
      </c>
      <c r="M97" s="26">
        <f t="shared" si="12"/>
        <v>3.4722222222222224E-4</v>
      </c>
      <c r="N97" s="26">
        <f t="shared" si="13"/>
        <v>3.4722222222222224E-2</v>
      </c>
      <c r="O97" t="s">
        <v>827</v>
      </c>
    </row>
    <row r="98" spans="1:15">
      <c r="A98" t="str">
        <f t="shared" si="6"/>
        <v>ŁĄCZNIK WINGFREZOWANIE KANAŁU</v>
      </c>
      <c r="B98">
        <v>36</v>
      </c>
      <c r="C98" s="114">
        <f t="shared" si="7"/>
        <v>100</v>
      </c>
      <c r="D98" s="26">
        <f t="shared" si="8"/>
        <v>4.1666666666666669E-4</v>
      </c>
      <c r="E98" s="26">
        <f t="shared" si="9"/>
        <v>4.1666666666666671E-2</v>
      </c>
      <c r="F98" t="s">
        <v>831</v>
      </c>
      <c r="J98" t="str">
        <f t="shared" si="10"/>
        <v>ŁĄCZNIK TRIANGLECIĘCIE ŁĄCZNIKA</v>
      </c>
      <c r="K98">
        <v>24</v>
      </c>
      <c r="L98" s="114">
        <f t="shared" si="11"/>
        <v>150</v>
      </c>
      <c r="M98" s="26">
        <f t="shared" si="12"/>
        <v>2.7777777777777778E-4</v>
      </c>
      <c r="N98" s="26">
        <f t="shared" si="13"/>
        <v>2.7777777777777776E-2</v>
      </c>
      <c r="O98" t="s">
        <v>853</v>
      </c>
    </row>
    <row r="99" spans="1:15">
      <c r="A99" t="str">
        <f t="shared" si="6"/>
        <v>ŁĄCZNIK KRFREZOWANIE ŁUKU</v>
      </c>
      <c r="B99">
        <v>51</v>
      </c>
      <c r="C99" s="114">
        <f t="shared" si="7"/>
        <v>70.588235294117652</v>
      </c>
      <c r="D99" s="26">
        <f t="shared" si="8"/>
        <v>5.9027777777777778E-4</v>
      </c>
      <c r="E99" s="26">
        <f t="shared" si="9"/>
        <v>5.9027777777777776E-2</v>
      </c>
      <c r="F99" t="s">
        <v>832</v>
      </c>
      <c r="J99" t="str">
        <f t="shared" si="10"/>
        <v>ŁĄCZNIK TRIANGLECIĘCIE ŁĄCZNIKA TOPEROWEGO</v>
      </c>
      <c r="K99">
        <v>24</v>
      </c>
      <c r="L99" s="114">
        <f t="shared" si="11"/>
        <v>150</v>
      </c>
      <c r="M99" s="26">
        <f t="shared" si="12"/>
        <v>2.7777777777777778E-4</v>
      </c>
      <c r="N99" s="26">
        <f t="shared" si="13"/>
        <v>2.7777777777777776E-2</v>
      </c>
      <c r="O99" t="s">
        <v>857</v>
      </c>
    </row>
    <row r="100" spans="1:15">
      <c r="A100" t="str">
        <f t="shared" si="6"/>
        <v>ŁĄCZNIK KRFREZOWANIE KANAŁU</v>
      </c>
      <c r="B100">
        <v>36</v>
      </c>
      <c r="C100" s="114">
        <f t="shared" si="7"/>
        <v>100</v>
      </c>
      <c r="D100" s="26">
        <f t="shared" si="8"/>
        <v>4.1666666666666669E-4</v>
      </c>
      <c r="E100" s="26">
        <f t="shared" si="9"/>
        <v>4.1666666666666671E-2</v>
      </c>
      <c r="F100" t="s">
        <v>834</v>
      </c>
      <c r="J100" t="str">
        <f t="shared" si="10"/>
        <v>ŁĄCZNIK KRCIĘCIE</v>
      </c>
      <c r="K100">
        <v>60</v>
      </c>
      <c r="L100" s="114">
        <f t="shared" si="11"/>
        <v>60</v>
      </c>
      <c r="M100" s="26">
        <f t="shared" si="12"/>
        <v>6.9444444444444447E-4</v>
      </c>
      <c r="N100" s="26">
        <f t="shared" si="13"/>
        <v>6.9444444444444448E-2</v>
      </c>
      <c r="O100" t="s">
        <v>858</v>
      </c>
    </row>
    <row r="101" spans="1:15">
      <c r="A101" t="str">
        <f t="shared" si="6"/>
        <v>MISA SŁUPFREZOWANIE</v>
      </c>
      <c r="B101">
        <v>120</v>
      </c>
      <c r="C101" s="114">
        <f t="shared" si="7"/>
        <v>30</v>
      </c>
      <c r="D101" s="26">
        <f t="shared" si="8"/>
        <v>1.3888888888888889E-3</v>
      </c>
      <c r="E101" s="26">
        <f t="shared" si="9"/>
        <v>0.1388888888888889</v>
      </c>
      <c r="J101" t="str">
        <f t="shared" si="10"/>
        <v>RURA FI 32CIĘCIE ŁĄCZNIKA</v>
      </c>
      <c r="K101">
        <v>12</v>
      </c>
      <c r="L101" s="114">
        <f t="shared" si="11"/>
        <v>300</v>
      </c>
      <c r="M101" s="26">
        <f t="shared" si="12"/>
        <v>1.3888888888888889E-4</v>
      </c>
      <c r="N101" s="26">
        <f t="shared" si="13"/>
        <v>1.3888888888888888E-2</v>
      </c>
      <c r="O101" t="s">
        <v>859</v>
      </c>
    </row>
    <row r="102" spans="1:15">
      <c r="A102" t="str">
        <f t="shared" si="6"/>
        <v>KĄTOWNIK WTRYSKOWYFREZOWANIE NÓŻEK DO PODESTÓW</v>
      </c>
      <c r="B102">
        <v>36</v>
      </c>
      <c r="C102" s="114">
        <f t="shared" si="7"/>
        <v>100</v>
      </c>
      <c r="D102" s="26">
        <f t="shared" si="8"/>
        <v>4.1666666666666669E-4</v>
      </c>
      <c r="E102" s="26">
        <f t="shared" si="9"/>
        <v>4.1666666666666671E-2</v>
      </c>
      <c r="J102" t="str">
        <f t="shared" si="10"/>
        <v>RURA FI 32NACINANIE ŁĄCZNIKA</v>
      </c>
      <c r="K102">
        <v>12</v>
      </c>
      <c r="L102" s="114">
        <f t="shared" si="11"/>
        <v>300</v>
      </c>
      <c r="M102" s="26">
        <f t="shared" si="12"/>
        <v>1.3888888888888889E-4</v>
      </c>
      <c r="N102" s="26">
        <f t="shared" si="13"/>
        <v>1.3888888888888888E-2</v>
      </c>
      <c r="O102" t="s">
        <v>860</v>
      </c>
    </row>
    <row r="103" spans="1:15">
      <c r="A103" t="str">
        <f t="shared" si="6"/>
        <v>TACKI FREZOWANIE FASOLKI 1PKTTACKI FREZOWANIE FASOLKI 1PKT</v>
      </c>
      <c r="B103">
        <v>18</v>
      </c>
      <c r="C103" s="114">
        <f t="shared" si="7"/>
        <v>200</v>
      </c>
      <c r="D103" s="26">
        <f t="shared" si="8"/>
        <v>2.0833333333333335E-4</v>
      </c>
      <c r="E103" s="26">
        <f t="shared" si="9"/>
        <v>2.0833333333333336E-2</v>
      </c>
      <c r="J103" t="str">
        <f t="shared" si="10"/>
        <v>RURA FI 32CIĘCIE NÓŻEK</v>
      </c>
      <c r="K103">
        <v>9</v>
      </c>
      <c r="L103" s="114">
        <f t="shared" si="11"/>
        <v>400</v>
      </c>
      <c r="M103" s="26">
        <f t="shared" si="12"/>
        <v>1.0416666666666667E-4</v>
      </c>
      <c r="N103" s="26">
        <f t="shared" si="13"/>
        <v>1.0416666666666668E-2</v>
      </c>
      <c r="O103" t="s">
        <v>861</v>
      </c>
    </row>
    <row r="104" spans="1:15">
      <c r="A104" t="str">
        <f t="shared" si="6"/>
        <v>TACKI FREZOWANIE FASOLEK 2PKTYTACKI FREZOWANIE FASOLEK 2PKTY</v>
      </c>
      <c r="B104">
        <v>30</v>
      </c>
      <c r="C104" s="114">
        <f t="shared" si="7"/>
        <v>120</v>
      </c>
      <c r="D104" s="26">
        <f t="shared" si="8"/>
        <v>3.4722222222222224E-4</v>
      </c>
      <c r="E104" s="26">
        <f t="shared" si="9"/>
        <v>3.4722222222222224E-2</v>
      </c>
      <c r="J104" t="str">
        <f t="shared" si="10"/>
        <v>RURA FI 32NACINANIE NÓŻEK</v>
      </c>
      <c r="K104">
        <v>7</v>
      </c>
      <c r="L104" s="114">
        <f t="shared" si="11"/>
        <v>514.28571428571433</v>
      </c>
      <c r="M104" s="26">
        <f t="shared" si="12"/>
        <v>8.101851851851853E-5</v>
      </c>
      <c r="N104" s="26">
        <f t="shared" si="13"/>
        <v>8.1018518518518531E-3</v>
      </c>
      <c r="O104" t="s">
        <v>862</v>
      </c>
    </row>
    <row r="105" spans="1:15">
      <c r="A105" t="str">
        <f t="shared" si="6"/>
        <v>FRONT FREZOWANIE FASOLKI 1PKTFRONT FREZOWANIE FASOLKI 1PKT</v>
      </c>
      <c r="B105">
        <v>18</v>
      </c>
      <c r="C105" s="114">
        <f t="shared" si="7"/>
        <v>200</v>
      </c>
      <c r="D105" s="26">
        <f t="shared" si="8"/>
        <v>2.0833333333333335E-4</v>
      </c>
      <c r="E105" s="26">
        <f t="shared" si="9"/>
        <v>2.0833333333333336E-2</v>
      </c>
      <c r="J105" t="str">
        <f t="shared" si="10"/>
        <v>RURA FI 32CIĘCIE ŁĄCZNIKA TOPEROWEGO</v>
      </c>
      <c r="K105">
        <v>12</v>
      </c>
      <c r="L105" s="114">
        <f t="shared" si="11"/>
        <v>300</v>
      </c>
      <c r="M105" s="26">
        <f t="shared" si="12"/>
        <v>1.3888888888888889E-4</v>
      </c>
      <c r="N105" s="26">
        <f t="shared" si="13"/>
        <v>1.3888888888888888E-2</v>
      </c>
      <c r="O105" t="s">
        <v>863</v>
      </c>
    </row>
    <row r="106" spans="1:15">
      <c r="A106" t="str">
        <f t="shared" si="6"/>
        <v>ŁĄCZNIK PÓŁKA OKRĄGŁAFREZOWANIE ŁĄCZNIKA (2 STR.)</v>
      </c>
      <c r="B106">
        <v>55</v>
      </c>
      <c r="C106" s="114">
        <f t="shared" si="7"/>
        <v>65.454545454545453</v>
      </c>
      <c r="D106" s="26">
        <f t="shared" si="8"/>
        <v>6.3657407407407402E-4</v>
      </c>
      <c r="E106" s="26">
        <f t="shared" si="9"/>
        <v>6.3657407407407399E-2</v>
      </c>
      <c r="J106" t="str">
        <f t="shared" si="10"/>
        <v>RURA FI 32FREZ. ŁĄCZNIKA TOPEROWEGO POD GRAFIKĘ</v>
      </c>
      <c r="K106">
        <v>14</v>
      </c>
      <c r="L106" s="114">
        <f t="shared" si="11"/>
        <v>257.14285714285717</v>
      </c>
      <c r="M106" s="26">
        <f t="shared" si="12"/>
        <v>1.6203703703703706E-4</v>
      </c>
      <c r="N106" s="26">
        <f t="shared" si="13"/>
        <v>1.6203703703703706E-2</v>
      </c>
      <c r="O106" t="s">
        <v>864</v>
      </c>
    </row>
    <row r="107" spans="1:15">
      <c r="J107" t="str">
        <f t="shared" si="10"/>
        <v>RURA FI 42CIĘCIE ŁĄCZNIKA</v>
      </c>
      <c r="K107">
        <v>12</v>
      </c>
      <c r="L107" s="114">
        <f t="shared" si="11"/>
        <v>300</v>
      </c>
      <c r="M107" s="26">
        <f t="shared" si="12"/>
        <v>1.3888888888888889E-4</v>
      </c>
      <c r="N107" s="26">
        <f t="shared" si="13"/>
        <v>1.3888888888888888E-2</v>
      </c>
      <c r="O107" t="s">
        <v>865</v>
      </c>
    </row>
    <row r="108" spans="1:15">
      <c r="J108" t="str">
        <f t="shared" si="10"/>
        <v>RURA FI 42NACINANIE ŁĄCZNIKA</v>
      </c>
      <c r="K108">
        <v>12</v>
      </c>
      <c r="L108" s="114">
        <f t="shared" si="11"/>
        <v>300</v>
      </c>
      <c r="M108" s="26">
        <f t="shared" si="12"/>
        <v>1.3888888888888889E-4</v>
      </c>
      <c r="N108" s="26">
        <f t="shared" si="13"/>
        <v>1.3888888888888888E-2</v>
      </c>
      <c r="O108" t="s">
        <v>828</v>
      </c>
    </row>
    <row r="109" spans="1:15">
      <c r="J109" t="str">
        <f t="shared" si="10"/>
        <v>RURA FI 42CIĘCIE NÓŻEK</v>
      </c>
      <c r="K109">
        <v>9</v>
      </c>
      <c r="L109" s="114">
        <f t="shared" si="11"/>
        <v>400</v>
      </c>
      <c r="M109" s="26">
        <f t="shared" si="12"/>
        <v>1.0416666666666667E-4</v>
      </c>
      <c r="N109" s="26">
        <f t="shared" si="13"/>
        <v>1.0416666666666668E-2</v>
      </c>
      <c r="O109" t="s">
        <v>866</v>
      </c>
    </row>
    <row r="110" spans="1:15">
      <c r="J110" t="str">
        <f t="shared" si="10"/>
        <v>RURA FI 42NACINANIE NÓŻEK</v>
      </c>
      <c r="K110">
        <v>7</v>
      </c>
      <c r="L110" s="114">
        <f t="shared" si="11"/>
        <v>514.28571428571433</v>
      </c>
      <c r="M110" s="26">
        <f t="shared" si="12"/>
        <v>8.101851851851853E-5</v>
      </c>
      <c r="N110" s="26">
        <f t="shared" si="13"/>
        <v>8.1018518518518531E-3</v>
      </c>
      <c r="O110" t="s">
        <v>867</v>
      </c>
    </row>
    <row r="111" spans="1:15">
      <c r="J111" t="str">
        <f t="shared" si="10"/>
        <v>RURA FI 42CIĘCIE ŁĄCZNIKA TOPEROWEGO</v>
      </c>
      <c r="K111">
        <v>12</v>
      </c>
      <c r="L111" s="114">
        <f t="shared" si="11"/>
        <v>300</v>
      </c>
      <c r="M111" s="26">
        <f t="shared" si="12"/>
        <v>1.3888888888888889E-4</v>
      </c>
      <c r="N111" s="26">
        <f t="shared" si="13"/>
        <v>1.3888888888888888E-2</v>
      </c>
      <c r="O111" t="s">
        <v>868</v>
      </c>
    </row>
    <row r="112" spans="1:15">
      <c r="J112" t="str">
        <f t="shared" si="10"/>
        <v>RURA FI 42FREZ. ŁĄCZNIKA TOPEROWEGO POD GRAFIKĘ</v>
      </c>
      <c r="K112">
        <v>14</v>
      </c>
      <c r="L112" s="114">
        <f t="shared" si="11"/>
        <v>257.14285714285717</v>
      </c>
      <c r="M112" s="26">
        <f t="shared" si="12"/>
        <v>1.6203703703703706E-4</v>
      </c>
      <c r="N112" s="26">
        <f t="shared" si="13"/>
        <v>1.6203703703703706E-2</v>
      </c>
      <c r="O112" t="s">
        <v>870</v>
      </c>
    </row>
    <row r="113" spans="10:15">
      <c r="J113" t="str">
        <f t="shared" si="10"/>
        <v>ŁĄCZNIK HARDY (TRÓJKĄT) MAŁYCIĘCIE ŁĄCZNIKA</v>
      </c>
      <c r="K113">
        <v>14</v>
      </c>
      <c r="L113" s="114">
        <f t="shared" si="11"/>
        <v>257.14285714285717</v>
      </c>
      <c r="M113" s="26">
        <f t="shared" si="12"/>
        <v>1.6203703703703706E-4</v>
      </c>
      <c r="N113" s="26">
        <f t="shared" si="13"/>
        <v>1.6203703703703706E-2</v>
      </c>
      <c r="O113" t="s">
        <v>834</v>
      </c>
    </row>
    <row r="114" spans="10:15">
      <c r="J114" t="str">
        <f t="shared" si="10"/>
        <v>ŁĄCZNIK HARDY (TRÓJKĄT) MAŁYCIĘCIE NÓŻEK</v>
      </c>
      <c r="K114">
        <v>14</v>
      </c>
      <c r="L114" s="114">
        <f t="shared" si="11"/>
        <v>257.14285714285717</v>
      </c>
      <c r="M114" s="26">
        <f t="shared" si="12"/>
        <v>1.6203703703703706E-4</v>
      </c>
      <c r="N114" s="26">
        <f t="shared" si="13"/>
        <v>1.6203703703703706E-2</v>
      </c>
      <c r="O114" t="s">
        <v>872</v>
      </c>
    </row>
    <row r="115" spans="10:15">
      <c r="J115" t="str">
        <f t="shared" si="10"/>
        <v>ŁĄCZNIK HARDY (TRÓJKĄT) MAŁYCIĘCIE ŁĄCZNIKA TOPEROWEGO</v>
      </c>
      <c r="K115">
        <v>14</v>
      </c>
      <c r="L115" s="114">
        <f t="shared" si="11"/>
        <v>257.14285714285717</v>
      </c>
      <c r="M115" s="26">
        <f t="shared" si="12"/>
        <v>1.6203703703703706E-4</v>
      </c>
      <c r="N115" s="26">
        <f t="shared" si="13"/>
        <v>1.6203703703703706E-2</v>
      </c>
    </row>
    <row r="116" spans="10:15">
      <c r="J116" t="str">
        <f t="shared" si="10"/>
        <v>ŁĄCZNIK HARDY (TRÓJKĄT) MAŁYFREZ. ŁĄCZNIKA TOPEROWEGO POD GRAFIKĘ</v>
      </c>
      <c r="K116">
        <v>24</v>
      </c>
      <c r="L116" s="114">
        <f t="shared" si="11"/>
        <v>150</v>
      </c>
      <c r="M116" s="26">
        <f t="shared" si="12"/>
        <v>2.7777777777777778E-4</v>
      </c>
      <c r="N116" s="26">
        <f t="shared" si="13"/>
        <v>2.7777777777777776E-2</v>
      </c>
    </row>
    <row r="117" spans="10:15">
      <c r="J117" t="str">
        <f t="shared" si="10"/>
        <v>ŁĄCZNIK HARDY (TRÓJKĄT) ŚREDNICIĘCIE ŁĄCZNIKA</v>
      </c>
      <c r="K117">
        <v>14</v>
      </c>
      <c r="L117" s="114">
        <f t="shared" si="11"/>
        <v>257.14285714285717</v>
      </c>
      <c r="M117" s="26">
        <f t="shared" si="12"/>
        <v>1.6203703703703706E-4</v>
      </c>
      <c r="N117" s="26">
        <f t="shared" si="13"/>
        <v>1.6203703703703706E-2</v>
      </c>
    </row>
    <row r="118" spans="10:15">
      <c r="J118" t="str">
        <f t="shared" si="10"/>
        <v>ŁĄCZNIK HARDY (TRÓJKĄT) ŚREDNICIĘCIE NÓŻEK</v>
      </c>
      <c r="K118">
        <v>14</v>
      </c>
      <c r="L118" s="114">
        <f t="shared" si="11"/>
        <v>257.14285714285717</v>
      </c>
      <c r="M118" s="26">
        <f t="shared" si="12"/>
        <v>1.6203703703703706E-4</v>
      </c>
      <c r="N118" s="26">
        <f t="shared" si="13"/>
        <v>1.6203703703703706E-2</v>
      </c>
    </row>
    <row r="119" spans="10:15">
      <c r="J119" t="str">
        <f t="shared" si="10"/>
        <v>ŁĄCZNIK HARDY (TRÓJKĄT) ŚREDNICIĘCIE ŁĄCZNIKA TOPEROWEGO</v>
      </c>
      <c r="K119">
        <v>14</v>
      </c>
      <c r="L119" s="114">
        <f t="shared" si="11"/>
        <v>257.14285714285717</v>
      </c>
      <c r="M119" s="26">
        <f t="shared" si="12"/>
        <v>1.6203703703703706E-4</v>
      </c>
      <c r="N119" s="26">
        <f t="shared" si="13"/>
        <v>1.6203703703703706E-2</v>
      </c>
    </row>
    <row r="120" spans="10:15">
      <c r="J120" t="str">
        <f t="shared" si="10"/>
        <v>ŁĄCZNIK HARDY (TRÓJKĄT) ŚREDNIFREZ. ŁĄCZNIKA TOPEROWEGO POD GRAFIKĘ</v>
      </c>
      <c r="K120">
        <v>24</v>
      </c>
      <c r="L120" s="114">
        <f t="shared" si="11"/>
        <v>150</v>
      </c>
      <c r="M120" s="26">
        <f t="shared" si="12"/>
        <v>2.7777777777777778E-4</v>
      </c>
      <c r="N120" s="26">
        <f t="shared" si="13"/>
        <v>2.7777777777777776E-2</v>
      </c>
    </row>
    <row r="121" spans="10:15">
      <c r="J121" t="str">
        <f t="shared" si="10"/>
        <v>ŁĄCZNIK HARDY (TRÓJKĄT) DUŻYCIĘCIE ŁĄCZNIKA</v>
      </c>
      <c r="K121">
        <v>14</v>
      </c>
      <c r="L121" s="114">
        <f t="shared" si="11"/>
        <v>257.14285714285717</v>
      </c>
      <c r="M121" s="26">
        <f t="shared" si="12"/>
        <v>1.6203703703703706E-4</v>
      </c>
      <c r="N121" s="26">
        <f t="shared" si="13"/>
        <v>1.6203703703703706E-2</v>
      </c>
    </row>
    <row r="122" spans="10:15">
      <c r="J122" t="str">
        <f t="shared" si="10"/>
        <v>ŁĄCZNIK HARDY (TRÓJKĄT) DUŻYCIĘCIE NÓŻEK</v>
      </c>
      <c r="K122">
        <v>14</v>
      </c>
      <c r="L122" s="114">
        <f t="shared" si="11"/>
        <v>257.14285714285717</v>
      </c>
      <c r="M122" s="26">
        <f t="shared" si="12"/>
        <v>1.6203703703703706E-4</v>
      </c>
      <c r="N122" s="26">
        <f t="shared" si="13"/>
        <v>1.6203703703703706E-2</v>
      </c>
    </row>
    <row r="123" spans="10:15">
      <c r="J123" t="str">
        <f t="shared" si="10"/>
        <v>ŁĄCZNIK HARDY (TRÓJKĄT) DUŻYCIĘCIE ŁĄCZNIKA TOPEROWEGO</v>
      </c>
      <c r="K123">
        <v>14</v>
      </c>
      <c r="L123" s="114">
        <f t="shared" si="11"/>
        <v>257.14285714285717</v>
      </c>
      <c r="M123" s="26">
        <f t="shared" si="12"/>
        <v>1.6203703703703706E-4</v>
      </c>
      <c r="N123" s="26">
        <f t="shared" si="13"/>
        <v>1.6203703703703706E-2</v>
      </c>
    </row>
    <row r="124" spans="10:15">
      <c r="J124" t="str">
        <f t="shared" si="10"/>
        <v>ŁĄCZNIK HARDY (TRÓJKĄT) DUŻYFREZ. ŁĄCZNIKA TOPEROWEGO POD GRAFIKĘ</v>
      </c>
      <c r="K124">
        <v>24</v>
      </c>
      <c r="L124" s="114">
        <f t="shared" si="11"/>
        <v>150</v>
      </c>
      <c r="M124" s="26">
        <f t="shared" si="12"/>
        <v>2.7777777777777778E-4</v>
      </c>
      <c r="N124" s="26">
        <f t="shared" si="13"/>
        <v>2.7777777777777776E-2</v>
      </c>
    </row>
    <row r="125" spans="10:15">
      <c r="J125" t="str">
        <f t="shared" si="10"/>
        <v>ŁĄCZNIK GWIAZDACIĘCIE ŁĄCZNIKA</v>
      </c>
      <c r="K125">
        <v>24</v>
      </c>
      <c r="L125" s="114">
        <f t="shared" ref="L125:L133" si="14">3600/K125</f>
        <v>150</v>
      </c>
      <c r="M125" s="26">
        <f t="shared" si="12"/>
        <v>2.7777777777777778E-4</v>
      </c>
      <c r="N125" s="26">
        <f t="shared" si="13"/>
        <v>2.7777777777777776E-2</v>
      </c>
    </row>
    <row r="126" spans="10:15">
      <c r="J126" t="str">
        <f t="shared" si="10"/>
        <v>ŁĄCZNIK GWIAZDACIĘCIE NÓŻEK</v>
      </c>
      <c r="K126">
        <v>24</v>
      </c>
      <c r="L126" s="114">
        <f t="shared" si="14"/>
        <v>150</v>
      </c>
      <c r="M126" s="26">
        <f t="shared" si="12"/>
        <v>2.7777777777777778E-4</v>
      </c>
      <c r="N126" s="26">
        <f t="shared" si="13"/>
        <v>2.7777777777777776E-2</v>
      </c>
    </row>
    <row r="127" spans="10:15">
      <c r="J127" t="str">
        <f t="shared" si="10"/>
        <v>CENÓWKACENÓWKA</v>
      </c>
      <c r="K127">
        <v>18</v>
      </c>
      <c r="L127" s="114">
        <f t="shared" si="14"/>
        <v>200</v>
      </c>
      <c r="M127" s="26">
        <f t="shared" si="12"/>
        <v>2.0833333333333335E-4</v>
      </c>
      <c r="N127" s="26">
        <f t="shared" si="13"/>
        <v>2.0833333333333336E-2</v>
      </c>
    </row>
    <row r="128" spans="10:15">
      <c r="J128" t="str">
        <f t="shared" si="10"/>
        <v>SZYBKA (FRONT) ZWYKŁA (TRAY A,B,C,D,E,P)SZYBKA (FRONT) ZWYKŁA (TRAY A,B,C,D,E,P)</v>
      </c>
      <c r="K128">
        <v>18</v>
      </c>
      <c r="L128" s="114">
        <f t="shared" si="14"/>
        <v>200</v>
      </c>
      <c r="M128" s="26">
        <f t="shared" si="12"/>
        <v>2.0833333333333335E-4</v>
      </c>
      <c r="N128" s="26">
        <f t="shared" si="13"/>
        <v>2.0833333333333336E-2</v>
      </c>
    </row>
    <row r="129" spans="10:14">
      <c r="J129" t="str">
        <f t="shared" si="10"/>
        <v>SZYBKA PTSZYBKA PT</v>
      </c>
      <c r="K129">
        <v>18</v>
      </c>
      <c r="L129" s="114">
        <f t="shared" si="14"/>
        <v>200</v>
      </c>
      <c r="M129" s="26">
        <f t="shared" si="12"/>
        <v>2.0833333333333335E-4</v>
      </c>
      <c r="N129" s="26">
        <f t="shared" si="13"/>
        <v>2.0833333333333336E-2</v>
      </c>
    </row>
    <row r="130" spans="10:14">
      <c r="J130" t="str">
        <f t="shared" si="10"/>
        <v>ŁĄCZNIK "ŁEZKA" KRŁĄCZNIK "ŁEZKA" KR</v>
      </c>
      <c r="K130">
        <v>9</v>
      </c>
      <c r="L130" s="114">
        <f t="shared" si="14"/>
        <v>400</v>
      </c>
      <c r="M130" s="26">
        <f t="shared" si="12"/>
        <v>1.0416666666666667E-4</v>
      </c>
      <c r="N130" s="26">
        <f t="shared" si="13"/>
        <v>1.0416666666666668E-2</v>
      </c>
    </row>
    <row r="131" spans="10:14">
      <c r="J131" t="str">
        <f t="shared" si="10"/>
        <v>MISA SŁUPCIĘCIE</v>
      </c>
      <c r="K131">
        <v>180</v>
      </c>
      <c r="L131" s="114">
        <f t="shared" si="14"/>
        <v>20</v>
      </c>
      <c r="M131" s="26">
        <f t="shared" si="12"/>
        <v>2.0833333333333333E-3</v>
      </c>
      <c r="N131" s="26">
        <f t="shared" si="13"/>
        <v>0.20833333333333334</v>
      </c>
    </row>
    <row r="132" spans="10:14">
      <c r="J132" t="str">
        <f t="shared" si="10"/>
        <v>RURKA ALUMINIOWA CIĘCIERURKA ALUMINIOWA CIĘCIE</v>
      </c>
      <c r="K132">
        <v>24</v>
      </c>
      <c r="L132" s="114">
        <f t="shared" si="14"/>
        <v>150</v>
      </c>
      <c r="M132" s="26">
        <f t="shared" si="12"/>
        <v>2.7777777777777778E-4</v>
      </c>
      <c r="N132" s="26">
        <f t="shared" si="13"/>
        <v>2.7777777777777776E-2</v>
      </c>
    </row>
    <row r="133" spans="10:14">
      <c r="J133" t="str">
        <f t="shared" si="10"/>
        <v>PROFIL ALUMINIOWY CIĘCIEPROFIL ALUMINIOWY CIĘCIE</v>
      </c>
      <c r="K133">
        <v>25</v>
      </c>
      <c r="L133" s="114">
        <f t="shared" si="14"/>
        <v>144</v>
      </c>
      <c r="M133" s="26">
        <f t="shared" si="12"/>
        <v>2.8935185185185189E-4</v>
      </c>
      <c r="N133" s="26">
        <f t="shared" si="13"/>
        <v>2.8935185185185189E-2</v>
      </c>
    </row>
    <row r="134" spans="10:14">
      <c r="J134" t="str">
        <f t="shared" si="10"/>
        <v>SCHODKI WTRYSKOWECIĘCIE I NACINANIE</v>
      </c>
      <c r="K134">
        <v>45</v>
      </c>
      <c r="L134" s="114">
        <f>3600/K134</f>
        <v>80</v>
      </c>
      <c r="M134" s="26">
        <f t="shared" si="12"/>
        <v>5.2083333333333333E-4</v>
      </c>
      <c r="N134" s="26">
        <f t="shared" si="13"/>
        <v>5.2083333333333336E-2</v>
      </c>
    </row>
    <row r="135" spans="10:14">
      <c r="J135" t="str">
        <f t="shared" si="10"/>
        <v>PASKI Z TWORZYWACIĘCIE</v>
      </c>
      <c r="K135">
        <v>4</v>
      </c>
      <c r="L135" s="114">
        <f>3600/K135</f>
        <v>900</v>
      </c>
      <c r="M135" s="26">
        <f t="shared" si="12"/>
        <v>4.6296296296296294E-5</v>
      </c>
      <c r="N135" s="26">
        <f t="shared" si="13"/>
        <v>4.6296296296296294E-3</v>
      </c>
    </row>
    <row r="136" spans="10:14">
      <c r="J136" t="str">
        <f t="shared" si="10"/>
        <v>ŁĄCZNIK PÓŁKA OKRĄGŁACIĘCIE ŁĄCZNIKA NA WYMIAR (2 STR.)</v>
      </c>
      <c r="K136">
        <v>30</v>
      </c>
      <c r="L136" s="114">
        <f>3600/K136</f>
        <v>120</v>
      </c>
      <c r="M136" s="26">
        <f t="shared" si="12"/>
        <v>3.4722222222222224E-4</v>
      </c>
      <c r="N136" s="26">
        <f t="shared" si="13"/>
        <v>3.4722222222222224E-2</v>
      </c>
    </row>
    <row r="137" spans="10:14">
      <c r="J137" t="str">
        <f t="shared" si="10"/>
        <v>KORYTKA ELEKTRYCZNECIĘCIE</v>
      </c>
      <c r="K137">
        <v>10</v>
      </c>
      <c r="L137" s="114">
        <f>3600/K137</f>
        <v>360</v>
      </c>
      <c r="M137" s="26">
        <f t="shared" si="12"/>
        <v>1.1574074074074075E-4</v>
      </c>
      <c r="N137" s="26">
        <f t="shared" si="13"/>
        <v>1.1574074074074075E-2</v>
      </c>
    </row>
  </sheetData>
  <mergeCells count="4">
    <mergeCell ref="A1:I1"/>
    <mergeCell ref="J1:R1"/>
    <mergeCell ref="A29:I29"/>
    <mergeCell ref="J29:R29"/>
  </mergeCells>
  <dataValidations disablePrompts="1" count="1">
    <dataValidation type="list" allowBlank="1" showInputMessage="1" showErrorMessage="1" sqref="Y36">
      <formula1>Frez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7">
    <tabColor rgb="FF0070C0"/>
  </sheetPr>
  <dimension ref="A1:AC31"/>
  <sheetViews>
    <sheetView topLeftCell="G1" workbookViewId="0">
      <selection activeCell="X27" sqref="X27"/>
    </sheetView>
  </sheetViews>
  <sheetFormatPr defaultRowHeight="15"/>
  <cols>
    <col min="7" max="7" width="11.85546875" customWidth="1"/>
    <col min="9" max="9" width="18" customWidth="1"/>
    <col min="16" max="16" width="11.5703125" customWidth="1"/>
    <col min="23" max="23" width="11" customWidth="1"/>
    <col min="24" max="25" width="9.85546875" bestFit="1" customWidth="1"/>
  </cols>
  <sheetData>
    <row r="1" spans="1:29" ht="15.75" thickBot="1">
      <c r="A1" s="496" t="s">
        <v>763</v>
      </c>
      <c r="B1" s="497"/>
      <c r="C1" s="497"/>
      <c r="D1" s="497"/>
      <c r="E1" s="497"/>
      <c r="F1" s="497"/>
      <c r="G1" s="497"/>
      <c r="H1" s="498"/>
      <c r="I1" s="496" t="s">
        <v>764</v>
      </c>
      <c r="J1" s="497"/>
      <c r="K1" s="497"/>
      <c r="L1" s="497"/>
      <c r="M1" s="497"/>
      <c r="N1" s="497"/>
      <c r="O1" s="497"/>
      <c r="P1" s="498"/>
      <c r="Q1" s="496" t="s">
        <v>40</v>
      </c>
      <c r="R1" s="497"/>
      <c r="S1" s="497"/>
      <c r="T1" s="497"/>
      <c r="U1" s="497"/>
      <c r="V1" s="497"/>
      <c r="W1" s="497"/>
      <c r="X1" s="497"/>
      <c r="Y1" s="497"/>
      <c r="Z1" s="497"/>
      <c r="AA1" s="497"/>
      <c r="AB1" s="498"/>
      <c r="AC1" s="195"/>
    </row>
    <row r="2" spans="1:29">
      <c r="A2" s="92" t="s">
        <v>1</v>
      </c>
      <c r="B2" t="str">
        <f>VLOOKUP(KALKULATOR!B1,Materiały_zakupowe!A:AA,16,FALSE)</f>
        <v>VIVAK / PET</v>
      </c>
      <c r="E2" t="s">
        <v>412</v>
      </c>
      <c r="F2" t="s">
        <v>665</v>
      </c>
      <c r="G2" s="147">
        <f>VLOOKUP(E2,Stawki_maszyn!B:C,2,FALSE)</f>
        <v>50</v>
      </c>
      <c r="H2" s="93"/>
      <c r="I2" s="92" t="s">
        <v>766</v>
      </c>
      <c r="J2" t="str">
        <f>VLOOKUP(KALKULATOR!B1,Materiały_zakupowe!A:AD,13,FALSE)</f>
        <v>PET</v>
      </c>
      <c r="N2" t="s">
        <v>408</v>
      </c>
      <c r="O2" t="s">
        <v>773</v>
      </c>
      <c r="P2" s="107">
        <f>VLOOKUP(N2,Stawki_maszyn!B:D,2,FALSE)</f>
        <v>50</v>
      </c>
      <c r="Q2" s="92" t="s">
        <v>23</v>
      </c>
      <c r="R2" t="str">
        <f>VLOOKUP(KALKULATOR!B1,Materiały_zakupowe!A:AD,15,FALSE)</f>
        <v>VIVAK / PET itp.</v>
      </c>
      <c r="V2" t="s">
        <v>415</v>
      </c>
      <c r="W2" t="s">
        <v>667</v>
      </c>
      <c r="X2" s="147">
        <f>VLOOKUP(V2,Stawki_maszyn!B:C,2,FALSE)</f>
        <v>50</v>
      </c>
      <c r="AB2" s="93"/>
    </row>
    <row r="3" spans="1:29">
      <c r="A3" s="92" t="s">
        <v>759</v>
      </c>
      <c r="B3">
        <f>KALKULATOR!C85</f>
        <v>1</v>
      </c>
      <c r="H3" s="93"/>
      <c r="I3" s="92" t="s">
        <v>746</v>
      </c>
      <c r="J3">
        <f>KALKULATOR!C89</f>
        <v>1</v>
      </c>
      <c r="P3" s="93"/>
      <c r="Q3" s="92" t="s">
        <v>353</v>
      </c>
      <c r="R3" s="27">
        <f>VLOOKUP(KALKULATOR!B1,Materiały_zakupowe!A:AD,21,FALSE)</f>
        <v>3</v>
      </c>
      <c r="AB3" s="93"/>
    </row>
    <row r="4" spans="1:29">
      <c r="A4" s="92" t="s">
        <v>643</v>
      </c>
      <c r="B4">
        <f>KALKULATOR!I1/KALKULATOR!C85</f>
        <v>100</v>
      </c>
      <c r="H4" s="93"/>
      <c r="I4" s="92" t="s">
        <v>643</v>
      </c>
      <c r="J4">
        <f>KALKULATOR!I1/KALKULATOR!C89</f>
        <v>100</v>
      </c>
      <c r="P4" s="93"/>
      <c r="Q4" s="92" t="s">
        <v>759</v>
      </c>
      <c r="R4" s="27">
        <f>KALKULATOR!C94</f>
        <v>1</v>
      </c>
      <c r="AB4" s="93"/>
    </row>
    <row r="5" spans="1:29">
      <c r="A5" s="92" t="s">
        <v>760</v>
      </c>
      <c r="B5">
        <f>KALKULATOR!D85</f>
        <v>2000</v>
      </c>
      <c r="H5" s="93"/>
      <c r="I5" s="92" t="s">
        <v>767</v>
      </c>
      <c r="J5">
        <f>KALKULATOR!D89</f>
        <v>2500</v>
      </c>
      <c r="K5" s="104">
        <v>6.9444444444444447E-4</v>
      </c>
      <c r="P5" s="93"/>
      <c r="Q5" s="92" t="s">
        <v>660</v>
      </c>
      <c r="R5" s="27">
        <f>KALKULATOR!I1/KALKULATOR!C94</f>
        <v>100</v>
      </c>
      <c r="AB5" s="93"/>
    </row>
    <row r="6" spans="1:29">
      <c r="A6" s="92" t="s">
        <v>790</v>
      </c>
      <c r="B6" s="190" t="str">
        <f>KALKULATOR!E85</f>
        <v>2D</v>
      </c>
      <c r="C6" s="104">
        <v>6.9444444444444447E-4</v>
      </c>
      <c r="H6" s="93"/>
      <c r="I6" s="92"/>
      <c r="P6" s="93"/>
      <c r="Q6" s="92" t="s">
        <v>774</v>
      </c>
      <c r="R6" s="27">
        <f>KALKULATOR!D94</f>
        <v>2000</v>
      </c>
      <c r="S6" s="104">
        <v>6.9444444444444447E-4</v>
      </c>
      <c r="AB6" s="93"/>
    </row>
    <row r="7" spans="1:29">
      <c r="A7" s="92" t="s">
        <v>636</v>
      </c>
      <c r="B7">
        <f>VLOOKUP(B2,A20:B27,2,FALSE)</f>
        <v>1000</v>
      </c>
      <c r="H7" s="93"/>
      <c r="I7" s="92" t="s">
        <v>628</v>
      </c>
      <c r="J7">
        <f>HLOOKUP(J2,I19:O20,2,FALSE)</f>
        <v>2700</v>
      </c>
      <c r="P7" s="93"/>
      <c r="Q7" s="92"/>
      <c r="V7" s="517" t="s">
        <v>784</v>
      </c>
      <c r="W7" s="517"/>
      <c r="X7" s="517"/>
      <c r="Y7">
        <v>1</v>
      </c>
      <c r="AB7" s="93"/>
    </row>
    <row r="8" spans="1:29">
      <c r="A8" s="92"/>
      <c r="H8" s="93"/>
      <c r="I8" s="92"/>
      <c r="P8" s="93"/>
      <c r="Q8" s="92" t="s">
        <v>636</v>
      </c>
      <c r="R8">
        <f>VLOOKUP(R2,Q20:AB24,MATCH(R3,Q20:AB20,0),FALSE)</f>
        <v>3420</v>
      </c>
      <c r="AB8" s="93"/>
    </row>
    <row r="9" spans="1:29">
      <c r="A9" s="92" t="s">
        <v>692</v>
      </c>
      <c r="B9" s="398">
        <f>C9*B3</f>
        <v>3.4722222222222224E-4</v>
      </c>
      <c r="C9" s="398">
        <v>3.4722222222222224E-4</v>
      </c>
      <c r="E9" s="106" t="s">
        <v>657</v>
      </c>
      <c r="F9" s="117">
        <f>B13*B4</f>
        <v>0.27777777777777779</v>
      </c>
      <c r="G9" s="189">
        <f>F9*24*$G$2</f>
        <v>333.33333333333337</v>
      </c>
      <c r="H9" s="93"/>
      <c r="I9" s="92" t="s">
        <v>768</v>
      </c>
      <c r="J9" s="104">
        <f>J5/J7*K5</f>
        <v>6.4300411522633745E-4</v>
      </c>
      <c r="P9" s="93"/>
      <c r="Q9" s="92"/>
      <c r="V9" s="398">
        <v>3.472222222222222E-3</v>
      </c>
      <c r="X9" s="501" t="s">
        <v>779</v>
      </c>
      <c r="Y9" s="501"/>
      <c r="Z9" t="s">
        <v>780</v>
      </c>
      <c r="AB9" s="93"/>
    </row>
    <row r="10" spans="1:29">
      <c r="A10" s="92" t="s">
        <v>761</v>
      </c>
      <c r="B10" s="26">
        <f>B5/B7*C6</f>
        <v>1.3888888888888889E-3</v>
      </c>
      <c r="E10" s="106" t="s">
        <v>631</v>
      </c>
      <c r="F10" s="117">
        <f>VLOOKUP(B6,A17:B18,2,FALSE)</f>
        <v>1.3888888888888888E-2</v>
      </c>
      <c r="G10" s="189">
        <f>F10*24*$G$2</f>
        <v>16.666666666666664</v>
      </c>
      <c r="H10" s="93"/>
      <c r="I10" s="92" t="s">
        <v>769</v>
      </c>
      <c r="J10" s="104">
        <f>VLOOKUP(J3,I23:J28,2,TRUE)*J3</f>
        <v>5.2083333333333333E-4</v>
      </c>
      <c r="P10" s="93"/>
      <c r="Q10" s="92" t="s">
        <v>775</v>
      </c>
      <c r="R10" s="104">
        <f>S10*R4</f>
        <v>3.4722222222222222E-5</v>
      </c>
      <c r="S10" s="104">
        <v>3.4722222222222222E-5</v>
      </c>
      <c r="U10" t="s">
        <v>910</v>
      </c>
      <c r="V10" s="399">
        <f>R15*R5</f>
        <v>8.8064489928525003E-2</v>
      </c>
      <c r="W10" s="106" t="s">
        <v>1184</v>
      </c>
      <c r="X10" s="400">
        <f>(V10/(1/24))*V9+V10</f>
        <v>9.5403197422568753E-2</v>
      </c>
      <c r="Y10" s="189">
        <f>V10*24*$X$2</f>
        <v>105.67738791423</v>
      </c>
      <c r="Z10" s="400">
        <f>X10*Y7</f>
        <v>9.5403197422568753E-2</v>
      </c>
      <c r="AB10" s="93"/>
    </row>
    <row r="11" spans="1:29">
      <c r="B11" s="398">
        <v>6.9444444444444447E-4</v>
      </c>
      <c r="H11" s="93"/>
      <c r="I11" s="92" t="s">
        <v>770</v>
      </c>
      <c r="J11" s="193">
        <v>1.3888888888888889E-3</v>
      </c>
      <c r="P11" s="93"/>
      <c r="Q11" s="92" t="s">
        <v>776</v>
      </c>
      <c r="R11" s="104">
        <f>S11*R4</f>
        <v>9.2592592592592588E-5</v>
      </c>
      <c r="S11" s="104">
        <v>9.2592592592592588E-5</v>
      </c>
      <c r="W11" s="106" t="s">
        <v>631</v>
      </c>
      <c r="X11" s="117">
        <v>1.3888888888888888E-2</v>
      </c>
      <c r="Y11" s="189">
        <f>X11*24*$X$2</f>
        <v>16.666666666666664</v>
      </c>
      <c r="Z11" s="117">
        <v>1.3888888888888888E-2</v>
      </c>
      <c r="AB11" s="93"/>
    </row>
    <row r="12" spans="1:29">
      <c r="A12" s="92" t="s">
        <v>762</v>
      </c>
      <c r="B12" s="104">
        <f>C12*B3</f>
        <v>3.4722222222222224E-4</v>
      </c>
      <c r="C12" s="104">
        <v>3.4722222222222224E-4</v>
      </c>
      <c r="H12" s="93"/>
      <c r="I12" s="92" t="s">
        <v>771</v>
      </c>
      <c r="J12" s="104">
        <f>K12*J3</f>
        <v>1.3888888888888889E-4</v>
      </c>
      <c r="K12" s="104">
        <v>1.3888888888888889E-4</v>
      </c>
      <c r="P12" s="93"/>
      <c r="Q12" s="92" t="s">
        <v>777</v>
      </c>
      <c r="R12" s="104">
        <v>3.4722222222222224E-4</v>
      </c>
      <c r="AB12" s="93"/>
    </row>
    <row r="13" spans="1:29">
      <c r="A13" s="92"/>
      <c r="B13" s="401">
        <f>SUM(B9:B12)*VLOOKUP(B6,A17:C31,3,FALSE)</f>
        <v>2.7777777777777779E-3</v>
      </c>
      <c r="H13" s="93"/>
      <c r="I13" s="92" t="s">
        <v>772</v>
      </c>
      <c r="J13" s="26">
        <f>IF(J2="plexa",N23,N24)</f>
        <v>1.1574074074074073E-4</v>
      </c>
      <c r="N13" s="106" t="s">
        <v>657</v>
      </c>
      <c r="O13" s="117">
        <f>J14*J4</f>
        <v>0.28073559670781895</v>
      </c>
      <c r="P13" s="108">
        <f>O13*24*$P$2</f>
        <v>336.88271604938274</v>
      </c>
      <c r="Q13" s="92" t="s">
        <v>778</v>
      </c>
      <c r="R13" s="462">
        <f>R6/R8*S6</f>
        <v>4.061078622482131E-4</v>
      </c>
      <c r="AB13" s="93"/>
    </row>
    <row r="14" spans="1:29">
      <c r="A14" s="92"/>
      <c r="H14" s="93"/>
      <c r="I14" s="92"/>
      <c r="J14" s="169">
        <f>SUM(J9:J13)</f>
        <v>2.8073559670781893E-3</v>
      </c>
      <c r="N14" s="106" t="s">
        <v>631</v>
      </c>
      <c r="O14" s="117">
        <v>1.3888888888888888E-2</v>
      </c>
      <c r="P14" s="108">
        <f>O14*24*$P$2</f>
        <v>16.666666666666664</v>
      </c>
      <c r="Q14" s="92"/>
      <c r="AB14" s="93"/>
    </row>
    <row r="15" spans="1:29">
      <c r="A15" s="92"/>
      <c r="H15" s="93"/>
      <c r="I15" s="92"/>
      <c r="P15" s="93"/>
      <c r="Q15" s="92"/>
      <c r="R15" s="26">
        <f>SUM(R10:R13)</f>
        <v>8.8064489928525009E-4</v>
      </c>
      <c r="AB15" s="93"/>
    </row>
    <row r="16" spans="1:29">
      <c r="A16" s="502" t="s">
        <v>639</v>
      </c>
      <c r="B16" s="501"/>
      <c r="C16" s="501"/>
      <c r="H16" s="93"/>
      <c r="I16" s="92"/>
      <c r="P16" s="93"/>
      <c r="Q16" s="92"/>
      <c r="AB16" s="93"/>
    </row>
    <row r="17" spans="1:28">
      <c r="A17" s="92" t="s">
        <v>757</v>
      </c>
      <c r="B17" s="104">
        <v>1.3888888888888888E-2</v>
      </c>
      <c r="C17">
        <v>1</v>
      </c>
      <c r="H17" s="93"/>
      <c r="I17" s="92"/>
      <c r="P17" s="93"/>
      <c r="Q17" s="92"/>
      <c r="AB17" s="93"/>
    </row>
    <row r="18" spans="1:28">
      <c r="A18" s="92" t="s">
        <v>758</v>
      </c>
      <c r="B18" s="104">
        <v>2.0833333333333332E-2</v>
      </c>
      <c r="C18">
        <v>2</v>
      </c>
      <c r="H18" s="93"/>
      <c r="I18" s="92"/>
      <c r="P18" s="93"/>
      <c r="Q18" s="92"/>
      <c r="AB18" s="93"/>
    </row>
    <row r="19" spans="1:28">
      <c r="A19" s="502" t="s">
        <v>652</v>
      </c>
      <c r="B19" s="501"/>
      <c r="C19" s="501"/>
      <c r="H19" s="93"/>
      <c r="I19" s="92"/>
      <c r="J19" t="s">
        <v>232</v>
      </c>
      <c r="K19" t="s">
        <v>152</v>
      </c>
      <c r="L19" t="s">
        <v>252</v>
      </c>
      <c r="M19" t="s">
        <v>589</v>
      </c>
      <c r="N19" t="s">
        <v>575</v>
      </c>
      <c r="O19" t="s">
        <v>571</v>
      </c>
      <c r="P19" s="93"/>
      <c r="Q19" s="92"/>
    </row>
    <row r="20" spans="1:28">
      <c r="A20" s="92" t="s">
        <v>591</v>
      </c>
      <c r="B20">
        <v>1000</v>
      </c>
      <c r="H20" s="93"/>
      <c r="I20" s="92" t="s">
        <v>765</v>
      </c>
      <c r="J20" s="28">
        <v>3000</v>
      </c>
      <c r="K20" s="28">
        <v>2700</v>
      </c>
      <c r="L20" s="28">
        <v>3000</v>
      </c>
      <c r="M20" s="28">
        <v>4200</v>
      </c>
      <c r="N20" s="28">
        <v>2700</v>
      </c>
      <c r="O20" s="28">
        <v>4200</v>
      </c>
      <c r="P20" s="93"/>
      <c r="Q20" s="92" t="s">
        <v>23</v>
      </c>
      <c r="R20">
        <v>0.5</v>
      </c>
      <c r="S20">
        <v>0.8</v>
      </c>
      <c r="T20">
        <v>1</v>
      </c>
      <c r="U20">
        <v>1.5</v>
      </c>
      <c r="V20">
        <v>2</v>
      </c>
      <c r="W20">
        <v>3</v>
      </c>
      <c r="X20">
        <v>4</v>
      </c>
      <c r="Y20">
        <v>5</v>
      </c>
      <c r="Z20">
        <v>6</v>
      </c>
      <c r="AA20">
        <v>8</v>
      </c>
      <c r="AB20" s="93">
        <v>10</v>
      </c>
    </row>
    <row r="21" spans="1:28">
      <c r="A21" s="92" t="s">
        <v>252</v>
      </c>
      <c r="B21">
        <v>1200</v>
      </c>
      <c r="H21" s="93"/>
      <c r="I21" s="92"/>
      <c r="P21" s="93"/>
      <c r="Q21" s="92" t="s">
        <v>591</v>
      </c>
      <c r="R21" s="27" t="s">
        <v>553</v>
      </c>
      <c r="S21" s="27" t="s">
        <v>553</v>
      </c>
      <c r="T21" s="27" t="s">
        <v>553</v>
      </c>
      <c r="U21" s="27">
        <v>5400</v>
      </c>
      <c r="V21" s="27">
        <v>4800</v>
      </c>
      <c r="W21" s="27">
        <v>3600</v>
      </c>
      <c r="X21" s="27">
        <v>2700</v>
      </c>
      <c r="Y21" s="27">
        <v>2100</v>
      </c>
      <c r="Z21" s="27">
        <v>1500</v>
      </c>
      <c r="AA21" s="27">
        <v>900</v>
      </c>
      <c r="AB21" s="167">
        <v>600</v>
      </c>
    </row>
    <row r="22" spans="1:28">
      <c r="A22" s="92" t="s">
        <v>593</v>
      </c>
      <c r="B22">
        <v>1500</v>
      </c>
      <c r="H22" s="93"/>
      <c r="I22" s="92"/>
      <c r="P22" s="93"/>
      <c r="Q22" s="92" t="s">
        <v>567</v>
      </c>
      <c r="R22" s="27" t="s">
        <v>553</v>
      </c>
      <c r="S22" s="27" t="s">
        <v>553</v>
      </c>
      <c r="T22" s="27" t="s">
        <v>553</v>
      </c>
      <c r="U22" s="27" t="s">
        <v>553</v>
      </c>
      <c r="V22" s="27">
        <v>2100</v>
      </c>
      <c r="W22" s="27">
        <v>2100</v>
      </c>
      <c r="X22" s="27">
        <v>1800</v>
      </c>
      <c r="Y22" s="27">
        <v>1500</v>
      </c>
      <c r="Z22" s="27">
        <v>1200</v>
      </c>
      <c r="AA22" s="27">
        <v>900</v>
      </c>
      <c r="AB22" s="167">
        <v>600</v>
      </c>
    </row>
    <row r="23" spans="1:28">
      <c r="A23" s="92" t="s">
        <v>571</v>
      </c>
      <c r="B23">
        <v>500</v>
      </c>
      <c r="H23" s="93"/>
      <c r="I23" s="92">
        <v>0</v>
      </c>
      <c r="J23" s="26">
        <v>5.2083333333333333E-4</v>
      </c>
      <c r="N23" s="26">
        <v>1.7361111111111112E-4</v>
      </c>
      <c r="P23" s="93"/>
      <c r="Q23" s="92" t="s">
        <v>590</v>
      </c>
      <c r="R23" s="27">
        <v>8400</v>
      </c>
      <c r="S23" s="27">
        <v>7500</v>
      </c>
      <c r="T23" s="27">
        <v>6000</v>
      </c>
      <c r="U23" s="27">
        <v>5100</v>
      </c>
      <c r="V23" s="27">
        <v>4200</v>
      </c>
      <c r="W23" s="27">
        <v>3420</v>
      </c>
      <c r="X23" s="27" t="s">
        <v>553</v>
      </c>
      <c r="Y23" s="27" t="s">
        <v>553</v>
      </c>
      <c r="Z23" s="27" t="s">
        <v>553</v>
      </c>
      <c r="AA23" s="27" t="s">
        <v>553</v>
      </c>
      <c r="AB23" s="167" t="s">
        <v>553</v>
      </c>
    </row>
    <row r="24" spans="1:28">
      <c r="A24" s="92" t="s">
        <v>576</v>
      </c>
      <c r="B24">
        <v>500</v>
      </c>
      <c r="H24" s="93"/>
      <c r="I24" s="92">
        <v>2</v>
      </c>
      <c r="J24" s="26">
        <v>3.4722222222222224E-4</v>
      </c>
      <c r="N24" s="26">
        <v>1.1574074074074073E-4</v>
      </c>
      <c r="P24" s="93"/>
      <c r="Q24" s="92" t="s">
        <v>152</v>
      </c>
      <c r="R24" s="27" t="s">
        <v>553</v>
      </c>
      <c r="S24" s="27" t="s">
        <v>553</v>
      </c>
      <c r="T24" s="27">
        <v>5400</v>
      </c>
      <c r="U24" s="27">
        <v>4500</v>
      </c>
      <c r="V24" s="27">
        <v>3600</v>
      </c>
      <c r="W24" s="27">
        <v>2100</v>
      </c>
      <c r="X24" s="27">
        <v>1500</v>
      </c>
      <c r="Y24" s="27" t="s">
        <v>553</v>
      </c>
      <c r="Z24" s="27" t="s">
        <v>553</v>
      </c>
      <c r="AA24" s="27" t="s">
        <v>553</v>
      </c>
      <c r="AB24" s="167" t="s">
        <v>553</v>
      </c>
    </row>
    <row r="25" spans="1:28">
      <c r="A25" s="92" t="s">
        <v>577</v>
      </c>
      <c r="B25">
        <v>1600</v>
      </c>
      <c r="H25" s="93"/>
      <c r="I25" s="92">
        <v>5</v>
      </c>
      <c r="J25" s="26">
        <v>2.3148148148148146E-4</v>
      </c>
      <c r="P25" s="93"/>
      <c r="Q25" s="92"/>
      <c r="AB25" s="93"/>
    </row>
    <row r="26" spans="1:28">
      <c r="A26" s="92" t="s">
        <v>592</v>
      </c>
      <c r="B26">
        <v>1000</v>
      </c>
      <c r="H26" s="93"/>
      <c r="I26" s="92">
        <v>10</v>
      </c>
      <c r="J26" s="26">
        <v>1.7361111111111112E-4</v>
      </c>
      <c r="P26" s="93"/>
      <c r="Q26" s="92"/>
      <c r="AB26" s="93"/>
    </row>
    <row r="27" spans="1:28">
      <c r="A27" s="92" t="s">
        <v>152</v>
      </c>
      <c r="B27">
        <v>1600</v>
      </c>
      <c r="H27" s="93"/>
      <c r="I27" s="92">
        <v>11</v>
      </c>
      <c r="J27" s="26">
        <v>1.1574074074074073E-4</v>
      </c>
      <c r="P27" s="93"/>
      <c r="Q27" s="92"/>
      <c r="AB27" s="93"/>
    </row>
    <row r="28" spans="1:28">
      <c r="A28" s="92"/>
      <c r="H28" s="93"/>
      <c r="I28" s="92">
        <v>21</v>
      </c>
      <c r="J28" s="26">
        <v>5.7870370370370366E-5</v>
      </c>
      <c r="P28" s="93"/>
      <c r="Q28" s="92"/>
      <c r="AB28" s="93"/>
    </row>
    <row r="29" spans="1:28">
      <c r="A29" s="92"/>
      <c r="H29" s="93"/>
      <c r="I29" s="92"/>
      <c r="P29" s="93"/>
      <c r="Q29" s="92"/>
      <c r="AB29" s="93"/>
    </row>
    <row r="30" spans="1:28">
      <c r="A30" s="92"/>
      <c r="H30" s="93"/>
      <c r="I30" s="92"/>
      <c r="P30" s="93"/>
      <c r="Q30" s="92"/>
      <c r="AB30" s="93"/>
    </row>
    <row r="31" spans="1:28" ht="15.75" thickBot="1">
      <c r="A31" s="94"/>
      <c r="B31" s="97"/>
      <c r="C31" s="97"/>
      <c r="D31" s="97"/>
      <c r="E31" s="97"/>
      <c r="F31" s="97"/>
      <c r="G31" s="97"/>
      <c r="H31" s="95"/>
      <c r="I31" s="94"/>
      <c r="J31" s="97"/>
      <c r="K31" s="97"/>
      <c r="L31" s="97"/>
      <c r="M31" s="97"/>
      <c r="N31" s="97"/>
      <c r="O31" s="97"/>
      <c r="P31" s="95"/>
      <c r="Q31" s="94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5"/>
    </row>
  </sheetData>
  <mergeCells count="7">
    <mergeCell ref="X9:Y9"/>
    <mergeCell ref="Q1:AB1"/>
    <mergeCell ref="V7:X7"/>
    <mergeCell ref="A19:C19"/>
    <mergeCell ref="A16:C16"/>
    <mergeCell ref="A1:H1"/>
    <mergeCell ref="I1:P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9">
    <pageSetUpPr fitToPage="1"/>
  </sheetPr>
  <dimension ref="A1:AI250"/>
  <sheetViews>
    <sheetView zoomScale="90" zoomScaleNormal="90" workbookViewId="0">
      <pane xSplit="4" ySplit="3" topLeftCell="E18" activePane="bottomRight" state="frozenSplit"/>
      <selection activeCell="F26" sqref="F26"/>
      <selection pane="topRight" activeCell="F26" sqref="F26"/>
      <selection pane="bottomLeft" activeCell="F26" sqref="F26"/>
      <selection pane="bottomRight" activeCell="F191" sqref="F191"/>
    </sheetView>
  </sheetViews>
  <sheetFormatPr defaultRowHeight="15"/>
  <cols>
    <col min="1" max="1" width="25.5703125" customWidth="1"/>
    <col min="2" max="2" width="38.85546875" customWidth="1"/>
    <col min="3" max="3" width="11.28515625" hidden="1" customWidth="1"/>
    <col min="4" max="4" width="12" hidden="1" customWidth="1"/>
    <col min="5" max="5" width="24.140625" customWidth="1"/>
    <col min="6" max="6" width="15.140625" customWidth="1"/>
    <col min="7" max="7" width="10.85546875" customWidth="1"/>
    <col min="8" max="8" width="13.140625" customWidth="1"/>
    <col min="9" max="12" width="10.28515625" customWidth="1"/>
    <col min="13" max="13" width="10.85546875" customWidth="1"/>
    <col min="14" max="14" width="16.7109375" customWidth="1"/>
    <col min="15" max="15" width="15.5703125" customWidth="1"/>
    <col min="16" max="16" width="16.28515625" customWidth="1"/>
    <col min="17" max="17" width="12.28515625" customWidth="1"/>
    <col min="18" max="18" width="16.42578125" customWidth="1"/>
    <col min="19" max="19" width="21.28515625" customWidth="1"/>
    <col min="20" max="20" width="13.7109375" customWidth="1"/>
    <col min="21" max="21" width="10.5703125" customWidth="1"/>
    <col min="22" max="22" width="21.42578125" customWidth="1"/>
    <col min="25" max="25" width="18.28515625" customWidth="1"/>
    <col min="26" max="26" width="25.7109375" customWidth="1"/>
    <col min="30" max="30" width="12.140625" customWidth="1"/>
    <col min="33" max="33" width="14.28515625" customWidth="1"/>
  </cols>
  <sheetData>
    <row r="1" spans="1:35">
      <c r="B1">
        <f>COLUMN(B1)</f>
        <v>2</v>
      </c>
      <c r="C1">
        <f t="shared" ref="C1:AC1" si="0">COLUMN(C1)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>COLUMN(AD1)</f>
        <v>30</v>
      </c>
      <c r="AE1">
        <f t="shared" ref="AE1:AI1" si="1">COLUMN(AE1)</f>
        <v>31</v>
      </c>
      <c r="AF1">
        <f t="shared" si="1"/>
        <v>32</v>
      </c>
      <c r="AG1">
        <f t="shared" si="1"/>
        <v>33</v>
      </c>
      <c r="AH1">
        <f t="shared" si="1"/>
        <v>34</v>
      </c>
      <c r="AI1">
        <f t="shared" si="1"/>
        <v>35</v>
      </c>
    </row>
    <row r="2" spans="1:35">
      <c r="I2" t="s">
        <v>615</v>
      </c>
      <c r="J2" t="s">
        <v>616</v>
      </c>
      <c r="K2" t="s">
        <v>617</v>
      </c>
      <c r="L2" t="s">
        <v>537</v>
      </c>
    </row>
    <row r="3" spans="1:35" ht="45" customHeight="1">
      <c r="A3" s="1" t="s">
        <v>30</v>
      </c>
      <c r="B3" s="1" t="s">
        <v>31</v>
      </c>
      <c r="C3" s="21" t="s">
        <v>32</v>
      </c>
      <c r="D3" s="22" t="s">
        <v>33</v>
      </c>
      <c r="E3" s="23" t="s">
        <v>34</v>
      </c>
      <c r="F3" s="24" t="s">
        <v>369</v>
      </c>
      <c r="G3" s="24" t="s">
        <v>35</v>
      </c>
      <c r="H3" s="24" t="s">
        <v>36</v>
      </c>
      <c r="I3" s="24" t="s">
        <v>37</v>
      </c>
      <c r="J3" s="24" t="s">
        <v>611</v>
      </c>
      <c r="K3" s="24" t="s">
        <v>612</v>
      </c>
      <c r="L3" s="24" t="s">
        <v>613</v>
      </c>
      <c r="M3" s="24" t="s">
        <v>38</v>
      </c>
      <c r="N3" s="24" t="s">
        <v>39</v>
      </c>
      <c r="O3" s="24" t="s">
        <v>40</v>
      </c>
      <c r="P3" s="24" t="s">
        <v>41</v>
      </c>
      <c r="Q3" s="24" t="s">
        <v>351</v>
      </c>
      <c r="R3" s="24" t="s">
        <v>1321</v>
      </c>
      <c r="S3" s="24" t="s">
        <v>43</v>
      </c>
      <c r="T3" s="24" t="s">
        <v>44</v>
      </c>
      <c r="U3" s="25" t="s">
        <v>353</v>
      </c>
      <c r="V3" s="174" t="s">
        <v>711</v>
      </c>
      <c r="W3" s="174" t="s">
        <v>729</v>
      </c>
      <c r="X3" s="174" t="s">
        <v>739</v>
      </c>
      <c r="Y3" s="174" t="s">
        <v>791</v>
      </c>
      <c r="Z3" s="174" t="s">
        <v>961</v>
      </c>
      <c r="AA3" s="174" t="s">
        <v>986</v>
      </c>
      <c r="AB3" s="174" t="s">
        <v>1148</v>
      </c>
      <c r="AC3" s="174" t="s">
        <v>1149</v>
      </c>
      <c r="AD3" s="174" t="s">
        <v>1</v>
      </c>
      <c r="AE3" s="174" t="s">
        <v>1171</v>
      </c>
      <c r="AF3" s="174" t="s">
        <v>1172</v>
      </c>
      <c r="AG3" s="174" t="s">
        <v>1303</v>
      </c>
      <c r="AH3" s="413"/>
    </row>
    <row r="4" spans="1:35" ht="26.25">
      <c r="A4" s="2" t="s">
        <v>920</v>
      </c>
      <c r="B4" s="3" t="s">
        <v>919</v>
      </c>
      <c r="C4" s="3" t="s">
        <v>45</v>
      </c>
      <c r="D4" s="4" t="s">
        <v>349</v>
      </c>
      <c r="E4" s="5"/>
      <c r="F4" s="5"/>
      <c r="G4" s="5"/>
      <c r="H4" s="5"/>
      <c r="I4" s="5"/>
      <c r="J4" s="5" t="s">
        <v>543</v>
      </c>
      <c r="K4" s="5" t="s">
        <v>544</v>
      </c>
      <c r="L4" s="5" t="s">
        <v>551</v>
      </c>
      <c r="M4" s="5"/>
      <c r="N4" s="6" t="s">
        <v>601</v>
      </c>
      <c r="O4" s="7"/>
      <c r="P4" s="5"/>
      <c r="Q4" s="5" t="s">
        <v>64</v>
      </c>
      <c r="R4" s="50" t="s">
        <v>604</v>
      </c>
      <c r="S4" s="5"/>
      <c r="T4" s="5"/>
      <c r="U4" s="5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 t="str">
        <f>Tabela1[[#This Row],[Indeks]]</f>
        <v>POTF3W2BI</v>
      </c>
    </row>
    <row r="5" spans="1:35" ht="26.25">
      <c r="A5" s="2" t="s">
        <v>920</v>
      </c>
      <c r="B5" s="3" t="s">
        <v>46</v>
      </c>
      <c r="C5" s="3" t="s">
        <v>45</v>
      </c>
      <c r="D5" s="4" t="s">
        <v>349</v>
      </c>
      <c r="E5" s="5"/>
      <c r="F5" s="5"/>
      <c r="G5" s="5"/>
      <c r="H5" s="5"/>
      <c r="I5" s="5"/>
      <c r="J5" s="5" t="s">
        <v>543</v>
      </c>
      <c r="K5" s="5" t="s">
        <v>544</v>
      </c>
      <c r="L5" s="5" t="s">
        <v>551</v>
      </c>
      <c r="M5" s="5"/>
      <c r="N5" s="6" t="s">
        <v>601</v>
      </c>
      <c r="O5" s="7"/>
      <c r="P5" s="5"/>
      <c r="Q5" s="5" t="s">
        <v>64</v>
      </c>
      <c r="R5" s="50" t="s">
        <v>604</v>
      </c>
      <c r="S5" s="5"/>
      <c r="T5" s="5"/>
      <c r="U5" s="5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 t="str">
        <f>Tabela1[[#This Row],[Indeks]]</f>
        <v>POTF3W2BI</v>
      </c>
    </row>
    <row r="6" spans="1:35" ht="26.25">
      <c r="A6" s="2" t="s">
        <v>921</v>
      </c>
      <c r="B6" s="3" t="s">
        <v>47</v>
      </c>
      <c r="C6" s="3" t="s">
        <v>48</v>
      </c>
      <c r="D6" s="4" t="s">
        <v>349</v>
      </c>
      <c r="E6" s="5"/>
      <c r="F6" s="5"/>
      <c r="G6" s="5"/>
      <c r="H6" s="5"/>
      <c r="I6" s="5"/>
      <c r="J6" s="5" t="s">
        <v>543</v>
      </c>
      <c r="K6" s="5" t="s">
        <v>544</v>
      </c>
      <c r="L6" s="5" t="s">
        <v>551</v>
      </c>
      <c r="M6" s="5"/>
      <c r="N6" s="6" t="s">
        <v>601</v>
      </c>
      <c r="O6" s="7"/>
      <c r="P6" s="5"/>
      <c r="Q6" s="5" t="s">
        <v>64</v>
      </c>
      <c r="R6" s="50" t="s">
        <v>604</v>
      </c>
      <c r="S6" s="5"/>
      <c r="T6" s="5"/>
      <c r="U6" s="5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 t="str">
        <f>Tabela1[[#This Row],[Indeks]]</f>
        <v>POTF3WSZ</v>
      </c>
    </row>
    <row r="7" spans="1:35" ht="26.25">
      <c r="A7" s="2" t="s">
        <v>922</v>
      </c>
      <c r="B7" s="3" t="s">
        <v>49</v>
      </c>
      <c r="C7" s="3" t="s">
        <v>50</v>
      </c>
      <c r="D7" s="4" t="s">
        <v>349</v>
      </c>
      <c r="E7" s="5"/>
      <c r="F7" s="5"/>
      <c r="G7" s="5"/>
      <c r="H7" s="5"/>
      <c r="I7" s="5"/>
      <c r="J7" s="5" t="s">
        <v>543</v>
      </c>
      <c r="K7" s="5" t="s">
        <v>544</v>
      </c>
      <c r="L7" s="5" t="s">
        <v>551</v>
      </c>
      <c r="M7" s="5"/>
      <c r="N7" s="8"/>
      <c r="O7" s="5"/>
      <c r="P7" s="5"/>
      <c r="Q7" s="5" t="s">
        <v>64</v>
      </c>
      <c r="R7" s="50" t="s">
        <v>604</v>
      </c>
      <c r="S7" s="5"/>
      <c r="T7" s="5"/>
      <c r="U7" s="5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 t="str">
        <f>Tabela1[[#This Row],[Indeks]]</f>
        <v>POTF5WSZ-BC</v>
      </c>
    </row>
    <row r="8" spans="1:35" ht="26.25">
      <c r="A8" s="2" t="s">
        <v>920</v>
      </c>
      <c r="B8" s="3" t="s">
        <v>51</v>
      </c>
      <c r="C8" s="3" t="s">
        <v>52</v>
      </c>
      <c r="D8" s="4" t="s">
        <v>349</v>
      </c>
      <c r="E8" s="5"/>
      <c r="F8" s="5"/>
      <c r="G8" s="5"/>
      <c r="H8" s="5"/>
      <c r="I8" s="5"/>
      <c r="J8" s="5" t="s">
        <v>543</v>
      </c>
      <c r="K8" s="5" t="s">
        <v>544</v>
      </c>
      <c r="L8" s="5" t="s">
        <v>551</v>
      </c>
      <c r="M8" s="5"/>
      <c r="N8" s="6" t="s">
        <v>600</v>
      </c>
      <c r="O8" s="7"/>
      <c r="P8" s="5"/>
      <c r="Q8" s="5" t="s">
        <v>64</v>
      </c>
      <c r="R8" s="50" t="s">
        <v>604</v>
      </c>
      <c r="S8" s="5"/>
      <c r="T8" s="5"/>
      <c r="U8" s="5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 t="str">
        <f>Tabela1[[#This Row],[Indeks]]</f>
        <v>POTF3W2BI</v>
      </c>
    </row>
    <row r="9" spans="1:35" ht="26.25">
      <c r="A9" s="2" t="s">
        <v>923</v>
      </c>
      <c r="B9" s="3" t="s">
        <v>53</v>
      </c>
      <c r="C9" s="3" t="s">
        <v>52</v>
      </c>
      <c r="D9" s="4" t="s">
        <v>349</v>
      </c>
      <c r="E9" s="5"/>
      <c r="F9" s="5"/>
      <c r="G9" s="5"/>
      <c r="H9" s="5"/>
      <c r="I9" s="5"/>
      <c r="J9" s="5" t="s">
        <v>543</v>
      </c>
      <c r="K9" s="5" t="s">
        <v>544</v>
      </c>
      <c r="L9" s="5" t="s">
        <v>551</v>
      </c>
      <c r="M9" s="5"/>
      <c r="N9" s="6" t="s">
        <v>600</v>
      </c>
      <c r="O9" s="7"/>
      <c r="P9" s="5"/>
      <c r="Q9" s="5" t="s">
        <v>64</v>
      </c>
      <c r="R9" s="50" t="s">
        <v>604</v>
      </c>
      <c r="S9" s="5"/>
      <c r="T9" s="5"/>
      <c r="U9" s="5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 t="str">
        <f>Tabela1[[#This Row],[Indeks]]</f>
        <v>POTF3WBI</v>
      </c>
    </row>
    <row r="10" spans="1:35" ht="26.25">
      <c r="A10" s="2" t="s">
        <v>924</v>
      </c>
      <c r="B10" s="3" t="s">
        <v>54</v>
      </c>
      <c r="C10" s="3" t="s">
        <v>55</v>
      </c>
      <c r="D10" s="4" t="s">
        <v>349</v>
      </c>
      <c r="E10" s="5"/>
      <c r="F10" s="5"/>
      <c r="G10" s="5"/>
      <c r="H10" s="5"/>
      <c r="I10" s="5"/>
      <c r="J10" s="5" t="s">
        <v>543</v>
      </c>
      <c r="K10" s="5" t="s">
        <v>544</v>
      </c>
      <c r="L10" s="5" t="s">
        <v>551</v>
      </c>
      <c r="M10" s="5"/>
      <c r="N10" s="6" t="s">
        <v>600</v>
      </c>
      <c r="O10" s="7"/>
      <c r="P10" s="5"/>
      <c r="Q10" s="5" t="s">
        <v>64</v>
      </c>
      <c r="R10" s="50" t="s">
        <v>604</v>
      </c>
      <c r="S10" s="5"/>
      <c r="T10" s="5"/>
      <c r="U10" s="5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 t="str">
        <f>Tabela1[[#This Row],[Indeks]]</f>
        <v>POTF2WSZ</v>
      </c>
    </row>
    <row r="11" spans="1:35" ht="26.25">
      <c r="A11" s="2" t="s">
        <v>925</v>
      </c>
      <c r="B11" s="3" t="s">
        <v>56</v>
      </c>
      <c r="C11" s="3" t="s">
        <v>57</v>
      </c>
      <c r="D11" s="4" t="s">
        <v>349</v>
      </c>
      <c r="E11" s="5"/>
      <c r="F11" s="5"/>
      <c r="G11" s="5"/>
      <c r="H11" s="5"/>
      <c r="I11" s="5"/>
      <c r="J11" s="5" t="s">
        <v>543</v>
      </c>
      <c r="K11" s="5" t="s">
        <v>544</v>
      </c>
      <c r="L11" s="5" t="s">
        <v>551</v>
      </c>
      <c r="M11" s="5"/>
      <c r="N11" s="33" t="s">
        <v>602</v>
      </c>
      <c r="O11" s="7"/>
      <c r="P11" s="5"/>
      <c r="Q11" s="5" t="s">
        <v>64</v>
      </c>
      <c r="R11" s="50" t="s">
        <v>604</v>
      </c>
      <c r="S11" s="5"/>
      <c r="T11" s="5"/>
      <c r="U11" s="5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 t="str">
        <f>Tabela1[[#This Row],[Indeks]]</f>
        <v>POTF5W2BI-EB</v>
      </c>
    </row>
    <row r="12" spans="1:35" ht="26.25">
      <c r="A12" s="2" t="s">
        <v>926</v>
      </c>
      <c r="B12" s="3" t="s">
        <v>58</v>
      </c>
      <c r="C12" s="3" t="s">
        <v>57</v>
      </c>
      <c r="D12" s="4" t="s">
        <v>349</v>
      </c>
      <c r="E12" s="5"/>
      <c r="F12" s="5"/>
      <c r="G12" s="5"/>
      <c r="H12" s="5"/>
      <c r="I12" s="5"/>
      <c r="J12" s="5" t="s">
        <v>543</v>
      </c>
      <c r="K12" s="5" t="s">
        <v>544</v>
      </c>
      <c r="L12" s="5" t="s">
        <v>551</v>
      </c>
      <c r="M12" s="5"/>
      <c r="N12" s="33" t="s">
        <v>602</v>
      </c>
      <c r="O12" s="7"/>
      <c r="P12" s="5"/>
      <c r="Q12" s="5" t="s">
        <v>64</v>
      </c>
      <c r="R12" s="50" t="s">
        <v>604</v>
      </c>
      <c r="S12" s="5"/>
      <c r="T12" s="5"/>
      <c r="U12" s="5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 t="str">
        <f>Tabela1[[#This Row],[Indeks]]</f>
        <v>POTF5WBI-EB</v>
      </c>
    </row>
    <row r="13" spans="1:35" ht="26.25">
      <c r="A13" s="2" t="s">
        <v>927</v>
      </c>
      <c r="B13" s="3" t="s">
        <v>59</v>
      </c>
      <c r="C13" s="3" t="s">
        <v>60</v>
      </c>
      <c r="D13" s="4" t="s">
        <v>349</v>
      </c>
      <c r="E13" s="5"/>
      <c r="F13" s="5"/>
      <c r="G13" s="5"/>
      <c r="H13" s="5"/>
      <c r="I13" s="5"/>
      <c r="J13" s="5" t="s">
        <v>543</v>
      </c>
      <c r="K13" s="5" t="s">
        <v>544</v>
      </c>
      <c r="L13" s="5" t="s">
        <v>551</v>
      </c>
      <c r="M13" s="5"/>
      <c r="N13" s="33" t="s">
        <v>602</v>
      </c>
      <c r="O13" s="7"/>
      <c r="P13" s="5"/>
      <c r="Q13" s="5" t="s">
        <v>64</v>
      </c>
      <c r="R13" s="50" t="s">
        <v>604</v>
      </c>
      <c r="S13" s="5"/>
      <c r="T13" s="5"/>
      <c r="U13" s="5" t="s">
        <v>606</v>
      </c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 t="str">
        <f>Tabela1[[#This Row],[Indeks]]</f>
        <v>POTF5WSZ-EB</v>
      </c>
    </row>
    <row r="14" spans="1:35" ht="26.25">
      <c r="A14" s="2" t="s">
        <v>922</v>
      </c>
      <c r="B14" s="9" t="s">
        <v>61</v>
      </c>
      <c r="C14" s="9" t="s">
        <v>62</v>
      </c>
      <c r="D14" s="4" t="s">
        <v>349</v>
      </c>
      <c r="E14" s="5"/>
      <c r="F14" s="5"/>
      <c r="G14" s="5"/>
      <c r="H14" s="5"/>
      <c r="I14" s="5"/>
      <c r="J14" s="5" t="s">
        <v>543</v>
      </c>
      <c r="K14" s="5" t="s">
        <v>544</v>
      </c>
      <c r="L14" s="5" t="s">
        <v>551</v>
      </c>
      <c r="M14" s="5"/>
      <c r="N14" s="8"/>
      <c r="O14" s="5"/>
      <c r="P14" s="5"/>
      <c r="Q14" s="5" t="s">
        <v>64</v>
      </c>
      <c r="R14" s="50" t="s">
        <v>604</v>
      </c>
      <c r="S14" s="5"/>
      <c r="T14" s="5"/>
      <c r="U14" s="5" t="s">
        <v>606</v>
      </c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 t="str">
        <f>Tabela1[[#This Row],[Indeks]]</f>
        <v>POTF5WSZ-BC</v>
      </c>
    </row>
    <row r="15" spans="1:35">
      <c r="A15" s="10" t="s">
        <v>63</v>
      </c>
      <c r="B15" s="3" t="s">
        <v>63</v>
      </c>
      <c r="C15" s="4"/>
      <c r="D15" s="4" t="s">
        <v>349</v>
      </c>
      <c r="E15" s="5"/>
      <c r="F15" s="14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">
        <v>64</v>
      </c>
      <c r="R15" s="14"/>
      <c r="S15" s="5"/>
      <c r="T15" s="5"/>
      <c r="U15" s="5" t="s">
        <v>606</v>
      </c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 t="str">
        <f>Tabela1[[#This Row],[Indeks]]</f>
        <v>Folia AVERY 4500 translucent</v>
      </c>
    </row>
    <row r="16" spans="1:35">
      <c r="A16" s="10" t="s">
        <v>65</v>
      </c>
      <c r="B16" s="3" t="s">
        <v>65</v>
      </c>
      <c r="C16" s="4"/>
      <c r="D16" s="4" t="s">
        <v>349</v>
      </c>
      <c r="E16" s="5"/>
      <c r="F16" s="14"/>
      <c r="G16" s="5"/>
      <c r="H16" s="5"/>
      <c r="I16" s="5"/>
      <c r="J16" s="5"/>
      <c r="K16" s="5"/>
      <c r="L16" s="5"/>
      <c r="M16" s="5"/>
      <c r="N16" s="5"/>
      <c r="O16" s="5"/>
      <c r="P16" s="5"/>
      <c r="Q16" s="5" t="s">
        <v>64</v>
      </c>
      <c r="R16" s="14"/>
      <c r="S16" s="5"/>
      <c r="T16" s="5"/>
      <c r="U16" s="5" t="s">
        <v>606</v>
      </c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 t="str">
        <f>Tabela1[[#This Row],[Indeks]]</f>
        <v>Folia AVERY 500 biała i czarna ( ekonimiczna)</v>
      </c>
    </row>
    <row r="17" spans="1:33">
      <c r="A17" s="10" t="s">
        <v>66</v>
      </c>
      <c r="B17" s="3" t="s">
        <v>66</v>
      </c>
      <c r="C17" s="4"/>
      <c r="D17" s="4" t="s">
        <v>349</v>
      </c>
      <c r="E17" s="5"/>
      <c r="F17" s="14"/>
      <c r="G17" s="5"/>
      <c r="H17" s="5"/>
      <c r="I17" s="5"/>
      <c r="J17" s="5"/>
      <c r="K17" s="5"/>
      <c r="L17" s="5"/>
      <c r="M17" s="5"/>
      <c r="N17" s="5"/>
      <c r="O17" s="5"/>
      <c r="P17" s="5"/>
      <c r="Q17" s="5" t="s">
        <v>64</v>
      </c>
      <c r="R17" s="14"/>
      <c r="S17" s="5"/>
      <c r="T17" s="5"/>
      <c r="U17" s="5" t="s">
        <v>606</v>
      </c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 t="str">
        <f>Tabela1[[#This Row],[Indeks]]</f>
        <v>Folia AVERY 500 kolory ( ekonomiczna)</v>
      </c>
    </row>
    <row r="18" spans="1:33">
      <c r="A18" s="10" t="s">
        <v>67</v>
      </c>
      <c r="B18" s="3" t="s">
        <v>68</v>
      </c>
      <c r="C18" s="4"/>
      <c r="D18" s="4" t="s">
        <v>69</v>
      </c>
      <c r="E18" s="11" t="s">
        <v>70</v>
      </c>
      <c r="F18" s="7"/>
      <c r="G18" s="5"/>
      <c r="H18" s="5" t="s">
        <v>583</v>
      </c>
      <c r="I18" s="5"/>
      <c r="J18" s="5"/>
      <c r="K18" s="5"/>
      <c r="L18" s="5"/>
      <c r="M18" s="5" t="s">
        <v>575</v>
      </c>
      <c r="N18" s="5"/>
      <c r="O18" s="5" t="s">
        <v>590</v>
      </c>
      <c r="P18" s="5" t="s">
        <v>592</v>
      </c>
      <c r="Q18" s="5"/>
      <c r="R18" s="14"/>
      <c r="S18" s="5" t="s">
        <v>547</v>
      </c>
      <c r="T18" s="5" t="s">
        <v>595</v>
      </c>
      <c r="U18" s="5">
        <v>1</v>
      </c>
      <c r="V18" s="173"/>
      <c r="W18" s="173"/>
      <c r="X18" s="173"/>
      <c r="Y18" s="173" t="s">
        <v>918</v>
      </c>
      <c r="Z18" s="173"/>
      <c r="AA18" s="173"/>
      <c r="AB18" s="173"/>
      <c r="AC18" s="173"/>
      <c r="AD18" s="173"/>
      <c r="AE18" s="173"/>
      <c r="AF18" s="173"/>
      <c r="AG18" s="173" t="str">
        <f>Tabela1[[#This Row],[Indeks]]</f>
        <v>PŁVKBBF-1,0X0,7</v>
      </c>
    </row>
    <row r="19" spans="1:33">
      <c r="A19" s="10" t="s">
        <v>71</v>
      </c>
      <c r="B19" s="3" t="s">
        <v>72</v>
      </c>
      <c r="C19" s="4"/>
      <c r="D19" s="4" t="s">
        <v>73</v>
      </c>
      <c r="E19" s="8"/>
      <c r="F19" s="5"/>
      <c r="G19" s="5"/>
      <c r="H19" s="5"/>
      <c r="I19" s="5" t="s">
        <v>542</v>
      </c>
      <c r="J19" s="5" t="s">
        <v>543</v>
      </c>
      <c r="K19" s="5"/>
      <c r="L19" s="5"/>
      <c r="M19" s="5"/>
      <c r="N19" s="5"/>
      <c r="O19" s="5"/>
      <c r="P19" s="5"/>
      <c r="Q19" s="5" t="s">
        <v>64</v>
      </c>
      <c r="R19" s="14"/>
      <c r="S19" s="5"/>
      <c r="T19" s="5"/>
      <c r="U19" s="5">
        <v>0.2</v>
      </c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 t="str">
        <f>Tabela1[[#This Row],[Indeks]]</f>
        <v>PODDFOBB-1,0X1,4</v>
      </c>
    </row>
    <row r="20" spans="1:33">
      <c r="A20" s="10" t="s">
        <v>74</v>
      </c>
      <c r="B20" s="3" t="s">
        <v>75</v>
      </c>
      <c r="C20" s="4"/>
      <c r="D20" s="4" t="s">
        <v>73</v>
      </c>
      <c r="E20" s="5"/>
      <c r="F20" s="5"/>
      <c r="G20" s="5"/>
      <c r="H20" s="5"/>
      <c r="I20" s="5" t="s">
        <v>542</v>
      </c>
      <c r="J20" s="5" t="s">
        <v>543</v>
      </c>
      <c r="K20" s="5"/>
      <c r="L20" s="5"/>
      <c r="M20" s="5"/>
      <c r="N20" s="5"/>
      <c r="O20" s="5"/>
      <c r="P20" s="5"/>
      <c r="Q20" s="5" t="s">
        <v>64</v>
      </c>
      <c r="R20" s="14"/>
      <c r="S20" s="5"/>
      <c r="T20" s="5"/>
      <c r="U20" s="5">
        <v>0.2</v>
      </c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 t="str">
        <f>Tabela1[[#This Row],[Indeks]]</f>
        <v>PODDFOBB-0,7X1,0</v>
      </c>
    </row>
    <row r="21" spans="1:33">
      <c r="A21" s="10" t="s">
        <v>76</v>
      </c>
      <c r="B21" s="3" t="s">
        <v>77</v>
      </c>
      <c r="C21" s="4"/>
      <c r="D21" s="4" t="s">
        <v>73</v>
      </c>
      <c r="E21" s="5"/>
      <c r="F21" s="5"/>
      <c r="G21" s="5"/>
      <c r="H21" s="5"/>
      <c r="I21" s="5" t="s">
        <v>542</v>
      </c>
      <c r="J21" s="5" t="s">
        <v>543</v>
      </c>
      <c r="K21" s="5"/>
      <c r="L21" s="5"/>
      <c r="M21" s="5"/>
      <c r="N21" s="5"/>
      <c r="O21" s="5"/>
      <c r="P21" s="5"/>
      <c r="Q21" s="5" t="s">
        <v>64</v>
      </c>
      <c r="R21" s="14"/>
      <c r="S21" s="5"/>
      <c r="T21" s="5"/>
      <c r="U21" s="5">
        <v>0.2</v>
      </c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 t="str">
        <f>Tabela1[[#This Row],[Indeks]]</f>
        <v>PODDFOBP-1,0X1,4</v>
      </c>
    </row>
    <row r="22" spans="1:33">
      <c r="A22" s="10" t="s">
        <v>78</v>
      </c>
      <c r="B22" s="3" t="s">
        <v>79</v>
      </c>
      <c r="C22" s="4"/>
      <c r="D22" s="4" t="s">
        <v>73</v>
      </c>
      <c r="E22" s="5"/>
      <c r="F22" s="5"/>
      <c r="G22" s="5"/>
      <c r="H22" s="5"/>
      <c r="I22" s="5" t="s">
        <v>542</v>
      </c>
      <c r="J22" s="5" t="s">
        <v>543</v>
      </c>
      <c r="K22" s="5"/>
      <c r="L22" s="5"/>
      <c r="M22" s="5"/>
      <c r="N22" s="5"/>
      <c r="O22" s="5"/>
      <c r="P22" s="5"/>
      <c r="Q22" s="5" t="s">
        <v>64</v>
      </c>
      <c r="R22" s="14"/>
      <c r="S22" s="5"/>
      <c r="T22" s="5"/>
      <c r="U22" s="5">
        <v>0.2</v>
      </c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 t="str">
        <f>Tabela1[[#This Row],[Indeks]]</f>
        <v>PODDFOBP-0,7X1,0</v>
      </c>
    </row>
    <row r="23" spans="1:33">
      <c r="A23" s="10" t="s">
        <v>80</v>
      </c>
      <c r="B23" s="3" t="s">
        <v>81</v>
      </c>
      <c r="C23" s="4"/>
      <c r="D23" s="4" t="s">
        <v>349</v>
      </c>
      <c r="E23" s="5"/>
      <c r="F23" s="5" t="s">
        <v>64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</v>
      </c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 t="str">
        <f>Tabela1[[#This Row],[Indeks]]</f>
        <v>POMDFODD-1,05X50-P</v>
      </c>
    </row>
    <row r="24" spans="1:33">
      <c r="A24" s="10" t="s">
        <v>82</v>
      </c>
      <c r="B24" s="3" t="s">
        <v>83</v>
      </c>
      <c r="C24" s="4"/>
      <c r="D24" s="4" t="s">
        <v>349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1</v>
      </c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 t="str">
        <f>Tabela1[[#This Row],[Indeks]]</f>
        <v>POFODDTR-1,05X50</v>
      </c>
    </row>
    <row r="25" spans="1:33">
      <c r="A25" s="10" t="s">
        <v>84</v>
      </c>
      <c r="B25" s="3" t="s">
        <v>85</v>
      </c>
      <c r="C25" s="5"/>
      <c r="D25" s="4" t="s">
        <v>86</v>
      </c>
      <c r="E25" s="5"/>
      <c r="F25" s="5"/>
      <c r="G25" s="5"/>
      <c r="H25" s="5" t="s">
        <v>587</v>
      </c>
      <c r="I25" s="5"/>
      <c r="J25" s="5"/>
      <c r="K25" s="5"/>
      <c r="L25" s="5"/>
      <c r="M25" s="5"/>
      <c r="N25" s="5"/>
      <c r="O25" s="5"/>
      <c r="P25" s="5"/>
      <c r="Q25" s="5" t="s">
        <v>352</v>
      </c>
      <c r="R25" s="5"/>
      <c r="S25" s="5"/>
      <c r="T25" s="5"/>
      <c r="U25" s="5">
        <v>3</v>
      </c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 t="str">
        <f>Tabela1[[#This Row],[Indeks]]</f>
        <v>DRHL-B1-3-1</v>
      </c>
    </row>
    <row r="26" spans="1:33">
      <c r="A26" s="10" t="s">
        <v>87</v>
      </c>
      <c r="B26" s="3" t="s">
        <v>88</v>
      </c>
      <c r="C26" s="5"/>
      <c r="D26" s="4" t="s">
        <v>86</v>
      </c>
      <c r="E26" s="5"/>
      <c r="F26" s="5"/>
      <c r="G26" s="5"/>
      <c r="H26" s="5" t="s">
        <v>587</v>
      </c>
      <c r="I26" s="5"/>
      <c r="J26" s="5"/>
      <c r="K26" s="5"/>
      <c r="L26" s="5"/>
      <c r="M26" s="5"/>
      <c r="N26" s="5"/>
      <c r="O26" s="5"/>
      <c r="P26" s="5"/>
      <c r="Q26" s="5" t="s">
        <v>352</v>
      </c>
      <c r="R26" s="5"/>
      <c r="S26" s="5"/>
      <c r="T26" s="5"/>
      <c r="U26" s="5">
        <v>3</v>
      </c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 t="str">
        <f>Tabela1[[#This Row],[Indeks]]</f>
        <v>DRHL-CA-3-1</v>
      </c>
    </row>
    <row r="27" spans="1:33">
      <c r="A27" s="10" t="s">
        <v>89</v>
      </c>
      <c r="B27" s="3" t="s">
        <v>90</v>
      </c>
      <c r="C27" s="5"/>
      <c r="D27" s="4" t="s">
        <v>86</v>
      </c>
      <c r="E27" s="5"/>
      <c r="F27" s="5"/>
      <c r="G27" s="5"/>
      <c r="H27" s="5" t="s">
        <v>587</v>
      </c>
      <c r="I27" s="5"/>
      <c r="J27" s="5"/>
      <c r="K27" s="5"/>
      <c r="L27" s="5"/>
      <c r="M27" s="5"/>
      <c r="N27" s="5"/>
      <c r="O27" s="5"/>
      <c r="P27" s="5"/>
      <c r="Q27" s="5" t="s">
        <v>352</v>
      </c>
      <c r="R27" s="5"/>
      <c r="S27" s="5"/>
      <c r="T27" s="5"/>
      <c r="U27" s="5">
        <v>3</v>
      </c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 t="str">
        <f>Tabela1[[#This Row],[Indeks]]</f>
        <v>DRHL-DR…</v>
      </c>
    </row>
    <row r="28" spans="1:33">
      <c r="A28" s="10" t="s">
        <v>91</v>
      </c>
      <c r="B28" s="3" t="s">
        <v>92</v>
      </c>
      <c r="C28" s="5"/>
      <c r="D28" s="4" t="s">
        <v>86</v>
      </c>
      <c r="E28" s="5"/>
      <c r="F28" s="5"/>
      <c r="G28" s="5"/>
      <c r="H28" s="5" t="s">
        <v>588</v>
      </c>
      <c r="I28" s="5"/>
      <c r="J28" s="5"/>
      <c r="K28" s="5"/>
      <c r="L28" s="5"/>
      <c r="M28" s="5"/>
      <c r="N28" s="5"/>
      <c r="O28" s="5"/>
      <c r="P28" s="5"/>
      <c r="Q28" s="5" t="s">
        <v>352</v>
      </c>
      <c r="R28" s="5"/>
      <c r="S28" s="5"/>
      <c r="T28" s="5"/>
      <c r="U28" s="5">
        <v>3</v>
      </c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 t="str">
        <f>Tabela1[[#This Row],[Indeks]]</f>
        <v>DRHS-3-1</v>
      </c>
    </row>
    <row r="29" spans="1:33">
      <c r="A29" s="2" t="s">
        <v>93</v>
      </c>
      <c r="B29" s="3" t="s">
        <v>94</v>
      </c>
      <c r="C29" s="3"/>
      <c r="D29" s="4" t="s">
        <v>86</v>
      </c>
      <c r="E29" s="5"/>
      <c r="F29" s="5"/>
      <c r="G29" s="5"/>
      <c r="H29" s="5"/>
      <c r="I29" s="450" t="s">
        <v>552</v>
      </c>
      <c r="J29" s="5"/>
      <c r="K29" s="5" t="s">
        <v>544</v>
      </c>
      <c r="L29" s="5"/>
      <c r="M29" s="5"/>
      <c r="N29" s="5"/>
      <c r="O29" s="5"/>
      <c r="P29" s="5"/>
      <c r="Q29" s="5" t="s">
        <v>64</v>
      </c>
      <c r="R29" s="5"/>
      <c r="S29" s="5"/>
      <c r="T29" s="5"/>
      <c r="U29" s="5">
        <v>0.5</v>
      </c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 t="str">
        <f>Tabela1[[#This Row],[Indeks]]</f>
        <v>POMATEKA-230-700-1000</v>
      </c>
    </row>
    <row r="30" spans="1:33">
      <c r="A30" s="2" t="s">
        <v>95</v>
      </c>
      <c r="B30" s="3" t="s">
        <v>96</v>
      </c>
      <c r="C30" s="3"/>
      <c r="D30" s="4" t="s">
        <v>86</v>
      </c>
      <c r="E30" s="5"/>
      <c r="F30" s="5"/>
      <c r="G30" s="5"/>
      <c r="H30" s="5"/>
      <c r="I30" s="450" t="s">
        <v>552</v>
      </c>
      <c r="J30" s="5"/>
      <c r="K30" s="5" t="s">
        <v>544</v>
      </c>
      <c r="L30" s="5"/>
      <c r="M30" s="5"/>
      <c r="N30" s="5"/>
      <c r="O30" s="5"/>
      <c r="P30" s="5"/>
      <c r="Q30" s="5" t="s">
        <v>64</v>
      </c>
      <c r="R30" s="5"/>
      <c r="S30" s="5"/>
      <c r="T30" s="5"/>
      <c r="U30" s="5">
        <v>0.5</v>
      </c>
      <c r="V30" s="173"/>
      <c r="W30" s="173"/>
      <c r="X30" s="173"/>
      <c r="Y30" s="173"/>
      <c r="Z30" s="3"/>
      <c r="AA30" s="173"/>
      <c r="AB30" s="173"/>
      <c r="AC30" s="173"/>
      <c r="AD30" s="173"/>
      <c r="AE30" s="173"/>
      <c r="AF30" s="173"/>
      <c r="AG30" s="173" t="str">
        <f>Tabela1[[#This Row],[Indeks]]</f>
        <v>POMATEKA-1000-1400-23</v>
      </c>
    </row>
    <row r="31" spans="1:33">
      <c r="A31" s="12" t="s">
        <v>97</v>
      </c>
      <c r="B31" s="9" t="s">
        <v>98</v>
      </c>
      <c r="C31" s="9"/>
      <c r="D31" s="13" t="s">
        <v>86</v>
      </c>
      <c r="E31" s="14"/>
      <c r="F31" s="14"/>
      <c r="G31" s="14"/>
      <c r="H31" s="5" t="s">
        <v>587</v>
      </c>
      <c r="I31" s="14"/>
      <c r="J31" s="14"/>
      <c r="K31" s="14"/>
      <c r="L31" s="14"/>
      <c r="M31" s="14"/>
      <c r="N31" s="14"/>
      <c r="O31" s="14"/>
      <c r="P31" s="14"/>
      <c r="Q31" s="14" t="s">
        <v>352</v>
      </c>
      <c r="R31" s="14"/>
      <c r="S31" s="14"/>
      <c r="T31" s="14"/>
      <c r="U31" s="5">
        <v>6</v>
      </c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 t="str">
        <f>Tabela1[[#This Row],[Indeks]]</f>
        <v>DRHL-B-6-1</v>
      </c>
    </row>
    <row r="32" spans="1:33">
      <c r="A32" s="12" t="s">
        <v>99</v>
      </c>
      <c r="B32" s="9" t="s">
        <v>100</v>
      </c>
      <c r="C32" s="9"/>
      <c r="D32" s="13" t="s">
        <v>86</v>
      </c>
      <c r="E32" s="14"/>
      <c r="F32" s="14"/>
      <c r="G32" s="14"/>
      <c r="H32" s="5" t="s">
        <v>587</v>
      </c>
      <c r="I32" s="14"/>
      <c r="J32" s="14"/>
      <c r="K32" s="14"/>
      <c r="L32" s="14"/>
      <c r="M32" s="14"/>
      <c r="N32" s="14"/>
      <c r="O32" s="14"/>
      <c r="P32" s="14"/>
      <c r="Q32" s="14" t="s">
        <v>352</v>
      </c>
      <c r="R32" s="14"/>
      <c r="S32" s="14"/>
      <c r="T32" s="14"/>
      <c r="U32" s="5">
        <v>6</v>
      </c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 t="str">
        <f>Tabela1[[#This Row],[Indeks]]</f>
        <v>DRHL-C-6-1</v>
      </c>
    </row>
    <row r="33" spans="1:33">
      <c r="A33" s="10" t="s">
        <v>101</v>
      </c>
      <c r="B33" s="3" t="s">
        <v>102</v>
      </c>
      <c r="C33" s="5" t="s">
        <v>103</v>
      </c>
      <c r="D33" s="4" t="s">
        <v>86</v>
      </c>
      <c r="E33" s="5"/>
      <c r="F33" s="5"/>
      <c r="G33" s="5"/>
      <c r="H33" s="5" t="s">
        <v>580</v>
      </c>
      <c r="I33" s="5"/>
      <c r="J33" s="5"/>
      <c r="K33" s="5"/>
      <c r="L33" s="5"/>
      <c r="M33" s="5"/>
      <c r="N33" s="5"/>
      <c r="O33" s="5"/>
      <c r="P33" s="5"/>
      <c r="Q33" s="5" t="s">
        <v>352</v>
      </c>
      <c r="R33" s="5"/>
      <c r="S33" s="5"/>
      <c r="T33" s="5"/>
      <c r="U33" s="5">
        <v>16</v>
      </c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 t="str">
        <f>Tabela1[[#This Row],[Indeks]]</f>
        <v>DRML-1BIG-16-1</v>
      </c>
    </row>
    <row r="34" spans="1:33">
      <c r="A34" s="10" t="s">
        <v>104</v>
      </c>
      <c r="B34" s="3" t="s">
        <v>105</v>
      </c>
      <c r="C34" s="5" t="s">
        <v>103</v>
      </c>
      <c r="D34" s="4" t="s">
        <v>86</v>
      </c>
      <c r="E34" s="5"/>
      <c r="F34" s="5"/>
      <c r="G34" s="5"/>
      <c r="H34" s="5" t="s">
        <v>580</v>
      </c>
      <c r="I34" s="5"/>
      <c r="J34" s="5"/>
      <c r="K34" s="5"/>
      <c r="L34" s="5"/>
      <c r="M34" s="5"/>
      <c r="N34" s="5"/>
      <c r="O34" s="5"/>
      <c r="P34" s="5"/>
      <c r="Q34" s="5" t="s">
        <v>352</v>
      </c>
      <c r="R34" s="5"/>
      <c r="S34" s="5"/>
      <c r="T34" s="5"/>
      <c r="U34" s="5">
        <v>19</v>
      </c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 t="str">
        <f>Tabela1[[#This Row],[Indeks]]</f>
        <v>DRML-1BIG-18-1</v>
      </c>
    </row>
    <row r="35" spans="1:33">
      <c r="A35" s="10" t="s">
        <v>106</v>
      </c>
      <c r="B35" s="3" t="s">
        <v>107</v>
      </c>
      <c r="C35" s="5" t="s">
        <v>103</v>
      </c>
      <c r="D35" s="4" t="s">
        <v>86</v>
      </c>
      <c r="E35" s="5"/>
      <c r="F35" s="5"/>
      <c r="G35" s="5"/>
      <c r="H35" s="5" t="s">
        <v>580</v>
      </c>
      <c r="I35" s="5"/>
      <c r="J35" s="5"/>
      <c r="K35" s="5"/>
      <c r="L35" s="5"/>
      <c r="M35" s="5"/>
      <c r="N35" s="5"/>
      <c r="O35" s="5"/>
      <c r="P35" s="5"/>
      <c r="Q35" s="5" t="s">
        <v>352</v>
      </c>
      <c r="R35" s="5"/>
      <c r="S35" s="5"/>
      <c r="T35" s="5"/>
      <c r="U35" s="5">
        <v>19</v>
      </c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 t="str">
        <f>Tabela1[[#This Row],[Indeks]]</f>
        <v>DRML-1BIG-19-1</v>
      </c>
    </row>
    <row r="36" spans="1:33">
      <c r="A36" s="10" t="s">
        <v>108</v>
      </c>
      <c r="B36" s="3" t="s">
        <v>109</v>
      </c>
      <c r="C36" s="5" t="s">
        <v>103</v>
      </c>
      <c r="D36" s="4" t="s">
        <v>86</v>
      </c>
      <c r="E36" s="5"/>
      <c r="F36" s="5"/>
      <c r="G36" s="5"/>
      <c r="H36" s="5" t="s">
        <v>580</v>
      </c>
      <c r="I36" s="5"/>
      <c r="J36" s="5"/>
      <c r="K36" s="5"/>
      <c r="L36" s="5"/>
      <c r="M36" s="5"/>
      <c r="N36" s="5"/>
      <c r="O36" s="5"/>
      <c r="P36" s="5"/>
      <c r="Q36" s="5" t="s">
        <v>352</v>
      </c>
      <c r="R36" s="5"/>
      <c r="S36" s="5"/>
      <c r="T36" s="5"/>
      <c r="U36" s="5">
        <v>16</v>
      </c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 t="str">
        <f>Tabela1[[#This Row],[Indeks]]</f>
        <v>DRML-BIG-16-1</v>
      </c>
    </row>
    <row r="37" spans="1:33">
      <c r="A37" s="10" t="s">
        <v>110</v>
      </c>
      <c r="B37" s="3" t="s">
        <v>111</v>
      </c>
      <c r="C37" s="5" t="s">
        <v>103</v>
      </c>
      <c r="D37" s="4" t="s">
        <v>86</v>
      </c>
      <c r="E37" s="5"/>
      <c r="F37" s="5"/>
      <c r="G37" s="5"/>
      <c r="H37" s="5" t="s">
        <v>580</v>
      </c>
      <c r="I37" s="5"/>
      <c r="J37" s="5"/>
      <c r="K37" s="5"/>
      <c r="L37" s="5"/>
      <c r="M37" s="5"/>
      <c r="N37" s="5"/>
      <c r="O37" s="5"/>
      <c r="P37" s="5"/>
      <c r="Q37" s="5" t="s">
        <v>352</v>
      </c>
      <c r="R37" s="5"/>
      <c r="S37" s="5"/>
      <c r="T37" s="5"/>
      <c r="U37" s="5">
        <v>18</v>
      </c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 t="str">
        <f>Tabela1[[#This Row],[Indeks]]</f>
        <v>DRML-BIG-18-1</v>
      </c>
    </row>
    <row r="38" spans="1:33">
      <c r="A38" s="10" t="s">
        <v>112</v>
      </c>
      <c r="B38" s="3" t="s">
        <v>113</v>
      </c>
      <c r="C38" s="5" t="s">
        <v>103</v>
      </c>
      <c r="D38" s="4" t="s">
        <v>86</v>
      </c>
      <c r="E38" s="5"/>
      <c r="F38" s="5"/>
      <c r="G38" s="5"/>
      <c r="H38" s="5" t="s">
        <v>580</v>
      </c>
      <c r="I38" s="5"/>
      <c r="J38" s="5"/>
      <c r="K38" s="5"/>
      <c r="L38" s="5"/>
      <c r="M38" s="5"/>
      <c r="N38" s="5"/>
      <c r="O38" s="5"/>
      <c r="P38" s="5"/>
      <c r="Q38" s="5" t="s">
        <v>352</v>
      </c>
      <c r="R38" s="5"/>
      <c r="S38" s="5"/>
      <c r="T38" s="5"/>
      <c r="U38" s="5">
        <v>19</v>
      </c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 t="str">
        <f>Tabela1[[#This Row],[Indeks]]</f>
        <v>DRML-BIG-19-1</v>
      </c>
    </row>
    <row r="39" spans="1:33">
      <c r="A39" s="10" t="s">
        <v>114</v>
      </c>
      <c r="B39" s="3" t="s">
        <v>115</v>
      </c>
      <c r="C39" s="5"/>
      <c r="D39" s="4" t="s">
        <v>86</v>
      </c>
      <c r="E39" s="5"/>
      <c r="F39" s="5"/>
      <c r="G39" s="5"/>
      <c r="H39" s="5" t="s">
        <v>581</v>
      </c>
      <c r="I39" s="5"/>
      <c r="J39" s="5"/>
      <c r="K39" s="5"/>
      <c r="L39" s="5"/>
      <c r="M39" s="5"/>
      <c r="N39" s="5"/>
      <c r="O39" s="5"/>
      <c r="P39" s="5"/>
      <c r="Q39" s="5" t="s">
        <v>352</v>
      </c>
      <c r="R39" s="5"/>
      <c r="S39" s="5"/>
      <c r="T39" s="5"/>
      <c r="U39" s="5">
        <v>10</v>
      </c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 t="str">
        <f>Tabela1[[#This Row],[Indeks]]</f>
        <v>DRMS-10-1</v>
      </c>
    </row>
    <row r="40" spans="1:33">
      <c r="A40" s="10" t="s">
        <v>116</v>
      </c>
      <c r="B40" s="3" t="s">
        <v>117</v>
      </c>
      <c r="C40" s="5"/>
      <c r="D40" s="4" t="s">
        <v>86</v>
      </c>
      <c r="E40" s="5"/>
      <c r="F40" s="5"/>
      <c r="G40" s="5"/>
      <c r="H40" s="5" t="s">
        <v>581</v>
      </c>
      <c r="I40" s="5"/>
      <c r="J40" s="5"/>
      <c r="K40" s="5"/>
      <c r="L40" s="5"/>
      <c r="M40" s="5"/>
      <c r="N40" s="5"/>
      <c r="O40" s="5"/>
      <c r="P40" s="5"/>
      <c r="Q40" s="5" t="s">
        <v>352</v>
      </c>
      <c r="R40" s="5"/>
      <c r="S40" s="5"/>
      <c r="T40" s="5"/>
      <c r="U40" s="5">
        <v>12</v>
      </c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 t="str">
        <f>Tabela1[[#This Row],[Indeks]]</f>
        <v>DRMS-12-1</v>
      </c>
    </row>
    <row r="41" spans="1:33">
      <c r="A41" s="10" t="s">
        <v>118</v>
      </c>
      <c r="B41" s="3" t="s">
        <v>119</v>
      </c>
      <c r="C41" s="5"/>
      <c r="D41" s="4" t="s">
        <v>86</v>
      </c>
      <c r="E41" s="5"/>
      <c r="F41" s="5"/>
      <c r="G41" s="5"/>
      <c r="H41" s="5" t="s">
        <v>581</v>
      </c>
      <c r="I41" s="5"/>
      <c r="J41" s="5"/>
      <c r="K41" s="5"/>
      <c r="L41" s="5"/>
      <c r="M41" s="5"/>
      <c r="N41" s="5"/>
      <c r="O41" s="5"/>
      <c r="P41" s="5"/>
      <c r="Q41" s="5" t="s">
        <v>352</v>
      </c>
      <c r="R41" s="5"/>
      <c r="S41" s="5"/>
      <c r="T41" s="5"/>
      <c r="U41" s="5">
        <v>16</v>
      </c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 t="str">
        <f>Tabela1[[#This Row],[Indeks]]</f>
        <v>DRMS-16-1</v>
      </c>
    </row>
    <row r="42" spans="1:33">
      <c r="A42" s="10" t="s">
        <v>120</v>
      </c>
      <c r="B42" s="3" t="s">
        <v>121</v>
      </c>
      <c r="C42" s="5"/>
      <c r="D42" s="4" t="s">
        <v>86</v>
      </c>
      <c r="E42" s="5"/>
      <c r="F42" s="5"/>
      <c r="G42" s="5"/>
      <c r="H42" s="5" t="s">
        <v>581</v>
      </c>
      <c r="I42" s="5"/>
      <c r="J42" s="5"/>
      <c r="K42" s="5"/>
      <c r="L42" s="5"/>
      <c r="M42" s="5"/>
      <c r="N42" s="5"/>
      <c r="O42" s="5"/>
      <c r="P42" s="5"/>
      <c r="Q42" s="5" t="s">
        <v>352</v>
      </c>
      <c r="R42" s="5"/>
      <c r="S42" s="5"/>
      <c r="T42" s="5"/>
      <c r="U42" s="5">
        <v>18</v>
      </c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 t="str">
        <f>Tabela1[[#This Row],[Indeks]]</f>
        <v>DRMS-18-1</v>
      </c>
    </row>
    <row r="43" spans="1:33">
      <c r="A43" s="10" t="s">
        <v>122</v>
      </c>
      <c r="B43" s="3" t="s">
        <v>123</v>
      </c>
      <c r="C43" s="5"/>
      <c r="D43" s="4" t="s">
        <v>86</v>
      </c>
      <c r="E43" s="5"/>
      <c r="F43" s="5"/>
      <c r="G43" s="5"/>
      <c r="H43" s="5" t="s">
        <v>581</v>
      </c>
      <c r="I43" s="5"/>
      <c r="J43" s="5"/>
      <c r="K43" s="5"/>
      <c r="L43" s="5"/>
      <c r="M43" s="5"/>
      <c r="N43" s="5"/>
      <c r="O43" s="5"/>
      <c r="P43" s="5"/>
      <c r="Q43" s="5" t="s">
        <v>352</v>
      </c>
      <c r="R43" s="5"/>
      <c r="S43" s="5"/>
      <c r="T43" s="5"/>
      <c r="U43" s="5">
        <v>19</v>
      </c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 t="str">
        <f>Tabela1[[#This Row],[Indeks]]</f>
        <v>DRMS-19-1</v>
      </c>
    </row>
    <row r="44" spans="1:33">
      <c r="A44" s="10" t="s">
        <v>124</v>
      </c>
      <c r="B44" s="3" t="s">
        <v>125</v>
      </c>
      <c r="C44" s="5"/>
      <c r="D44" s="4" t="s">
        <v>86</v>
      </c>
      <c r="E44" s="5"/>
      <c r="F44" s="5"/>
      <c r="G44" s="5"/>
      <c r="H44" s="5" t="s">
        <v>581</v>
      </c>
      <c r="I44" s="5"/>
      <c r="J44" s="5"/>
      <c r="K44" s="5"/>
      <c r="L44" s="5"/>
      <c r="M44" s="5"/>
      <c r="N44" s="5"/>
      <c r="O44" s="5"/>
      <c r="P44" s="5"/>
      <c r="Q44" s="5" t="s">
        <v>352</v>
      </c>
      <c r="R44" s="5"/>
      <c r="S44" s="5"/>
      <c r="T44" s="5"/>
      <c r="U44" s="5">
        <v>22</v>
      </c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 t="str">
        <f>Tabela1[[#This Row],[Indeks]]</f>
        <v>DRMS-22-1</v>
      </c>
    </row>
    <row r="45" spans="1:33">
      <c r="A45" s="10" t="s">
        <v>126</v>
      </c>
      <c r="B45" s="3" t="s">
        <v>127</v>
      </c>
      <c r="C45" s="5"/>
      <c r="D45" s="4" t="s">
        <v>86</v>
      </c>
      <c r="E45" s="5"/>
      <c r="F45" s="5"/>
      <c r="G45" s="5"/>
      <c r="H45" s="5" t="s">
        <v>581</v>
      </c>
      <c r="I45" s="5"/>
      <c r="J45" s="5"/>
      <c r="K45" s="5"/>
      <c r="L45" s="5"/>
      <c r="M45" s="5"/>
      <c r="N45" s="5"/>
      <c r="O45" s="5"/>
      <c r="P45" s="5"/>
      <c r="Q45" s="5" t="s">
        <v>352</v>
      </c>
      <c r="R45" s="5"/>
      <c r="S45" s="5"/>
      <c r="T45" s="5"/>
      <c r="U45" s="5">
        <v>25</v>
      </c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 t="str">
        <f>Tabela1[[#This Row],[Indeks]]</f>
        <v>DRMS-25-1</v>
      </c>
    </row>
    <row r="46" spans="1:33">
      <c r="A46" s="10" t="s">
        <v>128</v>
      </c>
      <c r="B46" s="3" t="s">
        <v>129</v>
      </c>
      <c r="C46" s="5"/>
      <c r="D46" s="4" t="s">
        <v>86</v>
      </c>
      <c r="E46" s="5"/>
      <c r="F46" s="5"/>
      <c r="G46" s="5"/>
      <c r="H46" s="5" t="s">
        <v>581</v>
      </c>
      <c r="I46" s="5"/>
      <c r="J46" s="5"/>
      <c r="K46" s="5"/>
      <c r="L46" s="5"/>
      <c r="M46" s="5"/>
      <c r="N46" s="5"/>
      <c r="O46" s="5"/>
      <c r="P46" s="5"/>
      <c r="Q46" s="5" t="s">
        <v>352</v>
      </c>
      <c r="R46" s="5"/>
      <c r="S46" s="5"/>
      <c r="T46" s="5"/>
      <c r="U46" s="5">
        <v>28</v>
      </c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 t="str">
        <f>Tabela1[[#This Row],[Indeks]]</f>
        <v>DRMS-28-1</v>
      </c>
    </row>
    <row r="47" spans="1:33">
      <c r="A47" s="10" t="s">
        <v>130</v>
      </c>
      <c r="B47" s="3" t="s">
        <v>131</v>
      </c>
      <c r="C47" s="5"/>
      <c r="D47" s="4" t="s">
        <v>86</v>
      </c>
      <c r="E47" s="5"/>
      <c r="F47" s="5"/>
      <c r="G47" s="5"/>
      <c r="H47" s="5" t="s">
        <v>581</v>
      </c>
      <c r="I47" s="5"/>
      <c r="J47" s="5"/>
      <c r="K47" s="5"/>
      <c r="L47" s="5"/>
      <c r="M47" s="5"/>
      <c r="N47" s="5"/>
      <c r="O47" s="5"/>
      <c r="P47" s="5"/>
      <c r="Q47" s="5" t="s">
        <v>352</v>
      </c>
      <c r="R47" s="5"/>
      <c r="S47" s="5"/>
      <c r="T47" s="5"/>
      <c r="U47" s="5">
        <v>30</v>
      </c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 t="str">
        <f>Tabela1[[#This Row],[Indeks]]</f>
        <v>DRMS-30-1</v>
      </c>
    </row>
    <row r="48" spans="1:33">
      <c r="A48" s="10" t="s">
        <v>132</v>
      </c>
      <c r="B48" s="3" t="s">
        <v>133</v>
      </c>
      <c r="C48" s="5"/>
      <c r="D48" s="4" t="s">
        <v>86</v>
      </c>
      <c r="E48" s="5"/>
      <c r="F48" s="5"/>
      <c r="G48" s="5"/>
      <c r="H48" s="5" t="s">
        <v>581</v>
      </c>
      <c r="I48" s="5"/>
      <c r="J48" s="5"/>
      <c r="K48" s="5"/>
      <c r="L48" s="5"/>
      <c r="M48" s="5"/>
      <c r="N48" s="5"/>
      <c r="O48" s="5"/>
      <c r="P48" s="5"/>
      <c r="Q48" s="5" t="s">
        <v>352</v>
      </c>
      <c r="R48" s="5"/>
      <c r="S48" s="5"/>
      <c r="T48" s="5"/>
      <c r="U48" s="5">
        <v>32</v>
      </c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 t="str">
        <f>Tabela1[[#This Row],[Indeks]]</f>
        <v>DRMS-32-1</v>
      </c>
    </row>
    <row r="49" spans="1:33">
      <c r="A49" s="10" t="s">
        <v>134</v>
      </c>
      <c r="B49" s="3" t="s">
        <v>135</v>
      </c>
      <c r="C49" s="5"/>
      <c r="D49" s="4" t="s">
        <v>86</v>
      </c>
      <c r="E49" s="5"/>
      <c r="F49" s="5"/>
      <c r="G49" s="5"/>
      <c r="H49" s="5" t="s">
        <v>581</v>
      </c>
      <c r="I49" s="5"/>
      <c r="J49" s="5"/>
      <c r="K49" s="5"/>
      <c r="L49" s="5"/>
      <c r="M49" s="5"/>
      <c r="N49" s="5"/>
      <c r="O49" s="5"/>
      <c r="P49" s="5"/>
      <c r="Q49" s="5" t="s">
        <v>352</v>
      </c>
      <c r="R49" s="5"/>
      <c r="S49" s="5"/>
      <c r="T49" s="5"/>
      <c r="U49" s="5">
        <v>38</v>
      </c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 t="str">
        <f>Tabela1[[#This Row],[Indeks]]</f>
        <v>DRMS-38-1</v>
      </c>
    </row>
    <row r="50" spans="1:33">
      <c r="A50" s="10" t="s">
        <v>136</v>
      </c>
      <c r="B50" s="3" t="s">
        <v>137</v>
      </c>
      <c r="C50" s="5"/>
      <c r="D50" s="4" t="s">
        <v>86</v>
      </c>
      <c r="E50" s="5"/>
      <c r="F50" s="5"/>
      <c r="G50" s="5"/>
      <c r="H50" s="5" t="s">
        <v>581</v>
      </c>
      <c r="I50" s="5"/>
      <c r="J50" s="5"/>
      <c r="K50" s="5"/>
      <c r="L50" s="5"/>
      <c r="M50" s="5"/>
      <c r="N50" s="5"/>
      <c r="O50" s="5"/>
      <c r="P50" s="5"/>
      <c r="Q50" s="5" t="s">
        <v>352</v>
      </c>
      <c r="R50" s="5"/>
      <c r="S50" s="5"/>
      <c r="T50" s="5"/>
      <c r="U50" s="5">
        <v>6</v>
      </c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 t="str">
        <f>Tabela1[[#This Row],[Indeks]]</f>
        <v>DRMS-06-1</v>
      </c>
    </row>
    <row r="51" spans="1:33">
      <c r="A51" s="10" t="s">
        <v>138</v>
      </c>
      <c r="B51" s="3" t="s">
        <v>139</v>
      </c>
      <c r="C51" s="5"/>
      <c r="D51" s="4" t="s">
        <v>86</v>
      </c>
      <c r="E51" s="5"/>
      <c r="F51" s="5"/>
      <c r="G51" s="5"/>
      <c r="H51" s="5" t="s">
        <v>581</v>
      </c>
      <c r="I51" s="5"/>
      <c r="J51" s="5"/>
      <c r="K51" s="5"/>
      <c r="L51" s="5"/>
      <c r="M51" s="5"/>
      <c r="N51" s="5"/>
      <c r="O51" s="5"/>
      <c r="P51" s="5"/>
      <c r="Q51" s="5" t="s">
        <v>352</v>
      </c>
      <c r="R51" s="5"/>
      <c r="S51" s="5"/>
      <c r="T51" s="5"/>
      <c r="U51" s="5">
        <v>8</v>
      </c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 t="str">
        <f>Tabela1[[#This Row],[Indeks]]</f>
        <v>DRMS-08-1</v>
      </c>
    </row>
    <row r="52" spans="1:33">
      <c r="A52" s="10" t="s">
        <v>140</v>
      </c>
      <c r="B52" s="3" t="s">
        <v>1202</v>
      </c>
      <c r="C52" s="4"/>
      <c r="D52" s="4" t="s">
        <v>349</v>
      </c>
      <c r="E52" s="11" t="s">
        <v>70</v>
      </c>
      <c r="F52" s="7"/>
      <c r="G52" s="5"/>
      <c r="H52" s="5" t="s">
        <v>583</v>
      </c>
      <c r="I52" s="5"/>
      <c r="J52" s="5" t="s">
        <v>541</v>
      </c>
      <c r="K52" s="5" t="s">
        <v>544</v>
      </c>
      <c r="L52" s="5" t="s">
        <v>547</v>
      </c>
      <c r="M52" s="5" t="s">
        <v>575</v>
      </c>
      <c r="N52" s="5" t="s">
        <v>141</v>
      </c>
      <c r="O52" s="5" t="s">
        <v>590</v>
      </c>
      <c r="P52" s="5" t="s">
        <v>592</v>
      </c>
      <c r="Q52" s="5" t="s">
        <v>933</v>
      </c>
      <c r="R52" s="14" t="s">
        <v>141</v>
      </c>
      <c r="S52" s="5" t="s">
        <v>547</v>
      </c>
      <c r="T52" s="5" t="s">
        <v>573</v>
      </c>
      <c r="U52" s="5">
        <v>1</v>
      </c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 t="str">
        <f>Tabela1[[#This Row],[Indeks]]</f>
        <v>PŁAXBB-1,01,25X2,05</v>
      </c>
    </row>
    <row r="53" spans="1:33">
      <c r="A53" s="10" t="s">
        <v>142</v>
      </c>
      <c r="B53" s="3" t="s">
        <v>1203</v>
      </c>
      <c r="C53" s="4"/>
      <c r="D53" s="4" t="s">
        <v>349</v>
      </c>
      <c r="E53" s="11" t="s">
        <v>70</v>
      </c>
      <c r="F53" s="7"/>
      <c r="G53" s="5"/>
      <c r="H53" s="5" t="s">
        <v>583</v>
      </c>
      <c r="I53" s="5"/>
      <c r="J53" s="5" t="s">
        <v>541</v>
      </c>
      <c r="K53" s="5" t="s">
        <v>544</v>
      </c>
      <c r="L53" s="5" t="s">
        <v>547</v>
      </c>
      <c r="M53" s="5" t="s">
        <v>575</v>
      </c>
      <c r="N53" s="5" t="s">
        <v>141</v>
      </c>
      <c r="O53" s="5" t="s">
        <v>590</v>
      </c>
      <c r="P53" s="5" t="s">
        <v>592</v>
      </c>
      <c r="Q53" s="5" t="s">
        <v>933</v>
      </c>
      <c r="R53" s="14" t="s">
        <v>141</v>
      </c>
      <c r="S53" s="5" t="s">
        <v>547</v>
      </c>
      <c r="T53" s="5" t="s">
        <v>573</v>
      </c>
      <c r="U53" s="5">
        <v>1.5</v>
      </c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 t="str">
        <f>Tabela1[[#This Row],[Indeks]]</f>
        <v>PŁAXBB-1,51,25X2,05</v>
      </c>
    </row>
    <row r="54" spans="1:33">
      <c r="A54" s="10" t="s">
        <v>143</v>
      </c>
      <c r="B54" s="3" t="s">
        <v>1204</v>
      </c>
      <c r="C54" s="4"/>
      <c r="D54" s="4" t="s">
        <v>349</v>
      </c>
      <c r="E54" s="11" t="s">
        <v>70</v>
      </c>
      <c r="F54" s="7"/>
      <c r="G54" s="5"/>
      <c r="H54" s="5" t="s">
        <v>583</v>
      </c>
      <c r="I54" s="5"/>
      <c r="J54" s="5" t="s">
        <v>541</v>
      </c>
      <c r="K54" s="5" t="s">
        <v>544</v>
      </c>
      <c r="L54" s="5" t="s">
        <v>547</v>
      </c>
      <c r="M54" s="5" t="s">
        <v>575</v>
      </c>
      <c r="N54" s="5" t="s">
        <v>141</v>
      </c>
      <c r="O54" s="5" t="s">
        <v>590</v>
      </c>
      <c r="P54" s="5" t="s">
        <v>592</v>
      </c>
      <c r="Q54" s="5" t="s">
        <v>933</v>
      </c>
      <c r="R54" s="14" t="s">
        <v>141</v>
      </c>
      <c r="S54" s="5" t="s">
        <v>547</v>
      </c>
      <c r="T54" s="5" t="s">
        <v>573</v>
      </c>
      <c r="U54" s="5">
        <v>1</v>
      </c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 t="str">
        <f>Tabela1[[#This Row],[Indeks]]</f>
        <v>PŁAXBB-1,02,05X3,05</v>
      </c>
    </row>
    <row r="55" spans="1:33">
      <c r="A55" s="10" t="s">
        <v>144</v>
      </c>
      <c r="B55" s="3" t="s">
        <v>1205</v>
      </c>
      <c r="C55" s="4"/>
      <c r="D55" s="4" t="s">
        <v>349</v>
      </c>
      <c r="E55" s="11" t="s">
        <v>70</v>
      </c>
      <c r="F55" s="7"/>
      <c r="G55" s="5"/>
      <c r="H55" s="5" t="s">
        <v>583</v>
      </c>
      <c r="I55" s="5"/>
      <c r="J55" s="5" t="s">
        <v>541</v>
      </c>
      <c r="K55" s="5" t="s">
        <v>544</v>
      </c>
      <c r="L55" s="5" t="s">
        <v>547</v>
      </c>
      <c r="M55" s="5" t="s">
        <v>575</v>
      </c>
      <c r="N55" s="5" t="s">
        <v>141</v>
      </c>
      <c r="O55" s="5" t="s">
        <v>590</v>
      </c>
      <c r="P55" s="5" t="s">
        <v>592</v>
      </c>
      <c r="Q55" s="5" t="s">
        <v>933</v>
      </c>
      <c r="R55" s="14" t="s">
        <v>141</v>
      </c>
      <c r="S55" s="5" t="s">
        <v>547</v>
      </c>
      <c r="T55" s="5" t="s">
        <v>573</v>
      </c>
      <c r="U55" s="5">
        <v>1.5</v>
      </c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 t="str">
        <f>Tabela1[[#This Row],[Indeks]]</f>
        <v>PŁAXBB-1,52,05X3,05</v>
      </c>
    </row>
    <row r="56" spans="1:33">
      <c r="A56" s="10" t="s">
        <v>145</v>
      </c>
      <c r="B56" s="3" t="s">
        <v>1206</v>
      </c>
      <c r="C56" s="4"/>
      <c r="D56" s="4" t="s">
        <v>349</v>
      </c>
      <c r="E56" s="11" t="s">
        <v>70</v>
      </c>
      <c r="F56" s="7"/>
      <c r="G56" s="5"/>
      <c r="H56" s="5" t="s">
        <v>583</v>
      </c>
      <c r="I56" s="5"/>
      <c r="J56" s="5" t="s">
        <v>541</v>
      </c>
      <c r="K56" s="5" t="s">
        <v>544</v>
      </c>
      <c r="L56" s="5" t="s">
        <v>547</v>
      </c>
      <c r="M56" s="5" t="s">
        <v>575</v>
      </c>
      <c r="N56" s="5" t="s">
        <v>141</v>
      </c>
      <c r="O56" s="5" t="s">
        <v>590</v>
      </c>
      <c r="P56" s="5" t="s">
        <v>592</v>
      </c>
      <c r="Q56" s="5" t="s">
        <v>933</v>
      </c>
      <c r="R56" s="14" t="s">
        <v>141</v>
      </c>
      <c r="S56" s="5" t="s">
        <v>547</v>
      </c>
      <c r="T56" s="5" t="s">
        <v>573</v>
      </c>
      <c r="U56" s="5">
        <v>2</v>
      </c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 t="str">
        <f>Tabela1[[#This Row],[Indeks]]</f>
        <v>PŁAXBB-2,02,05X3,05</v>
      </c>
    </row>
    <row r="57" spans="1:33">
      <c r="A57" s="10" t="s">
        <v>146</v>
      </c>
      <c r="B57" s="3" t="s">
        <v>1207</v>
      </c>
      <c r="C57" s="4"/>
      <c r="D57" s="4" t="s">
        <v>349</v>
      </c>
      <c r="E57" s="11" t="s">
        <v>70</v>
      </c>
      <c r="F57" s="7"/>
      <c r="G57" s="5"/>
      <c r="H57" s="5" t="s">
        <v>583</v>
      </c>
      <c r="I57" s="5"/>
      <c r="J57" s="5" t="s">
        <v>541</v>
      </c>
      <c r="K57" s="5" t="s">
        <v>544</v>
      </c>
      <c r="L57" s="5" t="s">
        <v>547</v>
      </c>
      <c r="M57" s="5" t="s">
        <v>575</v>
      </c>
      <c r="N57" s="5" t="s">
        <v>141</v>
      </c>
      <c r="O57" s="5" t="s">
        <v>590</v>
      </c>
      <c r="P57" s="5" t="s">
        <v>592</v>
      </c>
      <c r="Q57" s="5" t="s">
        <v>933</v>
      </c>
      <c r="R57" s="14"/>
      <c r="S57" s="5" t="s">
        <v>547</v>
      </c>
      <c r="T57" s="5" t="s">
        <v>573</v>
      </c>
      <c r="U57" s="5">
        <v>3</v>
      </c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 t="str">
        <f>Tabela1[[#This Row],[Indeks]]</f>
        <v>PŁAXBB-3,02,05X3,05</v>
      </c>
    </row>
    <row r="58" spans="1:33">
      <c r="A58" s="10" t="s">
        <v>147</v>
      </c>
      <c r="B58" s="3" t="s">
        <v>1208</v>
      </c>
      <c r="C58" s="4"/>
      <c r="D58" s="4" t="s">
        <v>349</v>
      </c>
      <c r="E58" s="11" t="s">
        <v>70</v>
      </c>
      <c r="F58" s="7"/>
      <c r="G58" s="5"/>
      <c r="H58" s="5" t="s">
        <v>583</v>
      </c>
      <c r="I58" s="5"/>
      <c r="J58" s="5" t="s">
        <v>541</v>
      </c>
      <c r="K58" s="5" t="s">
        <v>544</v>
      </c>
      <c r="L58" s="5" t="s">
        <v>547</v>
      </c>
      <c r="M58" s="5" t="s">
        <v>575</v>
      </c>
      <c r="N58" s="5" t="s">
        <v>141</v>
      </c>
      <c r="O58" s="5" t="s">
        <v>590</v>
      </c>
      <c r="P58" s="5" t="s">
        <v>592</v>
      </c>
      <c r="Q58" s="5" t="s">
        <v>933</v>
      </c>
      <c r="R58" s="14" t="s">
        <v>141</v>
      </c>
      <c r="S58" s="5" t="s">
        <v>547</v>
      </c>
      <c r="T58" s="5" t="s">
        <v>573</v>
      </c>
      <c r="U58" s="5">
        <v>1</v>
      </c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 t="str">
        <f>Tabela1[[#This Row],[Indeks]]</f>
        <v>PŁAXOP-1,02,05X3,05</v>
      </c>
    </row>
    <row r="59" spans="1:33">
      <c r="A59" s="10" t="s">
        <v>148</v>
      </c>
      <c r="B59" s="3" t="s">
        <v>1209</v>
      </c>
      <c r="C59" s="4"/>
      <c r="D59" s="4" t="s">
        <v>349</v>
      </c>
      <c r="E59" s="11" t="s">
        <v>70</v>
      </c>
      <c r="F59" s="7"/>
      <c r="G59" s="5"/>
      <c r="H59" s="5" t="s">
        <v>583</v>
      </c>
      <c r="I59" s="5"/>
      <c r="J59" s="5" t="s">
        <v>541</v>
      </c>
      <c r="K59" s="5" t="s">
        <v>544</v>
      </c>
      <c r="L59" s="5" t="s">
        <v>547</v>
      </c>
      <c r="M59" s="5" t="s">
        <v>575</v>
      </c>
      <c r="N59" s="5" t="s">
        <v>141</v>
      </c>
      <c r="O59" s="5" t="s">
        <v>590</v>
      </c>
      <c r="P59" s="5" t="s">
        <v>592</v>
      </c>
      <c r="Q59" s="5" t="s">
        <v>933</v>
      </c>
      <c r="R59" s="14" t="s">
        <v>141</v>
      </c>
      <c r="S59" s="5" t="s">
        <v>547</v>
      </c>
      <c r="T59" s="5" t="s">
        <v>573</v>
      </c>
      <c r="U59" s="5">
        <v>1.5</v>
      </c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 t="str">
        <f>Tabela1[[#This Row],[Indeks]]</f>
        <v>PŁAXOP-1,52,05X3,05</v>
      </c>
    </row>
    <row r="60" spans="1:33">
      <c r="A60" s="10" t="s">
        <v>149</v>
      </c>
      <c r="B60" s="3" t="s">
        <v>1210</v>
      </c>
      <c r="C60" s="4"/>
      <c r="D60" s="4" t="s">
        <v>349</v>
      </c>
      <c r="E60" s="8"/>
      <c r="F60" s="5"/>
      <c r="G60" s="5"/>
      <c r="H60" s="5"/>
      <c r="I60" s="5"/>
      <c r="J60" s="5"/>
      <c r="K60" s="5"/>
      <c r="L60" s="5" t="s">
        <v>548</v>
      </c>
      <c r="M60" s="5"/>
      <c r="N60" s="5" t="s">
        <v>141</v>
      </c>
      <c r="O60" s="5"/>
      <c r="P60" s="5"/>
      <c r="Q60" s="5"/>
      <c r="R60" s="5"/>
      <c r="S60" s="5"/>
      <c r="T60" s="5"/>
      <c r="U60" s="5">
        <v>5</v>
      </c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 t="str">
        <f>Tabela1[[#This Row],[Indeks]]</f>
        <v>PŁPIFS-5,01,22x3,05</v>
      </c>
    </row>
    <row r="61" spans="1:33">
      <c r="A61" s="10" t="s">
        <v>150</v>
      </c>
      <c r="B61" s="3" t="s">
        <v>1211</v>
      </c>
      <c r="C61" s="4"/>
      <c r="D61" s="4" t="s">
        <v>349</v>
      </c>
      <c r="E61" s="5"/>
      <c r="F61" s="5"/>
      <c r="G61" s="5"/>
      <c r="H61" s="5"/>
      <c r="I61" s="5"/>
      <c r="J61" s="5"/>
      <c r="K61" s="5"/>
      <c r="L61" s="5"/>
      <c r="M61" s="5"/>
      <c r="N61" s="5" t="s">
        <v>141</v>
      </c>
      <c r="O61" s="5"/>
      <c r="P61" s="5"/>
      <c r="Q61" s="5"/>
      <c r="R61" s="5"/>
      <c r="S61" s="5"/>
      <c r="T61" s="5"/>
      <c r="U61" s="5">
        <v>10</v>
      </c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 t="str">
        <f>Tabela1[[#This Row],[Indeks]]</f>
        <v>PŁPIFS-10,01,22x3,05</v>
      </c>
    </row>
    <row r="62" spans="1:33">
      <c r="A62" s="10" t="s">
        <v>151</v>
      </c>
      <c r="B62" s="3" t="s">
        <v>1212</v>
      </c>
      <c r="C62" s="4"/>
      <c r="D62" s="4" t="s">
        <v>349</v>
      </c>
      <c r="E62" s="15" t="s">
        <v>152</v>
      </c>
      <c r="F62" s="7"/>
      <c r="G62" s="5"/>
      <c r="H62" s="5" t="s">
        <v>582</v>
      </c>
      <c r="I62" s="5" t="s">
        <v>541</v>
      </c>
      <c r="J62" s="5" t="s">
        <v>541</v>
      </c>
      <c r="K62" s="5" t="s">
        <v>544</v>
      </c>
      <c r="L62" s="5" t="s">
        <v>152</v>
      </c>
      <c r="M62" s="5" t="s">
        <v>152</v>
      </c>
      <c r="N62" s="5" t="s">
        <v>141</v>
      </c>
      <c r="O62" s="5" t="s">
        <v>152</v>
      </c>
      <c r="P62" s="5" t="s">
        <v>152</v>
      </c>
      <c r="Q62" s="5" t="s">
        <v>933</v>
      </c>
      <c r="R62" s="14" t="s">
        <v>141</v>
      </c>
      <c r="S62" s="5" t="s">
        <v>594</v>
      </c>
      <c r="T62" s="5" t="s">
        <v>152</v>
      </c>
      <c r="U62" s="5">
        <v>0.2</v>
      </c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 t="str">
        <f>Tabela1[[#This Row],[Indeks]]</f>
        <v>PŁHIBM-0,251,0X2,0</v>
      </c>
    </row>
    <row r="63" spans="1:33">
      <c r="A63" s="10" t="s">
        <v>153</v>
      </c>
      <c r="B63" s="3" t="s">
        <v>1213</v>
      </c>
      <c r="C63" s="4"/>
      <c r="D63" s="4" t="s">
        <v>349</v>
      </c>
      <c r="E63" s="15" t="s">
        <v>152</v>
      </c>
      <c r="F63" s="7"/>
      <c r="G63" s="5"/>
      <c r="H63" s="5" t="s">
        <v>582</v>
      </c>
      <c r="I63" s="5" t="s">
        <v>541</v>
      </c>
      <c r="J63" s="5" t="s">
        <v>541</v>
      </c>
      <c r="K63" s="5" t="s">
        <v>544</v>
      </c>
      <c r="L63" s="5" t="s">
        <v>152</v>
      </c>
      <c r="M63" s="5" t="s">
        <v>152</v>
      </c>
      <c r="N63" s="5" t="s">
        <v>141</v>
      </c>
      <c r="O63" s="5" t="s">
        <v>152</v>
      </c>
      <c r="P63" s="5" t="s">
        <v>152</v>
      </c>
      <c r="Q63" s="5" t="s">
        <v>933</v>
      </c>
      <c r="R63" s="14" t="s">
        <v>141</v>
      </c>
      <c r="S63" s="5" t="s">
        <v>594</v>
      </c>
      <c r="T63" s="5" t="s">
        <v>152</v>
      </c>
      <c r="U63" s="5">
        <v>0.5</v>
      </c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 t="str">
        <f>Tabela1[[#This Row],[Indeks]]</f>
        <v>PŁHIBM-0,51,0X2,0</v>
      </c>
    </row>
    <row r="64" spans="1:33">
      <c r="A64" s="10" t="s">
        <v>154</v>
      </c>
      <c r="B64" s="3" t="s">
        <v>1214</v>
      </c>
      <c r="C64" s="4"/>
      <c r="D64" s="4" t="s">
        <v>349</v>
      </c>
      <c r="E64" s="15" t="s">
        <v>152</v>
      </c>
      <c r="F64" s="7"/>
      <c r="G64" s="5"/>
      <c r="H64" s="5" t="s">
        <v>582</v>
      </c>
      <c r="I64" s="5" t="s">
        <v>541</v>
      </c>
      <c r="J64" s="5" t="s">
        <v>541</v>
      </c>
      <c r="K64" s="5" t="s">
        <v>544</v>
      </c>
      <c r="L64" s="5" t="s">
        <v>152</v>
      </c>
      <c r="M64" s="5" t="s">
        <v>152</v>
      </c>
      <c r="N64" s="5" t="s">
        <v>141</v>
      </c>
      <c r="O64" s="5" t="s">
        <v>152</v>
      </c>
      <c r="P64" s="5" t="s">
        <v>152</v>
      </c>
      <c r="Q64" s="5" t="s">
        <v>933</v>
      </c>
      <c r="R64" s="14" t="s">
        <v>141</v>
      </c>
      <c r="S64" s="5" t="s">
        <v>594</v>
      </c>
      <c r="T64" s="5" t="s">
        <v>152</v>
      </c>
      <c r="U64" s="5">
        <v>0.8</v>
      </c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 t="str">
        <f>Tabela1[[#This Row],[Indeks]]</f>
        <v>PŁHIBM-0,751,0X2,0</v>
      </c>
    </row>
    <row r="65" spans="1:33">
      <c r="A65" s="10" t="s">
        <v>155</v>
      </c>
      <c r="B65" s="3" t="s">
        <v>1215</v>
      </c>
      <c r="C65" s="4"/>
      <c r="D65" s="4" t="s">
        <v>349</v>
      </c>
      <c r="E65" s="15" t="s">
        <v>152</v>
      </c>
      <c r="F65" s="7"/>
      <c r="G65" s="5"/>
      <c r="H65" s="5" t="s">
        <v>582</v>
      </c>
      <c r="I65" s="5" t="s">
        <v>541</v>
      </c>
      <c r="J65" s="5" t="s">
        <v>541</v>
      </c>
      <c r="K65" s="5" t="s">
        <v>544</v>
      </c>
      <c r="L65" s="5" t="s">
        <v>152</v>
      </c>
      <c r="M65" s="5" t="s">
        <v>152</v>
      </c>
      <c r="N65" s="5" t="s">
        <v>141</v>
      </c>
      <c r="O65" s="5" t="s">
        <v>152</v>
      </c>
      <c r="P65" s="5" t="s">
        <v>152</v>
      </c>
      <c r="Q65" s="5" t="s">
        <v>933</v>
      </c>
      <c r="R65" s="14" t="s">
        <v>141</v>
      </c>
      <c r="S65" s="5" t="s">
        <v>594</v>
      </c>
      <c r="T65" s="5" t="s">
        <v>152</v>
      </c>
      <c r="U65" s="5">
        <v>1</v>
      </c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 t="str">
        <f>Tabela1[[#This Row],[Indeks]]</f>
        <v>PŁHIBM-1,01,0X2,0</v>
      </c>
    </row>
    <row r="66" spans="1:33">
      <c r="A66" s="10" t="s">
        <v>156</v>
      </c>
      <c r="B66" s="3" t="s">
        <v>1216</v>
      </c>
      <c r="C66" s="4"/>
      <c r="D66" s="4" t="s">
        <v>349</v>
      </c>
      <c r="E66" s="15" t="s">
        <v>152</v>
      </c>
      <c r="F66" s="7"/>
      <c r="G66" s="5"/>
      <c r="H66" s="5" t="s">
        <v>582</v>
      </c>
      <c r="I66" s="5" t="s">
        <v>541</v>
      </c>
      <c r="J66" s="5" t="s">
        <v>541</v>
      </c>
      <c r="K66" s="5" t="s">
        <v>544</v>
      </c>
      <c r="L66" s="5" t="s">
        <v>152</v>
      </c>
      <c r="M66" s="5" t="s">
        <v>152</v>
      </c>
      <c r="N66" s="5" t="s">
        <v>141</v>
      </c>
      <c r="O66" s="5" t="s">
        <v>152</v>
      </c>
      <c r="P66" s="5" t="s">
        <v>152</v>
      </c>
      <c r="Q66" s="5" t="s">
        <v>933</v>
      </c>
      <c r="R66" s="14" t="s">
        <v>141</v>
      </c>
      <c r="S66" s="5" t="s">
        <v>594</v>
      </c>
      <c r="T66" s="5" t="s">
        <v>152</v>
      </c>
      <c r="U66" s="5">
        <v>1.5</v>
      </c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 t="str">
        <f>Tabela1[[#This Row],[Indeks]]</f>
        <v>PŁHIBM-1,51,0X2,0</v>
      </c>
    </row>
    <row r="67" spans="1:33">
      <c r="A67" s="10" t="s">
        <v>157</v>
      </c>
      <c r="B67" s="3" t="s">
        <v>1217</v>
      </c>
      <c r="C67" s="4"/>
      <c r="D67" s="4" t="s">
        <v>349</v>
      </c>
      <c r="E67" s="15" t="s">
        <v>152</v>
      </c>
      <c r="F67" s="7"/>
      <c r="G67" s="5"/>
      <c r="H67" s="5" t="s">
        <v>582</v>
      </c>
      <c r="I67" s="5" t="s">
        <v>541</v>
      </c>
      <c r="J67" s="5" t="s">
        <v>541</v>
      </c>
      <c r="K67" s="5" t="s">
        <v>544</v>
      </c>
      <c r="L67" s="5" t="s">
        <v>152</v>
      </c>
      <c r="M67" s="5" t="s">
        <v>152</v>
      </c>
      <c r="N67" s="5" t="s">
        <v>141</v>
      </c>
      <c r="O67" s="5" t="s">
        <v>152</v>
      </c>
      <c r="P67" s="5" t="s">
        <v>152</v>
      </c>
      <c r="Q67" s="5" t="s">
        <v>933</v>
      </c>
      <c r="R67" s="14" t="s">
        <v>141</v>
      </c>
      <c r="S67" s="5" t="s">
        <v>594</v>
      </c>
      <c r="T67" s="5" t="s">
        <v>152</v>
      </c>
      <c r="U67" s="5">
        <v>2</v>
      </c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 t="str">
        <f>Tabela1[[#This Row],[Indeks]]</f>
        <v>PŁHIBM-2,01,0X2,0</v>
      </c>
    </row>
    <row r="68" spans="1:33">
      <c r="A68" s="10" t="s">
        <v>158</v>
      </c>
      <c r="B68" s="3" t="s">
        <v>1218</v>
      </c>
      <c r="C68" s="4"/>
      <c r="D68" s="4" t="s">
        <v>349</v>
      </c>
      <c r="E68" s="15" t="s">
        <v>152</v>
      </c>
      <c r="F68" s="7"/>
      <c r="G68" s="5"/>
      <c r="H68" s="5" t="s">
        <v>582</v>
      </c>
      <c r="I68" s="5" t="s">
        <v>541</v>
      </c>
      <c r="J68" s="5" t="s">
        <v>541</v>
      </c>
      <c r="K68" s="5" t="s">
        <v>544</v>
      </c>
      <c r="L68" s="5" t="s">
        <v>152</v>
      </c>
      <c r="M68" s="5" t="s">
        <v>152</v>
      </c>
      <c r="N68" s="5" t="s">
        <v>141</v>
      </c>
      <c r="O68" s="5" t="s">
        <v>152</v>
      </c>
      <c r="P68" s="5" t="s">
        <v>152</v>
      </c>
      <c r="Q68" s="5" t="s">
        <v>933</v>
      </c>
      <c r="R68" s="5"/>
      <c r="S68" s="5" t="s">
        <v>594</v>
      </c>
      <c r="T68" s="5" t="s">
        <v>152</v>
      </c>
      <c r="U68" s="5">
        <v>3</v>
      </c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 t="str">
        <f>Tabela1[[#This Row],[Indeks]]</f>
        <v>PŁHIBM-3,01,0X2,0</v>
      </c>
    </row>
    <row r="69" spans="1:33">
      <c r="A69" s="10" t="s">
        <v>159</v>
      </c>
      <c r="B69" s="3" t="s">
        <v>1219</v>
      </c>
      <c r="C69" s="4"/>
      <c r="D69" s="4" t="s">
        <v>349</v>
      </c>
      <c r="E69" s="15" t="s">
        <v>152</v>
      </c>
      <c r="F69" s="7"/>
      <c r="G69" s="5"/>
      <c r="H69" s="5" t="s">
        <v>582</v>
      </c>
      <c r="I69" s="5" t="s">
        <v>541</v>
      </c>
      <c r="J69" s="5" t="s">
        <v>541</v>
      </c>
      <c r="K69" s="5" t="s">
        <v>544</v>
      </c>
      <c r="L69" s="5" t="s">
        <v>152</v>
      </c>
      <c r="M69" s="5" t="s">
        <v>152</v>
      </c>
      <c r="N69" s="5" t="s">
        <v>141</v>
      </c>
      <c r="O69" s="5" t="s">
        <v>152</v>
      </c>
      <c r="P69" s="5" t="s">
        <v>152</v>
      </c>
      <c r="Q69" s="5" t="s">
        <v>933</v>
      </c>
      <c r="R69" s="14" t="s">
        <v>141</v>
      </c>
      <c r="S69" s="5" t="s">
        <v>594</v>
      </c>
      <c r="T69" s="5" t="s">
        <v>152</v>
      </c>
      <c r="U69" s="5">
        <v>1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 t="str">
        <f>Tabela1[[#This Row],[Indeks]]</f>
        <v>PŁHIBP-1,01,0X2,0</v>
      </c>
    </row>
    <row r="70" spans="1:33">
      <c r="A70" s="10" t="s">
        <v>160</v>
      </c>
      <c r="B70" s="3" t="s">
        <v>1220</v>
      </c>
      <c r="C70" s="4"/>
      <c r="D70" s="4" t="s">
        <v>349</v>
      </c>
      <c r="E70" s="15" t="s">
        <v>152</v>
      </c>
      <c r="F70" s="7"/>
      <c r="G70" s="5"/>
      <c r="H70" s="5" t="s">
        <v>582</v>
      </c>
      <c r="I70" s="5" t="s">
        <v>541</v>
      </c>
      <c r="J70" s="5" t="s">
        <v>541</v>
      </c>
      <c r="K70" s="5" t="s">
        <v>544</v>
      </c>
      <c r="L70" s="5" t="s">
        <v>152</v>
      </c>
      <c r="M70" s="5" t="s">
        <v>152</v>
      </c>
      <c r="N70" s="5" t="s">
        <v>141</v>
      </c>
      <c r="O70" s="5" t="s">
        <v>152</v>
      </c>
      <c r="P70" s="5" t="s">
        <v>152</v>
      </c>
      <c r="Q70" s="5" t="s">
        <v>933</v>
      </c>
      <c r="R70" s="14" t="s">
        <v>141</v>
      </c>
      <c r="S70" s="5" t="s">
        <v>594</v>
      </c>
      <c r="T70" s="5" t="s">
        <v>152</v>
      </c>
      <c r="U70" s="5">
        <v>1.5</v>
      </c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 t="str">
        <f>Tabela1[[#This Row],[Indeks]]</f>
        <v>PŁHIBP-1,51,0X2,0</v>
      </c>
    </row>
    <row r="71" spans="1:33">
      <c r="A71" s="10" t="s">
        <v>161</v>
      </c>
      <c r="B71" s="3" t="s">
        <v>1221</v>
      </c>
      <c r="C71" s="4"/>
      <c r="D71" s="4" t="s">
        <v>349</v>
      </c>
      <c r="E71" s="15" t="s">
        <v>152</v>
      </c>
      <c r="F71" s="7"/>
      <c r="G71" s="5"/>
      <c r="H71" s="5" t="s">
        <v>582</v>
      </c>
      <c r="I71" s="5" t="s">
        <v>541</v>
      </c>
      <c r="J71" s="5" t="s">
        <v>541</v>
      </c>
      <c r="K71" s="5" t="s">
        <v>544</v>
      </c>
      <c r="L71" s="5" t="s">
        <v>152</v>
      </c>
      <c r="M71" s="5" t="s">
        <v>152</v>
      </c>
      <c r="N71" s="5" t="s">
        <v>141</v>
      </c>
      <c r="O71" s="5" t="s">
        <v>152</v>
      </c>
      <c r="P71" s="5" t="s">
        <v>152</v>
      </c>
      <c r="Q71" s="5" t="s">
        <v>933</v>
      </c>
      <c r="R71" s="14" t="s">
        <v>141</v>
      </c>
      <c r="S71" s="5" t="s">
        <v>594</v>
      </c>
      <c r="T71" s="5" t="s">
        <v>152</v>
      </c>
      <c r="U71" s="5">
        <v>2</v>
      </c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 t="str">
        <f>Tabela1[[#This Row],[Indeks]]</f>
        <v>PŁHIBP-2,01,0X2,0</v>
      </c>
    </row>
    <row r="72" spans="1:33">
      <c r="A72" s="10" t="s">
        <v>162</v>
      </c>
      <c r="B72" s="3" t="s">
        <v>1222</v>
      </c>
      <c r="C72" s="4"/>
      <c r="D72" s="4" t="s">
        <v>349</v>
      </c>
      <c r="E72" s="15" t="s">
        <v>152</v>
      </c>
      <c r="F72" s="7"/>
      <c r="G72" s="5"/>
      <c r="H72" s="5" t="s">
        <v>582</v>
      </c>
      <c r="I72" s="5" t="s">
        <v>541</v>
      </c>
      <c r="J72" s="5" t="s">
        <v>541</v>
      </c>
      <c r="K72" s="5" t="s">
        <v>544</v>
      </c>
      <c r="L72" s="5" t="s">
        <v>152</v>
      </c>
      <c r="M72" s="5" t="s">
        <v>152</v>
      </c>
      <c r="N72" s="5" t="s">
        <v>141</v>
      </c>
      <c r="O72" s="5" t="s">
        <v>152</v>
      </c>
      <c r="P72" s="5" t="s">
        <v>152</v>
      </c>
      <c r="Q72" s="5" t="s">
        <v>933</v>
      </c>
      <c r="R72" s="5"/>
      <c r="S72" s="5" t="s">
        <v>594</v>
      </c>
      <c r="T72" s="5" t="s">
        <v>152</v>
      </c>
      <c r="U72" s="5">
        <v>3</v>
      </c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 t="str">
        <f>Tabela1[[#This Row],[Indeks]]</f>
        <v>PŁHIBP-3,01,0X2,0</v>
      </c>
    </row>
    <row r="73" spans="1:33">
      <c r="A73" s="10" t="s">
        <v>163</v>
      </c>
      <c r="B73" s="3" t="s">
        <v>1223</v>
      </c>
      <c r="C73" s="4"/>
      <c r="D73" s="4" t="s">
        <v>349</v>
      </c>
      <c r="E73" s="15" t="s">
        <v>152</v>
      </c>
      <c r="F73" s="7"/>
      <c r="G73" s="5"/>
      <c r="H73" s="5" t="s">
        <v>582</v>
      </c>
      <c r="I73" s="5" t="s">
        <v>541</v>
      </c>
      <c r="J73" s="5" t="s">
        <v>541</v>
      </c>
      <c r="K73" s="5" t="s">
        <v>544</v>
      </c>
      <c r="L73" s="5" t="s">
        <v>152</v>
      </c>
      <c r="M73" s="5" t="s">
        <v>152</v>
      </c>
      <c r="N73" s="5" t="s">
        <v>141</v>
      </c>
      <c r="O73" s="5" t="s">
        <v>152</v>
      </c>
      <c r="P73" s="5" t="s">
        <v>152</v>
      </c>
      <c r="Q73" s="5" t="s">
        <v>933</v>
      </c>
      <c r="R73" s="5"/>
      <c r="S73" s="5" t="s">
        <v>594</v>
      </c>
      <c r="T73" s="5" t="s">
        <v>152</v>
      </c>
      <c r="U73" s="5">
        <v>4</v>
      </c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 t="str">
        <f>Tabela1[[#This Row],[Indeks]]</f>
        <v>PŁHIBP-4,01,0X2,0</v>
      </c>
    </row>
    <row r="74" spans="1:33">
      <c r="A74" s="10" t="s">
        <v>164</v>
      </c>
      <c r="B74" s="3" t="s">
        <v>1224</v>
      </c>
      <c r="C74" s="4"/>
      <c r="D74" s="4" t="s">
        <v>349</v>
      </c>
      <c r="E74" s="15" t="s">
        <v>152</v>
      </c>
      <c r="F74" s="7"/>
      <c r="G74" s="5"/>
      <c r="H74" s="5" t="s">
        <v>582</v>
      </c>
      <c r="I74" s="5" t="s">
        <v>541</v>
      </c>
      <c r="J74" s="5" t="s">
        <v>541</v>
      </c>
      <c r="K74" s="5" t="s">
        <v>544</v>
      </c>
      <c r="L74" s="5" t="s">
        <v>152</v>
      </c>
      <c r="M74" s="5" t="s">
        <v>152</v>
      </c>
      <c r="N74" s="5" t="s">
        <v>141</v>
      </c>
      <c r="O74" s="5" t="s">
        <v>152</v>
      </c>
      <c r="P74" s="5" t="s">
        <v>152</v>
      </c>
      <c r="Q74" s="5" t="s">
        <v>933</v>
      </c>
      <c r="R74" s="14" t="s">
        <v>141</v>
      </c>
      <c r="S74" s="5" t="s">
        <v>594</v>
      </c>
      <c r="T74" s="5" t="s">
        <v>152</v>
      </c>
      <c r="U74" s="5">
        <v>1</v>
      </c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 t="str">
        <f>Tabela1[[#This Row],[Indeks]]</f>
        <v>PŁHICA-1,01,0x2,0</v>
      </c>
    </row>
    <row r="75" spans="1:33">
      <c r="A75" s="10" t="s">
        <v>165</v>
      </c>
      <c r="B75" s="3" t="s">
        <v>1225</v>
      </c>
      <c r="C75" s="4"/>
      <c r="D75" s="4" t="s">
        <v>349</v>
      </c>
      <c r="E75" s="15" t="s">
        <v>152</v>
      </c>
      <c r="F75" s="7"/>
      <c r="G75" s="5"/>
      <c r="H75" s="5" t="s">
        <v>582</v>
      </c>
      <c r="I75" s="5" t="s">
        <v>541</v>
      </c>
      <c r="J75" s="5" t="s">
        <v>541</v>
      </c>
      <c r="K75" s="5" t="s">
        <v>544</v>
      </c>
      <c r="L75" s="5" t="s">
        <v>152</v>
      </c>
      <c r="M75" s="5" t="s">
        <v>152</v>
      </c>
      <c r="N75" s="5" t="s">
        <v>141</v>
      </c>
      <c r="O75" s="5" t="s">
        <v>152</v>
      </c>
      <c r="P75" s="5" t="s">
        <v>152</v>
      </c>
      <c r="Q75" s="5" t="s">
        <v>933</v>
      </c>
      <c r="R75" s="14" t="s">
        <v>141</v>
      </c>
      <c r="S75" s="5" t="s">
        <v>594</v>
      </c>
      <c r="T75" s="5" t="s">
        <v>152</v>
      </c>
      <c r="U75" s="5">
        <v>1.5</v>
      </c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 t="str">
        <f>Tabela1[[#This Row],[Indeks]]</f>
        <v>PŁHICA-1,51,0x2,0</v>
      </c>
    </row>
    <row r="76" spans="1:33">
      <c r="A76" s="10" t="s">
        <v>166</v>
      </c>
      <c r="B76" s="3" t="s">
        <v>1226</v>
      </c>
      <c r="C76" s="4"/>
      <c r="D76" s="4" t="s">
        <v>349</v>
      </c>
      <c r="E76" s="15" t="s">
        <v>152</v>
      </c>
      <c r="F76" s="7"/>
      <c r="G76" s="5"/>
      <c r="H76" s="5" t="s">
        <v>582</v>
      </c>
      <c r="I76" s="5" t="s">
        <v>541</v>
      </c>
      <c r="J76" s="5" t="s">
        <v>541</v>
      </c>
      <c r="K76" s="5" t="s">
        <v>544</v>
      </c>
      <c r="L76" s="5" t="s">
        <v>152</v>
      </c>
      <c r="M76" s="5" t="s">
        <v>152</v>
      </c>
      <c r="N76" s="5" t="s">
        <v>141</v>
      </c>
      <c r="O76" s="5" t="s">
        <v>152</v>
      </c>
      <c r="P76" s="5" t="s">
        <v>152</v>
      </c>
      <c r="Q76" s="5" t="s">
        <v>933</v>
      </c>
      <c r="R76" s="14" t="s">
        <v>141</v>
      </c>
      <c r="S76" s="5" t="s">
        <v>594</v>
      </c>
      <c r="T76" s="5" t="s">
        <v>152</v>
      </c>
      <c r="U76" s="5">
        <v>2</v>
      </c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 t="str">
        <f>Tabela1[[#This Row],[Indeks]]</f>
        <v>PŁHICA-2,01,0x2,0</v>
      </c>
    </row>
    <row r="77" spans="1:33">
      <c r="A77" s="10" t="s">
        <v>167</v>
      </c>
      <c r="B77" s="3" t="s">
        <v>1227</v>
      </c>
      <c r="C77" s="4"/>
      <c r="D77" s="4" t="s">
        <v>349</v>
      </c>
      <c r="E77" s="15" t="s">
        <v>152</v>
      </c>
      <c r="F77" s="7"/>
      <c r="G77" s="5"/>
      <c r="H77" s="5" t="s">
        <v>582</v>
      </c>
      <c r="I77" s="5" t="s">
        <v>541</v>
      </c>
      <c r="J77" s="5" t="s">
        <v>541</v>
      </c>
      <c r="K77" s="5" t="s">
        <v>544</v>
      </c>
      <c r="L77" s="5" t="s">
        <v>152</v>
      </c>
      <c r="M77" s="5" t="s">
        <v>152</v>
      </c>
      <c r="N77" s="5" t="s">
        <v>141</v>
      </c>
      <c r="O77" s="5" t="s">
        <v>152</v>
      </c>
      <c r="P77" s="5" t="s">
        <v>152</v>
      </c>
      <c r="Q77" s="5" t="s">
        <v>933</v>
      </c>
      <c r="R77" s="5"/>
      <c r="S77" s="5" t="s">
        <v>594</v>
      </c>
      <c r="T77" s="5" t="s">
        <v>152</v>
      </c>
      <c r="U77" s="5">
        <v>3</v>
      </c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 t="str">
        <f>Tabela1[[#This Row],[Indeks]]</f>
        <v>PŁHICA-3,01,0x2,0</v>
      </c>
    </row>
    <row r="78" spans="1:33">
      <c r="A78" s="10" t="s">
        <v>168</v>
      </c>
      <c r="B78" s="3" t="s">
        <v>1228</v>
      </c>
      <c r="C78" s="4"/>
      <c r="D78" s="4" t="s">
        <v>349</v>
      </c>
      <c r="E78" s="15" t="s">
        <v>152</v>
      </c>
      <c r="F78" s="7"/>
      <c r="G78" s="5"/>
      <c r="H78" s="5" t="s">
        <v>582</v>
      </c>
      <c r="I78" s="5" t="s">
        <v>541</v>
      </c>
      <c r="J78" s="5" t="s">
        <v>541</v>
      </c>
      <c r="K78" s="5" t="s">
        <v>544</v>
      </c>
      <c r="L78" s="5" t="s">
        <v>152</v>
      </c>
      <c r="M78" s="5" t="s">
        <v>152</v>
      </c>
      <c r="N78" s="5" t="s">
        <v>141</v>
      </c>
      <c r="O78" s="5" t="s">
        <v>152</v>
      </c>
      <c r="P78" s="5" t="s">
        <v>152</v>
      </c>
      <c r="Q78" s="5" t="s">
        <v>933</v>
      </c>
      <c r="R78" s="14" t="s">
        <v>141</v>
      </c>
      <c r="S78" s="5" t="s">
        <v>594</v>
      </c>
      <c r="T78" s="5" t="s">
        <v>152</v>
      </c>
      <c r="U78" s="5">
        <v>2</v>
      </c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 t="str">
        <f>Tabela1[[#This Row],[Indeks]]</f>
        <v>PŁHICZ-2,01,0x2,0</v>
      </c>
    </row>
    <row r="79" spans="1:33">
      <c r="A79" s="10" t="s">
        <v>169</v>
      </c>
      <c r="B79" s="3" t="s">
        <v>1229</v>
      </c>
      <c r="C79" s="4"/>
      <c r="D79" s="4" t="s">
        <v>349</v>
      </c>
      <c r="E79" s="15" t="s">
        <v>152</v>
      </c>
      <c r="F79" s="7"/>
      <c r="G79" s="5"/>
      <c r="H79" s="5" t="s">
        <v>582</v>
      </c>
      <c r="I79" s="5" t="s">
        <v>541</v>
      </c>
      <c r="J79" s="5" t="s">
        <v>541</v>
      </c>
      <c r="K79" s="5" t="s">
        <v>544</v>
      </c>
      <c r="L79" s="5" t="s">
        <v>541</v>
      </c>
      <c r="M79" s="5" t="s">
        <v>152</v>
      </c>
      <c r="N79" s="5" t="s">
        <v>141</v>
      </c>
      <c r="O79" s="5" t="s">
        <v>152</v>
      </c>
      <c r="P79" s="5" t="s">
        <v>152</v>
      </c>
      <c r="Q79" s="5" t="s">
        <v>933</v>
      </c>
      <c r="R79" s="14" t="s">
        <v>141</v>
      </c>
      <c r="S79" s="5" t="s">
        <v>594</v>
      </c>
      <c r="T79" s="5" t="s">
        <v>152</v>
      </c>
      <c r="U79" s="5">
        <v>1</v>
      </c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73" t="str">
        <f>Tabela1[[#This Row],[Indeks]]</f>
        <v>PŁHILS-1,01,0X2,0</v>
      </c>
    </row>
    <row r="80" spans="1:33">
      <c r="A80" s="10" t="s">
        <v>170</v>
      </c>
      <c r="B80" s="3" t="s">
        <v>1230</v>
      </c>
      <c r="C80" s="4"/>
      <c r="D80" s="4" t="s">
        <v>349</v>
      </c>
      <c r="E80" s="15" t="s">
        <v>152</v>
      </c>
      <c r="F80" s="7"/>
      <c r="G80" s="5"/>
      <c r="H80" s="5" t="s">
        <v>582</v>
      </c>
      <c r="I80" s="5" t="s">
        <v>541</v>
      </c>
      <c r="J80" s="5" t="s">
        <v>541</v>
      </c>
      <c r="K80" s="5" t="s">
        <v>544</v>
      </c>
      <c r="L80" s="5" t="s">
        <v>541</v>
      </c>
      <c r="M80" s="5" t="s">
        <v>152</v>
      </c>
      <c r="N80" s="5" t="s">
        <v>141</v>
      </c>
      <c r="O80" s="5" t="s">
        <v>152</v>
      </c>
      <c r="P80" s="5" t="s">
        <v>152</v>
      </c>
      <c r="Q80" s="5" t="s">
        <v>933</v>
      </c>
      <c r="R80" s="14" t="s">
        <v>141</v>
      </c>
      <c r="S80" s="5" t="s">
        <v>594</v>
      </c>
      <c r="T80" s="5" t="s">
        <v>152</v>
      </c>
      <c r="U80" s="5">
        <v>1.5</v>
      </c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73" t="str">
        <f>Tabela1[[#This Row],[Indeks]]</f>
        <v>PŁHILS-1,51,0X2,0</v>
      </c>
    </row>
    <row r="81" spans="1:33">
      <c r="A81" s="10" t="s">
        <v>171</v>
      </c>
      <c r="B81" s="3" t="s">
        <v>1231</v>
      </c>
      <c r="C81" s="4"/>
      <c r="D81" s="4" t="s">
        <v>349</v>
      </c>
      <c r="E81" s="15" t="s">
        <v>152</v>
      </c>
      <c r="F81" s="7"/>
      <c r="G81" s="5"/>
      <c r="H81" s="5" t="s">
        <v>582</v>
      </c>
      <c r="I81" s="5" t="s">
        <v>541</v>
      </c>
      <c r="J81" s="5" t="s">
        <v>541</v>
      </c>
      <c r="K81" s="5" t="s">
        <v>544</v>
      </c>
      <c r="L81" s="5" t="s">
        <v>541</v>
      </c>
      <c r="M81" s="5" t="s">
        <v>152</v>
      </c>
      <c r="N81" s="5" t="s">
        <v>141</v>
      </c>
      <c r="O81" s="5" t="s">
        <v>152</v>
      </c>
      <c r="P81" s="5" t="s">
        <v>152</v>
      </c>
      <c r="Q81" s="5" t="s">
        <v>933</v>
      </c>
      <c r="R81" s="14" t="s">
        <v>141</v>
      </c>
      <c r="S81" s="5" t="s">
        <v>594</v>
      </c>
      <c r="T81" s="5" t="s">
        <v>152</v>
      </c>
      <c r="U81" s="5">
        <v>2</v>
      </c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 t="str">
        <f>Tabela1[[#This Row],[Indeks]]</f>
        <v>PŁHILS-2,01,0X2,0</v>
      </c>
    </row>
    <row r="82" spans="1:33">
      <c r="A82" s="10" t="s">
        <v>172</v>
      </c>
      <c r="B82" s="3" t="s">
        <v>1232</v>
      </c>
      <c r="C82" s="4"/>
      <c r="D82" s="4" t="s">
        <v>349</v>
      </c>
      <c r="E82" s="15" t="s">
        <v>152</v>
      </c>
      <c r="F82" s="7"/>
      <c r="G82" s="5"/>
      <c r="H82" s="5" t="s">
        <v>582</v>
      </c>
      <c r="I82" s="5" t="s">
        <v>541</v>
      </c>
      <c r="J82" s="5" t="s">
        <v>541</v>
      </c>
      <c r="K82" s="5" t="s">
        <v>544</v>
      </c>
      <c r="L82" s="5" t="s">
        <v>541</v>
      </c>
      <c r="M82" s="5" t="s">
        <v>152</v>
      </c>
      <c r="N82" s="5" t="s">
        <v>141</v>
      </c>
      <c r="O82" s="5" t="s">
        <v>152</v>
      </c>
      <c r="P82" s="5" t="s">
        <v>152</v>
      </c>
      <c r="Q82" s="5" t="s">
        <v>933</v>
      </c>
      <c r="R82" s="14" t="s">
        <v>141</v>
      </c>
      <c r="S82" s="5" t="s">
        <v>594</v>
      </c>
      <c r="T82" s="5" t="s">
        <v>152</v>
      </c>
      <c r="U82" s="5">
        <v>2</v>
      </c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73" t="str">
        <f>Tabela1[[#This Row],[Indeks]]</f>
        <v>PŁHINI-2,01,0x2,0</v>
      </c>
    </row>
    <row r="83" spans="1:33">
      <c r="A83" s="10" t="s">
        <v>173</v>
      </c>
      <c r="B83" s="3" t="s">
        <v>1233</v>
      </c>
      <c r="C83" s="4"/>
      <c r="D83" s="4" t="s">
        <v>349</v>
      </c>
      <c r="E83" s="15" t="s">
        <v>152</v>
      </c>
      <c r="F83" s="7"/>
      <c r="G83" s="5"/>
      <c r="H83" s="5" t="s">
        <v>582</v>
      </c>
      <c r="I83" s="5" t="s">
        <v>541</v>
      </c>
      <c r="J83" s="5" t="s">
        <v>541</v>
      </c>
      <c r="K83" s="5" t="s">
        <v>544</v>
      </c>
      <c r="L83" s="5" t="s">
        <v>541</v>
      </c>
      <c r="M83" s="5" t="s">
        <v>152</v>
      </c>
      <c r="N83" s="5" t="s">
        <v>141</v>
      </c>
      <c r="O83" s="5" t="s">
        <v>152</v>
      </c>
      <c r="P83" s="5" t="s">
        <v>152</v>
      </c>
      <c r="Q83" s="5" t="s">
        <v>933</v>
      </c>
      <c r="R83" s="14" t="s">
        <v>141</v>
      </c>
      <c r="S83" s="5" t="s">
        <v>594</v>
      </c>
      <c r="T83" s="5" t="s">
        <v>152</v>
      </c>
      <c r="U83" s="5">
        <v>1</v>
      </c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73" t="str">
        <f>Tabela1[[#This Row],[Indeks]]</f>
        <v>PŁHIOP-1,01,0X2,0</v>
      </c>
    </row>
    <row r="84" spans="1:33">
      <c r="A84" s="10" t="s">
        <v>174</v>
      </c>
      <c r="B84" s="3" t="s">
        <v>1234</v>
      </c>
      <c r="C84" s="4"/>
      <c r="D84" s="4" t="s">
        <v>349</v>
      </c>
      <c r="E84" s="15" t="s">
        <v>152</v>
      </c>
      <c r="F84" s="7"/>
      <c r="G84" s="5"/>
      <c r="H84" s="5" t="s">
        <v>582</v>
      </c>
      <c r="I84" s="5" t="s">
        <v>541</v>
      </c>
      <c r="J84" s="5" t="s">
        <v>541</v>
      </c>
      <c r="K84" s="5" t="s">
        <v>544</v>
      </c>
      <c r="L84" s="5" t="s">
        <v>541</v>
      </c>
      <c r="M84" s="5" t="s">
        <v>152</v>
      </c>
      <c r="N84" s="5" t="s">
        <v>141</v>
      </c>
      <c r="O84" s="5" t="s">
        <v>152</v>
      </c>
      <c r="P84" s="5" t="s">
        <v>152</v>
      </c>
      <c r="Q84" s="5" t="s">
        <v>933</v>
      </c>
      <c r="R84" s="14" t="s">
        <v>141</v>
      </c>
      <c r="S84" s="5" t="s">
        <v>594</v>
      </c>
      <c r="T84" s="5" t="s">
        <v>152</v>
      </c>
      <c r="U84" s="5">
        <v>1.5</v>
      </c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73" t="str">
        <f>Tabela1[[#This Row],[Indeks]]</f>
        <v>PŁHIOP-1,51,0X2,0</v>
      </c>
    </row>
    <row r="85" spans="1:33">
      <c r="A85" s="10" t="s">
        <v>175</v>
      </c>
      <c r="B85" s="3" t="s">
        <v>1235</v>
      </c>
      <c r="C85" s="4"/>
      <c r="D85" s="4" t="s">
        <v>349</v>
      </c>
      <c r="E85" s="15" t="s">
        <v>152</v>
      </c>
      <c r="F85" s="7"/>
      <c r="G85" s="5"/>
      <c r="H85" s="5" t="s">
        <v>582</v>
      </c>
      <c r="I85" s="5" t="s">
        <v>541</v>
      </c>
      <c r="J85" s="5" t="s">
        <v>541</v>
      </c>
      <c r="K85" s="5" t="s">
        <v>544</v>
      </c>
      <c r="L85" s="5" t="s">
        <v>541</v>
      </c>
      <c r="M85" s="5" t="s">
        <v>152</v>
      </c>
      <c r="N85" s="5" t="s">
        <v>141</v>
      </c>
      <c r="O85" s="5" t="s">
        <v>152</v>
      </c>
      <c r="P85" s="5" t="s">
        <v>152</v>
      </c>
      <c r="Q85" s="5" t="s">
        <v>933</v>
      </c>
      <c r="R85" s="14" t="s">
        <v>141</v>
      </c>
      <c r="S85" s="5" t="s">
        <v>594</v>
      </c>
      <c r="T85" s="5" t="s">
        <v>152</v>
      </c>
      <c r="U85" s="5">
        <v>2</v>
      </c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 t="str">
        <f>Tabela1[[#This Row],[Indeks]]</f>
        <v>PŁHIOP-2,01,0X2,0</v>
      </c>
    </row>
    <row r="86" spans="1:33">
      <c r="A86" s="10" t="s">
        <v>176</v>
      </c>
      <c r="B86" s="3" t="s">
        <v>1236</v>
      </c>
      <c r="C86" s="4"/>
      <c r="D86" s="4" t="s">
        <v>349</v>
      </c>
      <c r="E86" s="15" t="s">
        <v>152</v>
      </c>
      <c r="F86" s="7"/>
      <c r="G86" s="5"/>
      <c r="H86" s="5" t="s">
        <v>582</v>
      </c>
      <c r="I86" s="5" t="s">
        <v>541</v>
      </c>
      <c r="J86" s="5" t="s">
        <v>541</v>
      </c>
      <c r="K86" s="5" t="s">
        <v>544</v>
      </c>
      <c r="L86" s="5" t="s">
        <v>541</v>
      </c>
      <c r="M86" s="5" t="s">
        <v>152</v>
      </c>
      <c r="N86" s="5" t="s">
        <v>141</v>
      </c>
      <c r="O86" s="5" t="s">
        <v>152</v>
      </c>
      <c r="P86" s="5" t="s">
        <v>152</v>
      </c>
      <c r="Q86" s="5" t="s">
        <v>933</v>
      </c>
      <c r="R86" s="14" t="s">
        <v>141</v>
      </c>
      <c r="S86" s="5" t="s">
        <v>594</v>
      </c>
      <c r="T86" s="5" t="s">
        <v>152</v>
      </c>
      <c r="U86" s="5">
        <v>1</v>
      </c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 t="str">
        <f>Tabela1[[#This Row],[Indeks]]</f>
        <v>PŁHISM-1,01,0X2,0</v>
      </c>
    </row>
    <row r="87" spans="1:33">
      <c r="A87" s="10" t="s">
        <v>177</v>
      </c>
      <c r="B87" s="3" t="s">
        <v>1237</v>
      </c>
      <c r="C87" s="4"/>
      <c r="D87" s="4" t="s">
        <v>349</v>
      </c>
      <c r="E87" s="15" t="s">
        <v>152</v>
      </c>
      <c r="F87" s="7"/>
      <c r="G87" s="5"/>
      <c r="H87" s="5" t="s">
        <v>582</v>
      </c>
      <c r="I87" s="5" t="s">
        <v>541</v>
      </c>
      <c r="J87" s="5" t="s">
        <v>541</v>
      </c>
      <c r="K87" s="5" t="s">
        <v>544</v>
      </c>
      <c r="L87" s="5" t="s">
        <v>541</v>
      </c>
      <c r="M87" s="5" t="s">
        <v>152</v>
      </c>
      <c r="N87" s="5" t="s">
        <v>141</v>
      </c>
      <c r="O87" s="5" t="s">
        <v>152</v>
      </c>
      <c r="P87" s="5" t="s">
        <v>152</v>
      </c>
      <c r="Q87" s="5" t="s">
        <v>933</v>
      </c>
      <c r="R87" s="14" t="s">
        <v>141</v>
      </c>
      <c r="S87" s="5" t="s">
        <v>594</v>
      </c>
      <c r="T87" s="5" t="s">
        <v>152</v>
      </c>
      <c r="U87" s="5">
        <v>1.5</v>
      </c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 t="str">
        <f>Tabela1[[#This Row],[Indeks]]</f>
        <v>PŁHISM-1,51,0X2,0</v>
      </c>
    </row>
    <row r="88" spans="1:33">
      <c r="A88" s="10" t="s">
        <v>178</v>
      </c>
      <c r="B88" s="3" t="s">
        <v>1238</v>
      </c>
      <c r="C88" s="4"/>
      <c r="D88" s="4" t="s">
        <v>349</v>
      </c>
      <c r="E88" s="15" t="s">
        <v>152</v>
      </c>
      <c r="F88" s="7"/>
      <c r="G88" s="5"/>
      <c r="H88" s="5" t="s">
        <v>582</v>
      </c>
      <c r="I88" s="5" t="s">
        <v>541</v>
      </c>
      <c r="J88" s="5" t="s">
        <v>541</v>
      </c>
      <c r="K88" s="5" t="s">
        <v>544</v>
      </c>
      <c r="L88" s="5" t="s">
        <v>541</v>
      </c>
      <c r="M88" s="5" t="s">
        <v>152</v>
      </c>
      <c r="N88" s="5" t="s">
        <v>141</v>
      </c>
      <c r="O88" s="5" t="s">
        <v>152</v>
      </c>
      <c r="P88" s="5" t="s">
        <v>152</v>
      </c>
      <c r="Q88" s="5" t="s">
        <v>933</v>
      </c>
      <c r="R88" s="14" t="s">
        <v>141</v>
      </c>
      <c r="S88" s="5" t="s">
        <v>594</v>
      </c>
      <c r="T88" s="5" t="s">
        <v>152</v>
      </c>
      <c r="U88" s="5">
        <v>2</v>
      </c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 t="str">
        <f>Tabela1[[#This Row],[Indeks]]</f>
        <v>PŁHISM-2,01,0X2,0</v>
      </c>
    </row>
    <row r="89" spans="1:33">
      <c r="A89" s="10" t="s">
        <v>179</v>
      </c>
      <c r="B89" s="3" t="s">
        <v>1239</v>
      </c>
      <c r="C89" s="4"/>
      <c r="D89" s="4" t="s">
        <v>349</v>
      </c>
      <c r="E89" s="15" t="s">
        <v>152</v>
      </c>
      <c r="F89" s="7"/>
      <c r="G89" s="5"/>
      <c r="H89" s="5" t="s">
        <v>582</v>
      </c>
      <c r="I89" s="5" t="s">
        <v>541</v>
      </c>
      <c r="J89" s="5" t="s">
        <v>541</v>
      </c>
      <c r="K89" s="5" t="s">
        <v>544</v>
      </c>
      <c r="L89" s="5" t="s">
        <v>541</v>
      </c>
      <c r="M89" s="5" t="s">
        <v>152</v>
      </c>
      <c r="N89" s="5" t="s">
        <v>141</v>
      </c>
      <c r="O89" s="5" t="s">
        <v>152</v>
      </c>
      <c r="P89" s="5" t="s">
        <v>152</v>
      </c>
      <c r="Q89" s="5" t="s">
        <v>933</v>
      </c>
      <c r="R89" s="5"/>
      <c r="S89" s="5" t="s">
        <v>594</v>
      </c>
      <c r="T89" s="5" t="s">
        <v>152</v>
      </c>
      <c r="U89" s="5">
        <v>3</v>
      </c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 t="str">
        <f>Tabela1[[#This Row],[Indeks]]</f>
        <v>PŁHISM-3,01,0X2,0</v>
      </c>
    </row>
    <row r="90" spans="1:33">
      <c r="A90" s="10" t="s">
        <v>180</v>
      </c>
      <c r="B90" s="3" t="s">
        <v>1240</v>
      </c>
      <c r="C90" s="4"/>
      <c r="D90" s="4" t="s">
        <v>349</v>
      </c>
      <c r="E90" s="15" t="s">
        <v>152</v>
      </c>
      <c r="F90" s="7"/>
      <c r="G90" s="5"/>
      <c r="H90" s="5" t="s">
        <v>582</v>
      </c>
      <c r="I90" s="5" t="s">
        <v>541</v>
      </c>
      <c r="J90" s="5" t="s">
        <v>541</v>
      </c>
      <c r="K90" s="5" t="s">
        <v>544</v>
      </c>
      <c r="L90" s="5" t="s">
        <v>541</v>
      </c>
      <c r="M90" s="5" t="s">
        <v>152</v>
      </c>
      <c r="N90" s="5" t="s">
        <v>141</v>
      </c>
      <c r="O90" s="5" t="s">
        <v>152</v>
      </c>
      <c r="P90" s="5" t="s">
        <v>152</v>
      </c>
      <c r="Q90" s="5" t="s">
        <v>933</v>
      </c>
      <c r="R90" s="14" t="s">
        <v>141</v>
      </c>
      <c r="S90" s="5" t="s">
        <v>594</v>
      </c>
      <c r="T90" s="5" t="s">
        <v>152</v>
      </c>
      <c r="U90" s="5">
        <v>2</v>
      </c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 t="str">
        <f>Tabela1[[#This Row],[Indeks]]</f>
        <v>PŁHIZI-2,01,0x2,0</v>
      </c>
    </row>
    <row r="91" spans="1:33">
      <c r="A91" s="10" t="s">
        <v>181</v>
      </c>
      <c r="B91" s="3" t="s">
        <v>1241</v>
      </c>
      <c r="C91" s="4"/>
      <c r="D91" s="4" t="s">
        <v>349</v>
      </c>
      <c r="E91" s="15" t="s">
        <v>152</v>
      </c>
      <c r="F91" s="7"/>
      <c r="G91" s="5"/>
      <c r="H91" s="5" t="s">
        <v>582</v>
      </c>
      <c r="I91" s="5" t="s">
        <v>541</v>
      </c>
      <c r="J91" s="5" t="s">
        <v>541</v>
      </c>
      <c r="K91" s="5" t="s">
        <v>544</v>
      </c>
      <c r="L91" s="5" t="s">
        <v>541</v>
      </c>
      <c r="M91" s="5" t="s">
        <v>152</v>
      </c>
      <c r="N91" s="5" t="s">
        <v>141</v>
      </c>
      <c r="O91" s="5" t="s">
        <v>152</v>
      </c>
      <c r="P91" s="5" t="s">
        <v>152</v>
      </c>
      <c r="Q91" s="5" t="s">
        <v>933</v>
      </c>
      <c r="R91" s="14" t="s">
        <v>141</v>
      </c>
      <c r="S91" s="5" t="s">
        <v>594</v>
      </c>
      <c r="T91" s="5" t="s">
        <v>152</v>
      </c>
      <c r="U91" s="5">
        <v>2</v>
      </c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3" t="str">
        <f>Tabela1[[#This Row],[Indeks]]</f>
        <v>PŁHIŻÓ-2,01,0x2,0</v>
      </c>
    </row>
    <row r="92" spans="1:33" ht="26.25">
      <c r="A92" s="10" t="s">
        <v>182</v>
      </c>
      <c r="B92" s="3" t="s">
        <v>183</v>
      </c>
      <c r="C92" s="5" t="s">
        <v>103</v>
      </c>
      <c r="D92" s="4" t="s">
        <v>86</v>
      </c>
      <c r="E92" s="8"/>
      <c r="F92" s="5"/>
      <c r="G92" s="5"/>
      <c r="H92" s="5" t="s">
        <v>580</v>
      </c>
      <c r="I92" s="5"/>
      <c r="J92" s="5"/>
      <c r="K92" s="5"/>
      <c r="L92" s="5"/>
      <c r="M92" s="5"/>
      <c r="N92" s="5"/>
      <c r="O92" s="5"/>
      <c r="P92" s="45" t="s">
        <v>577</v>
      </c>
      <c r="Q92" s="5" t="s">
        <v>352</v>
      </c>
      <c r="R92" s="5"/>
      <c r="S92" s="5"/>
      <c r="T92" s="5"/>
      <c r="U92" s="5">
        <v>10</v>
      </c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 t="str">
        <f>Tabela1[[#This Row],[Indeks]]</f>
        <v>DRWL-BIG-10-1</v>
      </c>
    </row>
    <row r="93" spans="1:33" ht="26.25">
      <c r="A93" s="10" t="s">
        <v>184</v>
      </c>
      <c r="B93" s="3" t="s">
        <v>185</v>
      </c>
      <c r="C93" s="5" t="s">
        <v>103</v>
      </c>
      <c r="D93" s="4" t="s">
        <v>86</v>
      </c>
      <c r="E93" s="5"/>
      <c r="F93" s="5"/>
      <c r="G93" s="5"/>
      <c r="H93" s="5" t="s">
        <v>580</v>
      </c>
      <c r="I93" s="5"/>
      <c r="J93" s="5"/>
      <c r="K93" s="5"/>
      <c r="L93" s="5"/>
      <c r="M93" s="5"/>
      <c r="N93" s="5"/>
      <c r="O93" s="5"/>
      <c r="P93" s="45" t="s">
        <v>577</v>
      </c>
      <c r="Q93" s="5" t="s">
        <v>352</v>
      </c>
      <c r="R93" s="5"/>
      <c r="S93" s="5"/>
      <c r="T93" s="5"/>
      <c r="U93" s="5">
        <v>12</v>
      </c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3" t="str">
        <f>Tabela1[[#This Row],[Indeks]]</f>
        <v>DRWL-BIG-12-1</v>
      </c>
    </row>
    <row r="94" spans="1:33" ht="26.25">
      <c r="A94" s="10" t="s">
        <v>186</v>
      </c>
      <c r="B94" s="3" t="s">
        <v>187</v>
      </c>
      <c r="C94" s="5" t="s">
        <v>103</v>
      </c>
      <c r="D94" s="4" t="s">
        <v>86</v>
      </c>
      <c r="E94" s="5"/>
      <c r="F94" s="5"/>
      <c r="G94" s="5"/>
      <c r="H94" s="5" t="s">
        <v>580</v>
      </c>
      <c r="I94" s="5"/>
      <c r="J94" s="5"/>
      <c r="K94" s="5"/>
      <c r="L94" s="5"/>
      <c r="M94" s="5"/>
      <c r="N94" s="5"/>
      <c r="O94" s="5"/>
      <c r="P94" s="45" t="s">
        <v>577</v>
      </c>
      <c r="Q94" s="5" t="s">
        <v>352</v>
      </c>
      <c r="R94" s="5"/>
      <c r="S94" s="5"/>
      <c r="T94" s="5"/>
      <c r="U94" s="5">
        <v>16</v>
      </c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 t="str">
        <f>Tabela1[[#This Row],[Indeks]]</f>
        <v>DRWL-BIG-16-1</v>
      </c>
    </row>
    <row r="95" spans="1:33" ht="26.25">
      <c r="A95" s="10" t="s">
        <v>188</v>
      </c>
      <c r="B95" s="3" t="s">
        <v>189</v>
      </c>
      <c r="C95" s="5" t="s">
        <v>103</v>
      </c>
      <c r="D95" s="4" t="s">
        <v>86</v>
      </c>
      <c r="E95" s="5"/>
      <c r="F95" s="5"/>
      <c r="G95" s="5"/>
      <c r="H95" s="5" t="s">
        <v>580</v>
      </c>
      <c r="I95" s="5"/>
      <c r="J95" s="5"/>
      <c r="K95" s="5"/>
      <c r="L95" s="5"/>
      <c r="M95" s="5"/>
      <c r="N95" s="5"/>
      <c r="O95" s="5"/>
      <c r="P95" s="45" t="s">
        <v>577</v>
      </c>
      <c r="Q95" s="5" t="s">
        <v>352</v>
      </c>
      <c r="R95" s="5"/>
      <c r="S95" s="5"/>
      <c r="T95" s="5"/>
      <c r="U95" s="5">
        <v>18</v>
      </c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 t="str">
        <f>Tabela1[[#This Row],[Indeks]]</f>
        <v>DRWL-BIG-18-1</v>
      </c>
    </row>
    <row r="96" spans="1:33" ht="26.25">
      <c r="A96" s="10" t="s">
        <v>190</v>
      </c>
      <c r="B96" s="3" t="s">
        <v>191</v>
      </c>
      <c r="C96" s="5" t="s">
        <v>192</v>
      </c>
      <c r="D96" s="4" t="s">
        <v>86</v>
      </c>
      <c r="E96" s="5"/>
      <c r="F96" s="5"/>
      <c r="G96" s="5"/>
      <c r="H96" s="5" t="s">
        <v>580</v>
      </c>
      <c r="I96" s="5"/>
      <c r="J96" s="5"/>
      <c r="K96" s="5"/>
      <c r="L96" s="5"/>
      <c r="M96" s="5"/>
      <c r="N96" s="5"/>
      <c r="O96" s="5"/>
      <c r="P96" s="45" t="s">
        <v>577</v>
      </c>
      <c r="Q96" s="5" t="s">
        <v>352</v>
      </c>
      <c r="R96" s="5"/>
      <c r="S96" s="5"/>
      <c r="T96" s="5"/>
      <c r="U96" s="5">
        <v>10</v>
      </c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 t="str">
        <f>Tabela1[[#This Row],[Indeks]]</f>
        <v>DRWL-BIP-10-1</v>
      </c>
    </row>
    <row r="97" spans="1:33" ht="26.25">
      <c r="A97" s="10" t="s">
        <v>193</v>
      </c>
      <c r="B97" s="3" t="s">
        <v>194</v>
      </c>
      <c r="C97" s="5" t="s">
        <v>192</v>
      </c>
      <c r="D97" s="4" t="s">
        <v>86</v>
      </c>
      <c r="E97" s="5"/>
      <c r="F97" s="5"/>
      <c r="G97" s="5"/>
      <c r="H97" s="5" t="s">
        <v>580</v>
      </c>
      <c r="I97" s="5"/>
      <c r="J97" s="5"/>
      <c r="K97" s="5"/>
      <c r="L97" s="5"/>
      <c r="M97" s="5"/>
      <c r="N97" s="5"/>
      <c r="O97" s="5"/>
      <c r="P97" s="45" t="s">
        <v>577</v>
      </c>
      <c r="Q97" s="5" t="s">
        <v>352</v>
      </c>
      <c r="R97" s="5"/>
      <c r="S97" s="5"/>
      <c r="T97" s="5"/>
      <c r="U97" s="5">
        <v>12</v>
      </c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 t="str">
        <f>Tabela1[[#This Row],[Indeks]]</f>
        <v>DRWL-BIP-12-1</v>
      </c>
    </row>
    <row r="98" spans="1:33" ht="26.25">
      <c r="A98" s="10" t="s">
        <v>195</v>
      </c>
      <c r="B98" s="3" t="s">
        <v>196</v>
      </c>
      <c r="C98" s="5" t="s">
        <v>192</v>
      </c>
      <c r="D98" s="4" t="s">
        <v>86</v>
      </c>
      <c r="E98" s="5"/>
      <c r="F98" s="5"/>
      <c r="G98" s="5"/>
      <c r="H98" s="5" t="s">
        <v>580</v>
      </c>
      <c r="I98" s="5"/>
      <c r="J98" s="5"/>
      <c r="K98" s="5"/>
      <c r="L98" s="5"/>
      <c r="M98" s="5"/>
      <c r="N98" s="5"/>
      <c r="O98" s="5"/>
      <c r="P98" s="45" t="s">
        <v>577</v>
      </c>
      <c r="Q98" s="5" t="s">
        <v>352</v>
      </c>
      <c r="R98" s="5"/>
      <c r="S98" s="5"/>
      <c r="T98" s="5"/>
      <c r="U98" s="5">
        <v>16</v>
      </c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 t="str">
        <f>Tabela1[[#This Row],[Indeks]]</f>
        <v>DRWL-BIP-16-1</v>
      </c>
    </row>
    <row r="99" spans="1:33" ht="26.25">
      <c r="A99" s="10" t="s">
        <v>197</v>
      </c>
      <c r="B99" s="3" t="s">
        <v>198</v>
      </c>
      <c r="C99" s="5" t="s">
        <v>192</v>
      </c>
      <c r="D99" s="4" t="s">
        <v>86</v>
      </c>
      <c r="E99" s="5"/>
      <c r="F99" s="5"/>
      <c r="G99" s="5"/>
      <c r="H99" s="5" t="s">
        <v>580</v>
      </c>
      <c r="I99" s="5"/>
      <c r="J99" s="5"/>
      <c r="K99" s="5"/>
      <c r="L99" s="5"/>
      <c r="M99" s="5"/>
      <c r="N99" s="5"/>
      <c r="O99" s="5"/>
      <c r="P99" s="45" t="s">
        <v>577</v>
      </c>
      <c r="Q99" s="5" t="s">
        <v>352</v>
      </c>
      <c r="R99" s="5"/>
      <c r="S99" s="5"/>
      <c r="T99" s="5"/>
      <c r="U99" s="5">
        <v>18</v>
      </c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3" t="str">
        <f>Tabela1[[#This Row],[Indeks]]</f>
        <v>DRWL-BIP-18-1</v>
      </c>
    </row>
    <row r="100" spans="1:33" ht="26.25">
      <c r="A100" s="10" t="s">
        <v>199</v>
      </c>
      <c r="B100" s="3" t="s">
        <v>200</v>
      </c>
      <c r="C100" s="5" t="s">
        <v>201</v>
      </c>
      <c r="D100" s="4" t="s">
        <v>86</v>
      </c>
      <c r="E100" s="5"/>
      <c r="F100" s="5"/>
      <c r="G100" s="5"/>
      <c r="H100" s="5" t="s">
        <v>580</v>
      </c>
      <c r="I100" s="5"/>
      <c r="J100" s="5"/>
      <c r="K100" s="5"/>
      <c r="L100" s="5"/>
      <c r="M100" s="5"/>
      <c r="N100" s="5"/>
      <c r="O100" s="5"/>
      <c r="P100" s="45" t="s">
        <v>577</v>
      </c>
      <c r="Q100" s="5" t="s">
        <v>352</v>
      </c>
      <c r="R100" s="5"/>
      <c r="S100" s="5"/>
      <c r="T100" s="5"/>
      <c r="U100" s="5">
        <v>10</v>
      </c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 t="str">
        <f>Tabela1[[#This Row],[Indeks]]</f>
        <v>DRWL-BIG2-10-1</v>
      </c>
    </row>
    <row r="101" spans="1:33" ht="26.25">
      <c r="A101" s="10" t="s">
        <v>202</v>
      </c>
      <c r="B101" s="3" t="s">
        <v>203</v>
      </c>
      <c r="C101" s="5" t="s">
        <v>201</v>
      </c>
      <c r="D101" s="4" t="s">
        <v>86</v>
      </c>
      <c r="E101" s="5"/>
      <c r="F101" s="5"/>
      <c r="G101" s="5"/>
      <c r="H101" s="5" t="s">
        <v>580</v>
      </c>
      <c r="I101" s="5"/>
      <c r="J101" s="5"/>
      <c r="K101" s="5"/>
      <c r="L101" s="5"/>
      <c r="M101" s="5"/>
      <c r="N101" s="5"/>
      <c r="O101" s="5"/>
      <c r="P101" s="45" t="s">
        <v>577</v>
      </c>
      <c r="Q101" s="5" t="s">
        <v>352</v>
      </c>
      <c r="R101" s="5"/>
      <c r="S101" s="5"/>
      <c r="T101" s="5"/>
      <c r="U101" s="5">
        <v>12</v>
      </c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 t="str">
        <f>Tabela1[[#This Row],[Indeks]]</f>
        <v>DRWL-BIG2-12-1</v>
      </c>
    </row>
    <row r="102" spans="1:33" ht="26.25">
      <c r="A102" s="10" t="s">
        <v>204</v>
      </c>
      <c r="B102" s="3" t="s">
        <v>205</v>
      </c>
      <c r="C102" s="5" t="s">
        <v>201</v>
      </c>
      <c r="D102" s="4" t="s">
        <v>86</v>
      </c>
      <c r="E102" s="5"/>
      <c r="F102" s="5"/>
      <c r="G102" s="5"/>
      <c r="H102" s="5" t="s">
        <v>580</v>
      </c>
      <c r="I102" s="5"/>
      <c r="J102" s="5"/>
      <c r="K102" s="5"/>
      <c r="L102" s="5"/>
      <c r="M102" s="5"/>
      <c r="N102" s="5"/>
      <c r="O102" s="5"/>
      <c r="P102" s="45" t="s">
        <v>577</v>
      </c>
      <c r="Q102" s="5" t="s">
        <v>352</v>
      </c>
      <c r="R102" s="5"/>
      <c r="S102" s="5"/>
      <c r="T102" s="5"/>
      <c r="U102" s="5">
        <v>16</v>
      </c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 t="str">
        <f>Tabela1[[#This Row],[Indeks]]</f>
        <v>DRWL-BIG2-16-1</v>
      </c>
    </row>
    <row r="103" spans="1:33" ht="26.25">
      <c r="A103" s="10" t="s">
        <v>206</v>
      </c>
      <c r="B103" s="3" t="s">
        <v>207</v>
      </c>
      <c r="C103" s="5" t="s">
        <v>201</v>
      </c>
      <c r="D103" s="4" t="s">
        <v>86</v>
      </c>
      <c r="E103" s="5"/>
      <c r="F103" s="5"/>
      <c r="G103" s="5"/>
      <c r="H103" s="5" t="s">
        <v>580</v>
      </c>
      <c r="I103" s="5"/>
      <c r="J103" s="5"/>
      <c r="K103" s="5"/>
      <c r="L103" s="5"/>
      <c r="M103" s="5"/>
      <c r="N103" s="5"/>
      <c r="O103" s="5"/>
      <c r="P103" s="45" t="s">
        <v>577</v>
      </c>
      <c r="Q103" s="5" t="s">
        <v>352</v>
      </c>
      <c r="R103" s="5"/>
      <c r="S103" s="5"/>
      <c r="T103" s="5"/>
      <c r="U103" s="5">
        <v>18</v>
      </c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 t="str">
        <f>Tabela1[[#This Row],[Indeks]]</f>
        <v>DRWL-BIG2-18-1</v>
      </c>
    </row>
    <row r="104" spans="1:33" ht="26.25">
      <c r="A104" s="10" t="s">
        <v>208</v>
      </c>
      <c r="B104" s="3" t="s">
        <v>209</v>
      </c>
      <c r="C104" s="5" t="s">
        <v>210</v>
      </c>
      <c r="D104" s="4" t="s">
        <v>86</v>
      </c>
      <c r="E104" s="5"/>
      <c r="F104" s="5"/>
      <c r="G104" s="5"/>
      <c r="H104" s="5" t="s">
        <v>580</v>
      </c>
      <c r="I104" s="5"/>
      <c r="J104" s="5"/>
      <c r="K104" s="5"/>
      <c r="L104" s="5"/>
      <c r="M104" s="5"/>
      <c r="N104" s="5"/>
      <c r="O104" s="5"/>
      <c r="P104" s="45" t="s">
        <v>577</v>
      </c>
      <c r="Q104" s="5" t="s">
        <v>352</v>
      </c>
      <c r="R104" s="5"/>
      <c r="S104" s="5"/>
      <c r="T104" s="5"/>
      <c r="U104" s="5">
        <v>10</v>
      </c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3" t="str">
        <f>Tabela1[[#This Row],[Indeks]]</f>
        <v>DRWL-CAP-10-1</v>
      </c>
    </row>
    <row r="105" spans="1:33" ht="26.25">
      <c r="A105" s="10" t="s">
        <v>211</v>
      </c>
      <c r="B105" s="3" t="s">
        <v>212</v>
      </c>
      <c r="C105" s="5" t="s">
        <v>210</v>
      </c>
      <c r="D105" s="4" t="s">
        <v>86</v>
      </c>
      <c r="E105" s="5"/>
      <c r="F105" s="5"/>
      <c r="G105" s="5"/>
      <c r="H105" s="5" t="s">
        <v>580</v>
      </c>
      <c r="I105" s="5"/>
      <c r="J105" s="5"/>
      <c r="K105" s="5"/>
      <c r="L105" s="5"/>
      <c r="M105" s="5"/>
      <c r="N105" s="5"/>
      <c r="O105" s="5"/>
      <c r="P105" s="45" t="s">
        <v>577</v>
      </c>
      <c r="Q105" s="5" t="s">
        <v>352</v>
      </c>
      <c r="R105" s="5"/>
      <c r="S105" s="5"/>
      <c r="T105" s="5"/>
      <c r="U105" s="5">
        <v>12</v>
      </c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 t="str">
        <f>Tabela1[[#This Row],[Indeks]]</f>
        <v>DRWL-CAP-16-1</v>
      </c>
    </row>
    <row r="106" spans="1:33" ht="26.25">
      <c r="A106" s="10" t="s">
        <v>213</v>
      </c>
      <c r="B106" s="3" t="s">
        <v>214</v>
      </c>
      <c r="C106" s="5" t="s">
        <v>210</v>
      </c>
      <c r="D106" s="4" t="s">
        <v>86</v>
      </c>
      <c r="E106" s="5"/>
      <c r="F106" s="5"/>
      <c r="G106" s="5"/>
      <c r="H106" s="5" t="s">
        <v>580</v>
      </c>
      <c r="I106" s="5"/>
      <c r="J106" s="5"/>
      <c r="K106" s="5"/>
      <c r="L106" s="5"/>
      <c r="M106" s="5"/>
      <c r="N106" s="5"/>
      <c r="O106" s="5"/>
      <c r="P106" s="45" t="s">
        <v>577</v>
      </c>
      <c r="Q106" s="5" t="s">
        <v>352</v>
      </c>
      <c r="R106" s="5"/>
      <c r="S106" s="5"/>
      <c r="T106" s="5"/>
      <c r="U106" s="5">
        <v>16</v>
      </c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 t="str">
        <f>Tabela1[[#This Row],[Indeks]]</f>
        <v>DRWL-CAP-18-1</v>
      </c>
    </row>
    <row r="107" spans="1:33" ht="26.25">
      <c r="A107" s="10" t="s">
        <v>208</v>
      </c>
      <c r="B107" s="3" t="s">
        <v>215</v>
      </c>
      <c r="C107" s="5" t="s">
        <v>210</v>
      </c>
      <c r="D107" s="4" t="s">
        <v>86</v>
      </c>
      <c r="E107" s="5"/>
      <c r="F107" s="5"/>
      <c r="G107" s="5"/>
      <c r="H107" s="5" t="s">
        <v>580</v>
      </c>
      <c r="I107" s="5"/>
      <c r="J107" s="5"/>
      <c r="K107" s="5"/>
      <c r="L107" s="5"/>
      <c r="M107" s="5"/>
      <c r="N107" s="5"/>
      <c r="O107" s="5"/>
      <c r="P107" s="45" t="s">
        <v>577</v>
      </c>
      <c r="Q107" s="5" t="s">
        <v>352</v>
      </c>
      <c r="R107" s="5"/>
      <c r="S107" s="5"/>
      <c r="T107" s="5"/>
      <c r="U107" s="5">
        <v>18</v>
      </c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 t="str">
        <f>Tabela1[[#This Row],[Indeks]]</f>
        <v>DRWL-CAP-10-1</v>
      </c>
    </row>
    <row r="108" spans="1:33" ht="26.25">
      <c r="A108" s="10" t="s">
        <v>216</v>
      </c>
      <c r="B108" s="3" t="s">
        <v>217</v>
      </c>
      <c r="C108" s="5" t="s">
        <v>218</v>
      </c>
      <c r="D108" s="4" t="s">
        <v>86</v>
      </c>
      <c r="E108" s="5"/>
      <c r="F108" s="5"/>
      <c r="G108" s="5"/>
      <c r="H108" s="5" t="s">
        <v>580</v>
      </c>
      <c r="I108" s="5"/>
      <c r="J108" s="5"/>
      <c r="K108" s="5"/>
      <c r="L108" s="5"/>
      <c r="M108" s="5"/>
      <c r="N108" s="5"/>
      <c r="O108" s="5"/>
      <c r="P108" s="45" t="s">
        <v>577</v>
      </c>
      <c r="Q108" s="5" t="s">
        <v>352</v>
      </c>
      <c r="R108" s="5"/>
      <c r="S108" s="5"/>
      <c r="T108" s="5"/>
      <c r="U108" s="5">
        <v>10</v>
      </c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73" t="str">
        <f>Tabela1[[#This Row],[Indeks]]</f>
        <v>DRWL-SZP-10-1</v>
      </c>
    </row>
    <row r="109" spans="1:33" ht="26.25">
      <c r="A109" s="10" t="s">
        <v>219</v>
      </c>
      <c r="B109" s="3" t="s">
        <v>220</v>
      </c>
      <c r="C109" s="5" t="s">
        <v>218</v>
      </c>
      <c r="D109" s="4" t="s">
        <v>86</v>
      </c>
      <c r="E109" s="5"/>
      <c r="F109" s="5"/>
      <c r="G109" s="5"/>
      <c r="H109" s="5" t="s">
        <v>580</v>
      </c>
      <c r="I109" s="5"/>
      <c r="J109" s="5"/>
      <c r="K109" s="5"/>
      <c r="L109" s="5"/>
      <c r="M109" s="5"/>
      <c r="N109" s="5"/>
      <c r="O109" s="5"/>
      <c r="P109" s="45" t="s">
        <v>577</v>
      </c>
      <c r="Q109" s="5" t="s">
        <v>352</v>
      </c>
      <c r="R109" s="5"/>
      <c r="S109" s="5"/>
      <c r="T109" s="5"/>
      <c r="U109" s="5">
        <v>16</v>
      </c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 t="str">
        <f>Tabela1[[#This Row],[Indeks]]</f>
        <v>DRWL-SZP-16-1</v>
      </c>
    </row>
    <row r="110" spans="1:33" ht="26.25">
      <c r="A110" s="10" t="s">
        <v>221</v>
      </c>
      <c r="B110" s="3" t="s">
        <v>222</v>
      </c>
      <c r="C110" s="5" t="s">
        <v>218</v>
      </c>
      <c r="D110" s="4" t="s">
        <v>86</v>
      </c>
      <c r="E110" s="5"/>
      <c r="F110" s="5"/>
      <c r="G110" s="5"/>
      <c r="H110" s="5" t="s">
        <v>580</v>
      </c>
      <c r="I110" s="5"/>
      <c r="J110" s="5"/>
      <c r="K110" s="5"/>
      <c r="L110" s="5"/>
      <c r="M110" s="5"/>
      <c r="N110" s="5"/>
      <c r="O110" s="5"/>
      <c r="P110" s="45" t="s">
        <v>577</v>
      </c>
      <c r="Q110" s="5" t="s">
        <v>352</v>
      </c>
      <c r="R110" s="5"/>
      <c r="S110" s="5"/>
      <c r="T110" s="5"/>
      <c r="U110" s="5">
        <v>18</v>
      </c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 t="str">
        <f>Tabela1[[#This Row],[Indeks]]</f>
        <v>DRWL-SZP-18-2</v>
      </c>
    </row>
    <row r="111" spans="1:33" ht="26.25">
      <c r="A111" s="10" t="s">
        <v>223</v>
      </c>
      <c r="B111" s="3" t="s">
        <v>224</v>
      </c>
      <c r="C111" s="5" t="s">
        <v>225</v>
      </c>
      <c r="D111" s="4" t="s">
        <v>86</v>
      </c>
      <c r="E111" s="5"/>
      <c r="F111" s="5"/>
      <c r="G111" s="5"/>
      <c r="H111" s="5" t="s">
        <v>580</v>
      </c>
      <c r="I111" s="5"/>
      <c r="J111" s="5"/>
      <c r="K111" s="5"/>
      <c r="L111" s="5"/>
      <c r="M111" s="5"/>
      <c r="N111" s="5"/>
      <c r="O111" s="5"/>
      <c r="P111" s="45" t="s">
        <v>577</v>
      </c>
      <c r="Q111" s="5" t="s">
        <v>352</v>
      </c>
      <c r="R111" s="5"/>
      <c r="S111" s="5"/>
      <c r="T111" s="5"/>
      <c r="U111" s="5">
        <v>10</v>
      </c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 t="str">
        <f>Tabela1[[#This Row],[Indeks]]</f>
        <v>DRWL-MTP-10-1</v>
      </c>
    </row>
    <row r="112" spans="1:33" ht="26.25">
      <c r="A112" s="10" t="s">
        <v>226</v>
      </c>
      <c r="B112" s="3" t="s">
        <v>227</v>
      </c>
      <c r="C112" s="5" t="s">
        <v>228</v>
      </c>
      <c r="D112" s="4" t="s">
        <v>86</v>
      </c>
      <c r="E112" s="5"/>
      <c r="F112" s="5"/>
      <c r="G112" s="5"/>
      <c r="H112" s="5" t="s">
        <v>580</v>
      </c>
      <c r="I112" s="5"/>
      <c r="J112" s="5"/>
      <c r="K112" s="5"/>
      <c r="L112" s="5"/>
      <c r="M112" s="5"/>
      <c r="N112" s="5"/>
      <c r="O112" s="5"/>
      <c r="P112" s="45" t="s">
        <v>577</v>
      </c>
      <c r="Q112" s="5" t="s">
        <v>352</v>
      </c>
      <c r="R112" s="5"/>
      <c r="S112" s="5"/>
      <c r="T112" s="5"/>
      <c r="U112" s="5">
        <v>10</v>
      </c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 t="str">
        <f>Tabela1[[#This Row],[Indeks]]</f>
        <v>DRWL-MTP-10-1G</v>
      </c>
    </row>
    <row r="113" spans="1:33" ht="26.25">
      <c r="A113" s="10" t="s">
        <v>229</v>
      </c>
      <c r="B113" s="3" t="s">
        <v>230</v>
      </c>
      <c r="C113" s="5" t="s">
        <v>225</v>
      </c>
      <c r="D113" s="4" t="s">
        <v>86</v>
      </c>
      <c r="E113" s="5"/>
      <c r="F113" s="5"/>
      <c r="G113" s="5"/>
      <c r="H113" s="5" t="s">
        <v>580</v>
      </c>
      <c r="I113" s="5"/>
      <c r="J113" s="5"/>
      <c r="K113" s="5"/>
      <c r="L113" s="5"/>
      <c r="M113" s="5"/>
      <c r="N113" s="5"/>
      <c r="O113" s="5"/>
      <c r="P113" s="45" t="s">
        <v>577</v>
      </c>
      <c r="Q113" s="5" t="s">
        <v>352</v>
      </c>
      <c r="R113" s="5"/>
      <c r="S113" s="5"/>
      <c r="T113" s="5"/>
      <c r="U113" s="5">
        <v>18</v>
      </c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 t="str">
        <f>Tabela1[[#This Row],[Indeks]]</f>
        <v>DRWL-MTP-18-1</v>
      </c>
    </row>
    <row r="114" spans="1:33">
      <c r="A114" s="10" t="s">
        <v>231</v>
      </c>
      <c r="B114" s="3" t="s">
        <v>1242</v>
      </c>
      <c r="C114" s="4"/>
      <c r="D114" s="4" t="s">
        <v>349</v>
      </c>
      <c r="E114" s="15" t="s">
        <v>232</v>
      </c>
      <c r="F114" s="7"/>
      <c r="G114" s="5"/>
      <c r="H114" s="5" t="s">
        <v>584</v>
      </c>
      <c r="I114" s="5"/>
      <c r="J114" s="5"/>
      <c r="K114" s="5" t="s">
        <v>544</v>
      </c>
      <c r="L114" s="5"/>
      <c r="M114" s="5" t="s">
        <v>232</v>
      </c>
      <c r="N114" s="5" t="s">
        <v>141</v>
      </c>
      <c r="O114" s="5" t="s">
        <v>591</v>
      </c>
      <c r="P114" s="5" t="s">
        <v>591</v>
      </c>
      <c r="Q114" s="5" t="s">
        <v>933</v>
      </c>
      <c r="R114" s="14" t="s">
        <v>141</v>
      </c>
      <c r="S114" s="5" t="s">
        <v>591</v>
      </c>
      <c r="T114" s="5" t="s">
        <v>596</v>
      </c>
      <c r="U114" s="5">
        <v>2</v>
      </c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3" t="str">
        <f>Tabela1[[#This Row],[Indeks]]</f>
        <v>PŁPL25B-2,02,05X3,05</v>
      </c>
    </row>
    <row r="115" spans="1:33">
      <c r="A115" s="10" t="s">
        <v>233</v>
      </c>
      <c r="B115" s="3" t="s">
        <v>1243</v>
      </c>
      <c r="C115" s="4"/>
      <c r="D115" s="4" t="s">
        <v>349</v>
      </c>
      <c r="E115" s="15" t="s">
        <v>232</v>
      </c>
      <c r="F115" s="7"/>
      <c r="G115" s="5"/>
      <c r="H115" s="5" t="s">
        <v>584</v>
      </c>
      <c r="I115" s="5"/>
      <c r="J115" s="5"/>
      <c r="K115" s="5" t="s">
        <v>544</v>
      </c>
      <c r="L115" s="5"/>
      <c r="M115" s="5" t="s">
        <v>232</v>
      </c>
      <c r="N115" s="5" t="s">
        <v>141</v>
      </c>
      <c r="O115" s="5" t="s">
        <v>591</v>
      </c>
      <c r="P115" s="5" t="s">
        <v>591</v>
      </c>
      <c r="Q115" s="5" t="s">
        <v>933</v>
      </c>
      <c r="R115" s="5"/>
      <c r="S115" s="5" t="s">
        <v>591</v>
      </c>
      <c r="T115" s="5" t="s">
        <v>596</v>
      </c>
      <c r="U115" s="5">
        <v>3</v>
      </c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 t="str">
        <f>Tabela1[[#This Row],[Indeks]]</f>
        <v>PŁPL25B-3,02,05X3,05</v>
      </c>
    </row>
    <row r="116" spans="1:33">
      <c r="A116" s="10" t="s">
        <v>234</v>
      </c>
      <c r="B116" s="3" t="s">
        <v>1244</v>
      </c>
      <c r="C116" s="4"/>
      <c r="D116" s="4" t="s">
        <v>349</v>
      </c>
      <c r="E116" s="15" t="s">
        <v>232</v>
      </c>
      <c r="F116" s="7"/>
      <c r="G116" s="5"/>
      <c r="H116" s="5" t="s">
        <v>584</v>
      </c>
      <c r="I116" s="5"/>
      <c r="J116" s="5"/>
      <c r="K116" s="5" t="s">
        <v>544</v>
      </c>
      <c r="L116" s="5"/>
      <c r="M116" s="5" t="s">
        <v>232</v>
      </c>
      <c r="N116" s="5" t="s">
        <v>141</v>
      </c>
      <c r="O116" s="5" t="s">
        <v>591</v>
      </c>
      <c r="P116" s="5" t="s">
        <v>591</v>
      </c>
      <c r="Q116" s="5" t="s">
        <v>933</v>
      </c>
      <c r="R116" s="14" t="s">
        <v>141</v>
      </c>
      <c r="S116" s="5" t="s">
        <v>591</v>
      </c>
      <c r="T116" s="5" t="s">
        <v>596</v>
      </c>
      <c r="U116" s="5">
        <v>2</v>
      </c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 t="str">
        <f>Tabela1[[#This Row],[Indeks]]</f>
        <v>PŁPL60B-2,02,05X3,05</v>
      </c>
    </row>
    <row r="117" spans="1:33">
      <c r="A117" s="10" t="s">
        <v>235</v>
      </c>
      <c r="B117" s="3" t="s">
        <v>1245</v>
      </c>
      <c r="C117" s="4"/>
      <c r="D117" s="4" t="s">
        <v>349</v>
      </c>
      <c r="E117" s="15" t="s">
        <v>232</v>
      </c>
      <c r="F117" s="7"/>
      <c r="G117" s="5"/>
      <c r="H117" s="5" t="s">
        <v>584</v>
      </c>
      <c r="I117" s="5"/>
      <c r="J117" s="5"/>
      <c r="K117" s="5" t="s">
        <v>544</v>
      </c>
      <c r="L117" s="5"/>
      <c r="M117" s="5" t="s">
        <v>232</v>
      </c>
      <c r="N117" s="5" t="s">
        <v>141</v>
      </c>
      <c r="O117" s="5" t="s">
        <v>591</v>
      </c>
      <c r="P117" s="5" t="s">
        <v>591</v>
      </c>
      <c r="Q117" s="5" t="s">
        <v>933</v>
      </c>
      <c r="R117" s="5"/>
      <c r="S117" s="5" t="s">
        <v>591</v>
      </c>
      <c r="T117" s="5" t="s">
        <v>596</v>
      </c>
      <c r="U117" s="5">
        <v>3</v>
      </c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 t="str">
        <f>Tabela1[[#This Row],[Indeks]]</f>
        <v>PŁPL60B-3,02,05X3,05</v>
      </c>
    </row>
    <row r="118" spans="1:33">
      <c r="A118" s="10" t="s">
        <v>236</v>
      </c>
      <c r="B118" s="3" t="s">
        <v>1246</v>
      </c>
      <c r="C118" s="4"/>
      <c r="D118" s="4" t="s">
        <v>349</v>
      </c>
      <c r="E118" s="15" t="s">
        <v>232</v>
      </c>
      <c r="F118" s="7"/>
      <c r="G118" s="5"/>
      <c r="H118" s="5" t="s">
        <v>584</v>
      </c>
      <c r="I118" s="5"/>
      <c r="J118" s="5"/>
      <c r="K118" s="5" t="s">
        <v>544</v>
      </c>
      <c r="L118" s="5"/>
      <c r="M118" s="5" t="s">
        <v>232</v>
      </c>
      <c r="N118" s="5" t="s">
        <v>141</v>
      </c>
      <c r="O118" s="5" t="s">
        <v>591</v>
      </c>
      <c r="P118" s="5" t="s">
        <v>591</v>
      </c>
      <c r="Q118" s="5" t="s">
        <v>933</v>
      </c>
      <c r="R118" s="5"/>
      <c r="S118" s="5" t="s">
        <v>591</v>
      </c>
      <c r="T118" s="5" t="s">
        <v>597</v>
      </c>
      <c r="U118" s="5">
        <v>3</v>
      </c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 t="str">
        <f>Tabela1[[#This Row],[Indeks]]</f>
        <v>PŁPLCN-3,02,03X3,05</v>
      </c>
    </row>
    <row r="119" spans="1:33">
      <c r="A119" s="10" t="s">
        <v>237</v>
      </c>
      <c r="B119" s="3" t="s">
        <v>1247</v>
      </c>
      <c r="C119" s="4"/>
      <c r="D119" s="4" t="s">
        <v>349</v>
      </c>
      <c r="E119" s="15" t="s">
        <v>232</v>
      </c>
      <c r="F119" s="7"/>
      <c r="G119" s="5"/>
      <c r="H119" s="5" t="s">
        <v>584</v>
      </c>
      <c r="I119" s="5"/>
      <c r="J119" s="5"/>
      <c r="K119" s="5" t="s">
        <v>544</v>
      </c>
      <c r="L119" s="5"/>
      <c r="M119" s="5" t="s">
        <v>232</v>
      </c>
      <c r="N119" s="5" t="s">
        <v>141</v>
      </c>
      <c r="O119" s="5" t="s">
        <v>591</v>
      </c>
      <c r="P119" s="5" t="s">
        <v>591</v>
      </c>
      <c r="Q119" s="5" t="s">
        <v>933</v>
      </c>
      <c r="R119" s="5"/>
      <c r="S119" s="5" t="s">
        <v>591</v>
      </c>
      <c r="T119" s="5" t="s">
        <v>597</v>
      </c>
      <c r="U119" s="5">
        <v>4</v>
      </c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 t="str">
        <f>Tabela1[[#This Row],[Indeks]]</f>
        <v>PŁPLCN-4,02,03X3,05</v>
      </c>
    </row>
    <row r="120" spans="1:33">
      <c r="A120" s="10" t="s">
        <v>238</v>
      </c>
      <c r="B120" s="3" t="s">
        <v>1248</v>
      </c>
      <c r="C120" s="4"/>
      <c r="D120" s="4" t="s">
        <v>349</v>
      </c>
      <c r="E120" s="15" t="s">
        <v>232</v>
      </c>
      <c r="F120" s="7"/>
      <c r="G120" s="5"/>
      <c r="H120" s="5" t="s">
        <v>584</v>
      </c>
      <c r="I120" s="5"/>
      <c r="J120" s="5"/>
      <c r="K120" s="5" t="s">
        <v>544</v>
      </c>
      <c r="L120" s="5"/>
      <c r="M120" s="5" t="s">
        <v>232</v>
      </c>
      <c r="N120" s="5" t="s">
        <v>141</v>
      </c>
      <c r="O120" s="5" t="s">
        <v>591</v>
      </c>
      <c r="P120" s="5" t="s">
        <v>591</v>
      </c>
      <c r="Q120" s="5" t="s">
        <v>933</v>
      </c>
      <c r="R120" s="5"/>
      <c r="S120" s="5" t="s">
        <v>591</v>
      </c>
      <c r="T120" s="5" t="s">
        <v>597</v>
      </c>
      <c r="U120" s="5">
        <v>5</v>
      </c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 t="str">
        <f>Tabela1[[#This Row],[Indeks]]</f>
        <v>PŁPLCN-5,02,03X3,05</v>
      </c>
    </row>
    <row r="121" spans="1:33">
      <c r="A121" s="10" t="s">
        <v>239</v>
      </c>
      <c r="B121" s="3" t="s">
        <v>1249</v>
      </c>
      <c r="C121" s="4"/>
      <c r="D121" s="4" t="s">
        <v>349</v>
      </c>
      <c r="E121" s="15" t="s">
        <v>232</v>
      </c>
      <c r="F121" s="7"/>
      <c r="G121" s="5"/>
      <c r="H121" s="5" t="s">
        <v>584</v>
      </c>
      <c r="I121" s="5"/>
      <c r="J121" s="5"/>
      <c r="K121" s="5"/>
      <c r="L121" s="5"/>
      <c r="M121" s="5" t="s">
        <v>232</v>
      </c>
      <c r="N121" s="5" t="s">
        <v>141</v>
      </c>
      <c r="O121" s="5" t="s">
        <v>591</v>
      </c>
      <c r="P121" s="5" t="s">
        <v>591</v>
      </c>
      <c r="Q121" s="5" t="s">
        <v>933</v>
      </c>
      <c r="R121" s="5"/>
      <c r="S121" s="5" t="s">
        <v>591</v>
      </c>
      <c r="T121" s="5" t="s">
        <v>597</v>
      </c>
      <c r="U121" s="5">
        <v>6</v>
      </c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 t="str">
        <f>Tabela1[[#This Row],[Indeks]]</f>
        <v>PŁPLCN-6,02,03X3,05</v>
      </c>
    </row>
    <row r="122" spans="1:33">
      <c r="A122" s="10" t="s">
        <v>240</v>
      </c>
      <c r="B122" s="3" t="s">
        <v>1250</v>
      </c>
      <c r="C122" s="4"/>
      <c r="D122" s="4" t="s">
        <v>349</v>
      </c>
      <c r="E122" s="15" t="s">
        <v>232</v>
      </c>
      <c r="F122" s="7"/>
      <c r="G122" s="5"/>
      <c r="H122" s="5" t="s">
        <v>584</v>
      </c>
      <c r="I122" s="5"/>
      <c r="J122" s="5"/>
      <c r="K122" s="5"/>
      <c r="L122" s="5"/>
      <c r="M122" s="5" t="s">
        <v>232</v>
      </c>
      <c r="N122" s="5" t="s">
        <v>141</v>
      </c>
      <c r="O122" s="5" t="s">
        <v>591</v>
      </c>
      <c r="P122" s="5" t="s">
        <v>591</v>
      </c>
      <c r="Q122" s="5" t="s">
        <v>933</v>
      </c>
      <c r="R122" s="5"/>
      <c r="S122" s="5" t="s">
        <v>591</v>
      </c>
      <c r="T122" s="5" t="s">
        <v>597</v>
      </c>
      <c r="U122" s="5">
        <v>8</v>
      </c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 t="str">
        <f>Tabela1[[#This Row],[Indeks]]</f>
        <v>PŁPLCN-8,02,03X3,05</v>
      </c>
    </row>
    <row r="123" spans="1:33">
      <c r="A123" s="10" t="s">
        <v>241</v>
      </c>
      <c r="B123" s="3" t="s">
        <v>1251</v>
      </c>
      <c r="C123" s="4"/>
      <c r="D123" s="4" t="s">
        <v>349</v>
      </c>
      <c r="E123" s="15" t="s">
        <v>232</v>
      </c>
      <c r="F123" s="7"/>
      <c r="G123" s="5"/>
      <c r="H123" s="5" t="s">
        <v>584</v>
      </c>
      <c r="I123" s="5"/>
      <c r="J123" s="5"/>
      <c r="K123" s="5"/>
      <c r="L123" s="5"/>
      <c r="M123" s="5" t="s">
        <v>232</v>
      </c>
      <c r="N123" s="5" t="s">
        <v>141</v>
      </c>
      <c r="O123" s="5" t="s">
        <v>591</v>
      </c>
      <c r="P123" s="5" t="s">
        <v>591</v>
      </c>
      <c r="Q123" s="5" t="s">
        <v>933</v>
      </c>
      <c r="R123" s="5"/>
      <c r="S123" s="5" t="s">
        <v>591</v>
      </c>
      <c r="T123" s="5" t="s">
        <v>597</v>
      </c>
      <c r="U123" s="5">
        <v>10</v>
      </c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 t="str">
        <f>Tabela1[[#This Row],[Indeks]]</f>
        <v>PŁPLCN-10,02,03X3,05</v>
      </c>
    </row>
    <row r="124" spans="1:33">
      <c r="A124" s="10" t="s">
        <v>242</v>
      </c>
      <c r="B124" s="3" t="s">
        <v>1252</v>
      </c>
      <c r="C124" s="4"/>
      <c r="D124" s="4" t="s">
        <v>349</v>
      </c>
      <c r="E124" s="15" t="s">
        <v>232</v>
      </c>
      <c r="F124" s="7"/>
      <c r="G124" s="5"/>
      <c r="H124" s="5" t="s">
        <v>584</v>
      </c>
      <c r="I124" s="5"/>
      <c r="J124" s="5"/>
      <c r="K124" s="5" t="s">
        <v>544</v>
      </c>
      <c r="L124" s="5"/>
      <c r="M124" s="5" t="s">
        <v>232</v>
      </c>
      <c r="N124" s="5" t="s">
        <v>141</v>
      </c>
      <c r="O124" s="5" t="s">
        <v>591</v>
      </c>
      <c r="P124" s="5" t="s">
        <v>591</v>
      </c>
      <c r="Q124" s="5" t="s">
        <v>933</v>
      </c>
      <c r="R124" s="14" t="s">
        <v>141</v>
      </c>
      <c r="S124" s="5" t="s">
        <v>591</v>
      </c>
      <c r="T124" s="5" t="s">
        <v>597</v>
      </c>
      <c r="U124" s="5">
        <v>2</v>
      </c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 t="str">
        <f>Tabela1[[#This Row],[Indeks]]</f>
        <v>PŁPLEX-2,02,05X3,05</v>
      </c>
    </row>
    <row r="125" spans="1:33">
      <c r="A125" s="10" t="s">
        <v>243</v>
      </c>
      <c r="B125" s="3" t="s">
        <v>1253</v>
      </c>
      <c r="C125" s="4"/>
      <c r="D125" s="4" t="s">
        <v>349</v>
      </c>
      <c r="E125" s="15" t="s">
        <v>232</v>
      </c>
      <c r="F125" s="7"/>
      <c r="G125" s="5"/>
      <c r="H125" s="5" t="s">
        <v>584</v>
      </c>
      <c r="I125" s="5"/>
      <c r="J125" s="5"/>
      <c r="K125" s="5" t="s">
        <v>544</v>
      </c>
      <c r="L125" s="5"/>
      <c r="M125" s="5" t="s">
        <v>232</v>
      </c>
      <c r="N125" s="5" t="s">
        <v>141</v>
      </c>
      <c r="O125" s="5" t="s">
        <v>591</v>
      </c>
      <c r="P125" s="5" t="s">
        <v>591</v>
      </c>
      <c r="Q125" s="5" t="s">
        <v>933</v>
      </c>
      <c r="R125" s="5"/>
      <c r="S125" s="5" t="s">
        <v>591</v>
      </c>
      <c r="T125" s="5" t="s">
        <v>597</v>
      </c>
      <c r="U125" s="5">
        <v>3</v>
      </c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 t="str">
        <f>Tabela1[[#This Row],[Indeks]]</f>
        <v>PŁPLEX-3,02,05X3,05</v>
      </c>
    </row>
    <row r="126" spans="1:33">
      <c r="A126" s="10" t="s">
        <v>244</v>
      </c>
      <c r="B126" s="3" t="s">
        <v>1254</v>
      </c>
      <c r="C126" s="4"/>
      <c r="D126" s="4" t="s">
        <v>349</v>
      </c>
      <c r="E126" s="15" t="s">
        <v>232</v>
      </c>
      <c r="F126" s="7"/>
      <c r="G126" s="5"/>
      <c r="H126" s="5" t="s">
        <v>584</v>
      </c>
      <c r="I126" s="5"/>
      <c r="J126" s="5"/>
      <c r="K126" s="5" t="s">
        <v>544</v>
      </c>
      <c r="L126" s="5"/>
      <c r="M126" s="5" t="s">
        <v>232</v>
      </c>
      <c r="N126" s="5" t="s">
        <v>141</v>
      </c>
      <c r="O126" s="5" t="s">
        <v>591</v>
      </c>
      <c r="P126" s="5" t="s">
        <v>591</v>
      </c>
      <c r="Q126" s="5" t="s">
        <v>933</v>
      </c>
      <c r="R126" s="5"/>
      <c r="S126" s="5" t="s">
        <v>591</v>
      </c>
      <c r="T126" s="5" t="s">
        <v>597</v>
      </c>
      <c r="U126" s="5">
        <v>4</v>
      </c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 t="str">
        <f>Tabela1[[#This Row],[Indeks]]</f>
        <v>PŁPLEX-4,02,05X3,05</v>
      </c>
    </row>
    <row r="127" spans="1:33">
      <c r="A127" s="10" t="s">
        <v>245</v>
      </c>
      <c r="B127" s="3" t="s">
        <v>1255</v>
      </c>
      <c r="C127" s="4"/>
      <c r="D127" s="4" t="s">
        <v>349</v>
      </c>
      <c r="E127" s="15" t="s">
        <v>232</v>
      </c>
      <c r="F127" s="7"/>
      <c r="G127" s="5"/>
      <c r="H127" s="5" t="s">
        <v>584</v>
      </c>
      <c r="I127" s="5"/>
      <c r="J127" s="5"/>
      <c r="K127" s="5" t="s">
        <v>544</v>
      </c>
      <c r="L127" s="5"/>
      <c r="M127" s="5" t="s">
        <v>232</v>
      </c>
      <c r="N127" s="5" t="s">
        <v>141</v>
      </c>
      <c r="O127" s="5" t="s">
        <v>591</v>
      </c>
      <c r="P127" s="5" t="s">
        <v>591</v>
      </c>
      <c r="Q127" s="5" t="s">
        <v>933</v>
      </c>
      <c r="R127" s="5"/>
      <c r="S127" s="5" t="s">
        <v>591</v>
      </c>
      <c r="T127" s="5" t="s">
        <v>597</v>
      </c>
      <c r="U127" s="5">
        <v>5</v>
      </c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 t="str">
        <f>Tabela1[[#This Row],[Indeks]]</f>
        <v>PŁPLEX-5,02,05X3,05</v>
      </c>
    </row>
    <row r="128" spans="1:33">
      <c r="A128" s="10" t="s">
        <v>246</v>
      </c>
      <c r="B128" s="3" t="s">
        <v>1256</v>
      </c>
      <c r="C128" s="4"/>
      <c r="D128" s="4" t="s">
        <v>349</v>
      </c>
      <c r="E128" s="15" t="s">
        <v>232</v>
      </c>
      <c r="F128" s="7"/>
      <c r="G128" s="5"/>
      <c r="H128" s="5" t="s">
        <v>584</v>
      </c>
      <c r="I128" s="5"/>
      <c r="J128" s="5"/>
      <c r="K128" s="5"/>
      <c r="L128" s="5"/>
      <c r="M128" s="5" t="s">
        <v>232</v>
      </c>
      <c r="N128" s="5" t="s">
        <v>141</v>
      </c>
      <c r="O128" s="5" t="s">
        <v>591</v>
      </c>
      <c r="P128" s="5" t="s">
        <v>591</v>
      </c>
      <c r="Q128" s="5" t="s">
        <v>933</v>
      </c>
      <c r="R128" s="5"/>
      <c r="S128" s="5" t="s">
        <v>591</v>
      </c>
      <c r="T128" s="5" t="s">
        <v>597</v>
      </c>
      <c r="U128" s="5">
        <v>6</v>
      </c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 t="str">
        <f>Tabela1[[#This Row],[Indeks]]</f>
        <v>PŁPLEX-6,02,05X3,05</v>
      </c>
    </row>
    <row r="129" spans="1:33">
      <c r="A129" s="10" t="s">
        <v>247</v>
      </c>
      <c r="B129" s="3" t="s">
        <v>1257</v>
      </c>
      <c r="C129" s="4"/>
      <c r="D129" s="4" t="s">
        <v>349</v>
      </c>
      <c r="E129" s="15" t="s">
        <v>232</v>
      </c>
      <c r="F129" s="7"/>
      <c r="G129" s="5"/>
      <c r="H129" s="5" t="s">
        <v>584</v>
      </c>
      <c r="I129" s="5"/>
      <c r="J129" s="5"/>
      <c r="K129" s="5"/>
      <c r="L129" s="5"/>
      <c r="M129" s="5" t="s">
        <v>232</v>
      </c>
      <c r="N129" s="5" t="s">
        <v>141</v>
      </c>
      <c r="O129" s="5" t="s">
        <v>591</v>
      </c>
      <c r="P129" s="5" t="s">
        <v>591</v>
      </c>
      <c r="Q129" s="5" t="s">
        <v>933</v>
      </c>
      <c r="R129" s="5"/>
      <c r="S129" s="5" t="s">
        <v>591</v>
      </c>
      <c r="T129" s="5" t="s">
        <v>597</v>
      </c>
      <c r="U129" s="5">
        <v>8</v>
      </c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 t="str">
        <f>Tabela1[[#This Row],[Indeks]]</f>
        <v>PŁPLEX-8,02,05X3,05</v>
      </c>
    </row>
    <row r="130" spans="1:33">
      <c r="A130" s="10" t="s">
        <v>248</v>
      </c>
      <c r="B130" s="3" t="s">
        <v>1258</v>
      </c>
      <c r="C130" s="4"/>
      <c r="D130" s="4" t="s">
        <v>349</v>
      </c>
      <c r="E130" s="15" t="s">
        <v>232</v>
      </c>
      <c r="F130" s="7"/>
      <c r="G130" s="5"/>
      <c r="H130" s="5" t="s">
        <v>584</v>
      </c>
      <c r="I130" s="5"/>
      <c r="J130" s="5"/>
      <c r="K130" s="5"/>
      <c r="L130" s="5"/>
      <c r="M130" s="5" t="s">
        <v>232</v>
      </c>
      <c r="N130" s="5" t="s">
        <v>141</v>
      </c>
      <c r="O130" s="5" t="s">
        <v>591</v>
      </c>
      <c r="P130" s="5" t="s">
        <v>591</v>
      </c>
      <c r="Q130" s="5" t="s">
        <v>933</v>
      </c>
      <c r="R130" s="5"/>
      <c r="S130" s="5" t="s">
        <v>591</v>
      </c>
      <c r="T130" s="5" t="s">
        <v>597</v>
      </c>
      <c r="U130" s="5">
        <v>10</v>
      </c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 t="str">
        <f>Tabela1[[#This Row],[Indeks]]</f>
        <v>PŁPLEX-10,02,05X3,05</v>
      </c>
    </row>
    <row r="131" spans="1:33">
      <c r="A131" s="10" t="s">
        <v>249</v>
      </c>
      <c r="B131" s="3" t="s">
        <v>1259</v>
      </c>
      <c r="C131" s="4"/>
      <c r="D131" s="4" t="s">
        <v>349</v>
      </c>
      <c r="E131" s="15" t="s">
        <v>232</v>
      </c>
      <c r="F131" s="7"/>
      <c r="G131" s="5"/>
      <c r="H131" s="5" t="s">
        <v>584</v>
      </c>
      <c r="I131" s="5"/>
      <c r="J131" s="5"/>
      <c r="K131" s="5" t="s">
        <v>544</v>
      </c>
      <c r="L131" s="5"/>
      <c r="M131" s="5" t="s">
        <v>232</v>
      </c>
      <c r="N131" s="5" t="s">
        <v>141</v>
      </c>
      <c r="O131" s="5" t="s">
        <v>591</v>
      </c>
      <c r="P131" s="5" t="s">
        <v>591</v>
      </c>
      <c r="Q131" s="5" t="s">
        <v>933</v>
      </c>
      <c r="R131" s="14" t="s">
        <v>141</v>
      </c>
      <c r="S131" s="5" t="s">
        <v>591</v>
      </c>
      <c r="T131" s="5" t="s">
        <v>597</v>
      </c>
      <c r="U131" s="5">
        <v>2</v>
      </c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 t="str">
        <f>Tabela1[[#This Row],[Indeks]]</f>
        <v>PŁPLOP-2,02,05X3,05</v>
      </c>
    </row>
    <row r="132" spans="1:33">
      <c r="A132" s="10" t="s">
        <v>250</v>
      </c>
      <c r="B132" s="3" t="s">
        <v>1260</v>
      </c>
      <c r="C132" s="4"/>
      <c r="D132" s="4" t="s">
        <v>349</v>
      </c>
      <c r="E132" s="15" t="s">
        <v>232</v>
      </c>
      <c r="F132" s="7"/>
      <c r="G132" s="5"/>
      <c r="H132" s="5" t="s">
        <v>584</v>
      </c>
      <c r="I132" s="5"/>
      <c r="J132" s="5"/>
      <c r="K132" s="5" t="s">
        <v>544</v>
      </c>
      <c r="L132" s="5"/>
      <c r="M132" s="5" t="s">
        <v>232</v>
      </c>
      <c r="N132" s="5" t="s">
        <v>141</v>
      </c>
      <c r="O132" s="5" t="s">
        <v>591</v>
      </c>
      <c r="P132" s="5" t="s">
        <v>591</v>
      </c>
      <c r="Q132" s="5" t="s">
        <v>933</v>
      </c>
      <c r="R132" s="5"/>
      <c r="S132" s="5" t="s">
        <v>591</v>
      </c>
      <c r="T132" s="5" t="s">
        <v>597</v>
      </c>
      <c r="U132" s="5">
        <v>3</v>
      </c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 t="str">
        <f>Tabela1[[#This Row],[Indeks]]</f>
        <v>PŁPLOP-3,02,05X3,05</v>
      </c>
    </row>
    <row r="133" spans="1:33">
      <c r="A133" s="10" t="s">
        <v>251</v>
      </c>
      <c r="B133" s="3" t="s">
        <v>1261</v>
      </c>
      <c r="C133" s="4"/>
      <c r="D133" s="4" t="s">
        <v>349</v>
      </c>
      <c r="E133" s="15" t="s">
        <v>252</v>
      </c>
      <c r="F133" s="7"/>
      <c r="G133" s="5"/>
      <c r="H133" s="5" t="s">
        <v>583</v>
      </c>
      <c r="I133" s="5" t="s">
        <v>540</v>
      </c>
      <c r="J133" s="5"/>
      <c r="K133" s="5" t="s">
        <v>544</v>
      </c>
      <c r="L133" s="5"/>
      <c r="M133" s="5" t="s">
        <v>252</v>
      </c>
      <c r="N133" s="5" t="s">
        <v>141</v>
      </c>
      <c r="O133" s="5"/>
      <c r="P133" s="5" t="s">
        <v>252</v>
      </c>
      <c r="Q133" s="5" t="s">
        <v>933</v>
      </c>
      <c r="R133" s="14" t="s">
        <v>141</v>
      </c>
      <c r="S133" s="5" t="s">
        <v>252</v>
      </c>
      <c r="T133" s="5" t="s">
        <v>252</v>
      </c>
      <c r="U133" s="5">
        <v>1</v>
      </c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 t="str">
        <f>Tabela1[[#This Row],[Indeks]]</f>
        <v>PŁPVBB-0,91,0X2,0</v>
      </c>
    </row>
    <row r="134" spans="1:33">
      <c r="A134" s="10" t="s">
        <v>253</v>
      </c>
      <c r="B134" s="3" t="s">
        <v>1261</v>
      </c>
      <c r="C134" s="4"/>
      <c r="D134" s="4" t="s">
        <v>349</v>
      </c>
      <c r="E134" s="15" t="s">
        <v>252</v>
      </c>
      <c r="F134" s="7"/>
      <c r="G134" s="5"/>
      <c r="H134" s="5" t="s">
        <v>583</v>
      </c>
      <c r="I134" s="5" t="s">
        <v>540</v>
      </c>
      <c r="J134" s="5"/>
      <c r="K134" s="5" t="s">
        <v>544</v>
      </c>
      <c r="L134" s="5"/>
      <c r="M134" s="5" t="s">
        <v>252</v>
      </c>
      <c r="N134" s="5" t="s">
        <v>141</v>
      </c>
      <c r="O134" s="5"/>
      <c r="P134" s="5" t="s">
        <v>252</v>
      </c>
      <c r="Q134" s="5" t="s">
        <v>933</v>
      </c>
      <c r="R134" s="14" t="s">
        <v>141</v>
      </c>
      <c r="S134" s="5" t="s">
        <v>252</v>
      </c>
      <c r="T134" s="5" t="s">
        <v>252</v>
      </c>
      <c r="U134" s="5">
        <v>1</v>
      </c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 t="str">
        <f>Tabela1[[#This Row],[Indeks]]</f>
        <v>PŁPVBB-1,01,0X2,0</v>
      </c>
    </row>
    <row r="135" spans="1:33">
      <c r="A135" s="10" t="s">
        <v>254</v>
      </c>
      <c r="B135" s="3" t="s">
        <v>1262</v>
      </c>
      <c r="C135" s="4"/>
      <c r="D135" s="4" t="s">
        <v>349</v>
      </c>
      <c r="E135" s="15" t="s">
        <v>252</v>
      </c>
      <c r="F135" s="7"/>
      <c r="G135" s="5"/>
      <c r="H135" s="5" t="s">
        <v>583</v>
      </c>
      <c r="I135" s="5" t="s">
        <v>540</v>
      </c>
      <c r="J135" s="5"/>
      <c r="K135" s="5" t="s">
        <v>544</v>
      </c>
      <c r="L135" s="5"/>
      <c r="M135" s="5" t="s">
        <v>252</v>
      </c>
      <c r="N135" s="5" t="s">
        <v>141</v>
      </c>
      <c r="O135" s="5"/>
      <c r="P135" s="5" t="s">
        <v>252</v>
      </c>
      <c r="Q135" s="5" t="s">
        <v>933</v>
      </c>
      <c r="R135" s="14" t="s">
        <v>141</v>
      </c>
      <c r="S135" s="5" t="s">
        <v>252</v>
      </c>
      <c r="T135" s="5" t="s">
        <v>252</v>
      </c>
      <c r="U135" s="5">
        <v>1.5</v>
      </c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 t="str">
        <f>Tabela1[[#This Row],[Indeks]]</f>
        <v>PŁPVBB-1,51,0X2,0</v>
      </c>
    </row>
    <row r="136" spans="1:33">
      <c r="A136" s="10" t="s">
        <v>255</v>
      </c>
      <c r="B136" s="3" t="s">
        <v>1263</v>
      </c>
      <c r="C136" s="4"/>
      <c r="D136" s="4" t="s">
        <v>349</v>
      </c>
      <c r="E136" s="15" t="s">
        <v>252</v>
      </c>
      <c r="F136" s="7"/>
      <c r="G136" s="5"/>
      <c r="H136" s="5" t="s">
        <v>583</v>
      </c>
      <c r="I136" s="5" t="s">
        <v>540</v>
      </c>
      <c r="J136" s="5"/>
      <c r="K136" s="5" t="s">
        <v>544</v>
      </c>
      <c r="L136" s="5"/>
      <c r="M136" s="5" t="s">
        <v>252</v>
      </c>
      <c r="N136" s="5" t="s">
        <v>141</v>
      </c>
      <c r="O136" s="5"/>
      <c r="P136" s="5" t="s">
        <v>252</v>
      </c>
      <c r="Q136" s="5" t="s">
        <v>933</v>
      </c>
      <c r="R136" s="14" t="s">
        <v>141</v>
      </c>
      <c r="S136" s="5" t="s">
        <v>252</v>
      </c>
      <c r="T136" s="5" t="s">
        <v>252</v>
      </c>
      <c r="U136" s="5">
        <v>2</v>
      </c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 t="str">
        <f>Tabela1[[#This Row],[Indeks]]</f>
        <v>PŁPVBB-2,01,0X2,0</v>
      </c>
    </row>
    <row r="137" spans="1:33">
      <c r="A137" s="10" t="s">
        <v>256</v>
      </c>
      <c r="B137" s="3" t="s">
        <v>1264</v>
      </c>
      <c r="C137" s="4"/>
      <c r="D137" s="4" t="s">
        <v>349</v>
      </c>
      <c r="E137" s="15" t="s">
        <v>252</v>
      </c>
      <c r="F137" s="7"/>
      <c r="G137" s="5"/>
      <c r="H137" s="5" t="s">
        <v>583</v>
      </c>
      <c r="I137" s="5" t="s">
        <v>540</v>
      </c>
      <c r="J137" s="5"/>
      <c r="K137" s="5" t="s">
        <v>544</v>
      </c>
      <c r="L137" s="5"/>
      <c r="M137" s="5" t="s">
        <v>252</v>
      </c>
      <c r="N137" s="5" t="s">
        <v>141</v>
      </c>
      <c r="O137" s="5"/>
      <c r="P137" s="5" t="s">
        <v>252</v>
      </c>
      <c r="Q137" s="5" t="s">
        <v>933</v>
      </c>
      <c r="R137" s="5"/>
      <c r="S137" s="5" t="s">
        <v>252</v>
      </c>
      <c r="T137" s="5" t="s">
        <v>252</v>
      </c>
      <c r="U137" s="5">
        <v>3</v>
      </c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 t="str">
        <f>Tabela1[[#This Row],[Indeks]]</f>
        <v>PŁPVBB-3,01,0X2,0</v>
      </c>
    </row>
    <row r="138" spans="1:33">
      <c r="A138" s="10" t="s">
        <v>257</v>
      </c>
      <c r="B138" s="3" t="s">
        <v>1265</v>
      </c>
      <c r="C138" s="4"/>
      <c r="D138" s="4" t="s">
        <v>349</v>
      </c>
      <c r="E138" s="15" t="s">
        <v>252</v>
      </c>
      <c r="F138" s="7"/>
      <c r="G138" s="5"/>
      <c r="H138" s="5" t="s">
        <v>583</v>
      </c>
      <c r="I138" s="5" t="s">
        <v>540</v>
      </c>
      <c r="J138" s="5"/>
      <c r="K138" s="5" t="s">
        <v>544</v>
      </c>
      <c r="L138" s="5"/>
      <c r="M138" s="5" t="s">
        <v>252</v>
      </c>
      <c r="N138" s="5" t="s">
        <v>141</v>
      </c>
      <c r="O138" s="5"/>
      <c r="P138" s="5" t="s">
        <v>252</v>
      </c>
      <c r="Q138" s="5" t="s">
        <v>933</v>
      </c>
      <c r="R138" s="14" t="s">
        <v>141</v>
      </c>
      <c r="S138" s="5" t="s">
        <v>252</v>
      </c>
      <c r="T138" s="5" t="s">
        <v>252</v>
      </c>
      <c r="U138" s="5">
        <v>0.2</v>
      </c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 t="str">
        <f>Tabela1[[#This Row],[Indeks]]</f>
        <v>PŁPVBB-0,151,0X1,4</v>
      </c>
    </row>
    <row r="139" spans="1:33">
      <c r="A139" s="10" t="s">
        <v>258</v>
      </c>
      <c r="B139" s="3" t="s">
        <v>1265</v>
      </c>
      <c r="C139" s="4"/>
      <c r="D139" s="4" t="s">
        <v>349</v>
      </c>
      <c r="E139" s="15" t="s">
        <v>252</v>
      </c>
      <c r="F139" s="7"/>
      <c r="G139" s="5"/>
      <c r="H139" s="5" t="s">
        <v>583</v>
      </c>
      <c r="I139" s="5" t="s">
        <v>540</v>
      </c>
      <c r="J139" s="5"/>
      <c r="K139" s="5" t="s">
        <v>544</v>
      </c>
      <c r="L139" s="5"/>
      <c r="M139" s="5" t="s">
        <v>252</v>
      </c>
      <c r="N139" s="5" t="s">
        <v>141</v>
      </c>
      <c r="O139" s="5"/>
      <c r="P139" s="5" t="s">
        <v>252</v>
      </c>
      <c r="Q139" s="5" t="s">
        <v>933</v>
      </c>
      <c r="R139" s="14" t="s">
        <v>141</v>
      </c>
      <c r="S139" s="5" t="s">
        <v>252</v>
      </c>
      <c r="T139" s="5" t="s">
        <v>252</v>
      </c>
      <c r="U139" s="5">
        <v>0.2</v>
      </c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 t="str">
        <f>Tabela1[[#This Row],[Indeks]]</f>
        <v>PŁPVBB-0,21,0X1,4</v>
      </c>
    </row>
    <row r="140" spans="1:33">
      <c r="A140" s="10" t="s">
        <v>259</v>
      </c>
      <c r="B140" s="3" t="s">
        <v>1265</v>
      </c>
      <c r="C140" s="4"/>
      <c r="D140" s="4" t="s">
        <v>349</v>
      </c>
      <c r="E140" s="15" t="s">
        <v>252</v>
      </c>
      <c r="F140" s="7"/>
      <c r="G140" s="5"/>
      <c r="H140" s="5" t="s">
        <v>583</v>
      </c>
      <c r="I140" s="5" t="s">
        <v>540</v>
      </c>
      <c r="J140" s="5"/>
      <c r="K140" s="5" t="s">
        <v>544</v>
      </c>
      <c r="L140" s="5"/>
      <c r="M140" s="5" t="s">
        <v>252</v>
      </c>
      <c r="N140" s="5" t="s">
        <v>141</v>
      </c>
      <c r="O140" s="5"/>
      <c r="P140" s="5" t="s">
        <v>252</v>
      </c>
      <c r="Q140" s="5" t="s">
        <v>933</v>
      </c>
      <c r="R140" s="14" t="s">
        <v>141</v>
      </c>
      <c r="S140" s="5" t="s">
        <v>252</v>
      </c>
      <c r="T140" s="5" t="s">
        <v>252</v>
      </c>
      <c r="U140" s="5">
        <v>0.2</v>
      </c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 t="str">
        <f>Tabela1[[#This Row],[Indeks]]</f>
        <v>PŁPVBB-0,251,0X1,4</v>
      </c>
    </row>
    <row r="141" spans="1:33">
      <c r="A141" s="10" t="s">
        <v>260</v>
      </c>
      <c r="B141" s="3" t="s">
        <v>1266</v>
      </c>
      <c r="C141" s="4"/>
      <c r="D141" s="4" t="s">
        <v>349</v>
      </c>
      <c r="E141" s="15" t="s">
        <v>252</v>
      </c>
      <c r="F141" s="7"/>
      <c r="G141" s="5"/>
      <c r="H141" s="5" t="s">
        <v>583</v>
      </c>
      <c r="I141" s="5" t="s">
        <v>540</v>
      </c>
      <c r="J141" s="5"/>
      <c r="K141" s="5" t="s">
        <v>544</v>
      </c>
      <c r="L141" s="5"/>
      <c r="M141" s="5" t="s">
        <v>252</v>
      </c>
      <c r="N141" s="5" t="s">
        <v>141</v>
      </c>
      <c r="O141" s="5"/>
      <c r="P141" s="5" t="s">
        <v>252</v>
      </c>
      <c r="Q141" s="5" t="s">
        <v>933</v>
      </c>
      <c r="R141" s="14" t="s">
        <v>141</v>
      </c>
      <c r="S141" s="5" t="s">
        <v>252</v>
      </c>
      <c r="T141" s="5" t="s">
        <v>252</v>
      </c>
      <c r="U141" s="5">
        <v>0.5</v>
      </c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 t="str">
        <f>Tabela1[[#This Row],[Indeks]]</f>
        <v>PŁPVBB-0,31,0X1,4</v>
      </c>
    </row>
    <row r="142" spans="1:33">
      <c r="A142" s="10" t="s">
        <v>261</v>
      </c>
      <c r="B142" s="3" t="s">
        <v>1266</v>
      </c>
      <c r="C142" s="4"/>
      <c r="D142" s="4" t="s">
        <v>349</v>
      </c>
      <c r="E142" s="15" t="s">
        <v>252</v>
      </c>
      <c r="F142" s="7"/>
      <c r="G142" s="5"/>
      <c r="H142" s="5" t="s">
        <v>583</v>
      </c>
      <c r="I142" s="5" t="s">
        <v>540</v>
      </c>
      <c r="J142" s="5"/>
      <c r="K142" s="5" t="s">
        <v>544</v>
      </c>
      <c r="L142" s="5"/>
      <c r="M142" s="5" t="s">
        <v>252</v>
      </c>
      <c r="N142" s="5" t="s">
        <v>141</v>
      </c>
      <c r="O142" s="5"/>
      <c r="P142" s="5" t="s">
        <v>252</v>
      </c>
      <c r="Q142" s="5" t="s">
        <v>933</v>
      </c>
      <c r="R142" s="14" t="s">
        <v>141</v>
      </c>
      <c r="S142" s="5" t="s">
        <v>252</v>
      </c>
      <c r="T142" s="5" t="s">
        <v>252</v>
      </c>
      <c r="U142" s="5">
        <v>0.5</v>
      </c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 t="str">
        <f>Tabela1[[#This Row],[Indeks]]</f>
        <v>PŁPVBB-0,41,0X1,4</v>
      </c>
    </row>
    <row r="143" spans="1:33">
      <c r="A143" s="10" t="s">
        <v>262</v>
      </c>
      <c r="B143" s="3" t="s">
        <v>1266</v>
      </c>
      <c r="C143" s="4"/>
      <c r="D143" s="4" t="s">
        <v>349</v>
      </c>
      <c r="E143" s="15" t="s">
        <v>252</v>
      </c>
      <c r="F143" s="7"/>
      <c r="G143" s="5"/>
      <c r="H143" s="5" t="s">
        <v>583</v>
      </c>
      <c r="I143" s="5" t="s">
        <v>540</v>
      </c>
      <c r="J143" s="5"/>
      <c r="K143" s="5" t="s">
        <v>544</v>
      </c>
      <c r="L143" s="5"/>
      <c r="M143" s="5" t="s">
        <v>252</v>
      </c>
      <c r="N143" s="5" t="s">
        <v>141</v>
      </c>
      <c r="O143" s="5"/>
      <c r="P143" s="5" t="s">
        <v>252</v>
      </c>
      <c r="Q143" s="5" t="s">
        <v>933</v>
      </c>
      <c r="R143" s="14" t="s">
        <v>141</v>
      </c>
      <c r="S143" s="5" t="s">
        <v>252</v>
      </c>
      <c r="T143" s="5" t="s">
        <v>252</v>
      </c>
      <c r="U143" s="5">
        <v>0.5</v>
      </c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 t="str">
        <f>Tabela1[[#This Row],[Indeks]]</f>
        <v>PŁPVBB-0,51,0X1,4</v>
      </c>
    </row>
    <row r="144" spans="1:33">
      <c r="A144" s="10" t="s">
        <v>263</v>
      </c>
      <c r="B144" s="3" t="s">
        <v>1267</v>
      </c>
      <c r="C144" s="4"/>
      <c r="D144" s="4" t="s">
        <v>349</v>
      </c>
      <c r="E144" s="15" t="s">
        <v>252</v>
      </c>
      <c r="F144" s="7"/>
      <c r="G144" s="5"/>
      <c r="H144" s="5" t="s">
        <v>583</v>
      </c>
      <c r="I144" s="5" t="s">
        <v>540</v>
      </c>
      <c r="J144" s="5"/>
      <c r="K144" s="5" t="s">
        <v>544</v>
      </c>
      <c r="L144" s="5"/>
      <c r="M144" s="5" t="s">
        <v>252</v>
      </c>
      <c r="N144" s="5" t="s">
        <v>141</v>
      </c>
      <c r="O144" s="5"/>
      <c r="P144" s="5" t="s">
        <v>252</v>
      </c>
      <c r="Q144" s="5" t="s">
        <v>933</v>
      </c>
      <c r="R144" s="14" t="s">
        <v>141</v>
      </c>
      <c r="S144" s="5" t="s">
        <v>252</v>
      </c>
      <c r="T144" s="5" t="s">
        <v>252</v>
      </c>
      <c r="U144" s="5">
        <v>0.8</v>
      </c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 t="str">
        <f>Tabela1[[#This Row],[Indeks]]</f>
        <v>PŁPVBB-0,71,0X1,4</v>
      </c>
    </row>
    <row r="145" spans="1:33">
      <c r="A145" s="10" t="s">
        <v>264</v>
      </c>
      <c r="B145" s="3" t="s">
        <v>1268</v>
      </c>
      <c r="C145" s="4"/>
      <c r="D145" s="4" t="s">
        <v>349</v>
      </c>
      <c r="E145" s="15" t="s">
        <v>252</v>
      </c>
      <c r="F145" s="7"/>
      <c r="G145" s="5"/>
      <c r="H145" s="5" t="s">
        <v>583</v>
      </c>
      <c r="I145" s="5" t="s">
        <v>540</v>
      </c>
      <c r="J145" s="5"/>
      <c r="K145" s="5" t="s">
        <v>544</v>
      </c>
      <c r="L145" s="5"/>
      <c r="M145" s="5" t="s">
        <v>252</v>
      </c>
      <c r="N145" s="5" t="s">
        <v>141</v>
      </c>
      <c r="O145" s="5"/>
      <c r="P145" s="5" t="s">
        <v>252</v>
      </c>
      <c r="Q145" s="5" t="s">
        <v>933</v>
      </c>
      <c r="R145" s="14" t="s">
        <v>141</v>
      </c>
      <c r="S145" s="5" t="s">
        <v>252</v>
      </c>
      <c r="T145" s="5" t="s">
        <v>252</v>
      </c>
      <c r="U145" s="5">
        <v>1</v>
      </c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 t="str">
        <f>Tabela1[[#This Row],[Indeks]]</f>
        <v>PŁPVBI-1,01,0X2,0</v>
      </c>
    </row>
    <row r="146" spans="1:33">
      <c r="A146" s="10" t="s">
        <v>265</v>
      </c>
      <c r="B146" s="3" t="s">
        <v>1269</v>
      </c>
      <c r="C146" s="4"/>
      <c r="D146" s="4" t="s">
        <v>349</v>
      </c>
      <c r="E146" s="15" t="s">
        <v>252</v>
      </c>
      <c r="F146" s="7"/>
      <c r="G146" s="5"/>
      <c r="H146" s="5" t="s">
        <v>583</v>
      </c>
      <c r="I146" s="5" t="s">
        <v>540</v>
      </c>
      <c r="J146" s="5"/>
      <c r="K146" s="5" t="s">
        <v>544</v>
      </c>
      <c r="L146" s="5"/>
      <c r="M146" s="5" t="s">
        <v>252</v>
      </c>
      <c r="N146" s="5" t="s">
        <v>141</v>
      </c>
      <c r="O146" s="5"/>
      <c r="P146" s="5" t="s">
        <v>252</v>
      </c>
      <c r="Q146" s="5" t="s">
        <v>933</v>
      </c>
      <c r="R146" s="14" t="s">
        <v>141</v>
      </c>
      <c r="S146" s="5" t="s">
        <v>252</v>
      </c>
      <c r="T146" s="5" t="s">
        <v>252</v>
      </c>
      <c r="U146" s="5">
        <v>1.5</v>
      </c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 t="str">
        <f>Tabela1[[#This Row],[Indeks]]</f>
        <v>PŁPVBI-1,51,0X2,0</v>
      </c>
    </row>
    <row r="147" spans="1:33">
      <c r="A147" s="10" t="s">
        <v>266</v>
      </c>
      <c r="B147" s="3" t="s">
        <v>1270</v>
      </c>
      <c r="C147" s="4"/>
      <c r="D147" s="4" t="s">
        <v>349</v>
      </c>
      <c r="E147" s="15" t="s">
        <v>252</v>
      </c>
      <c r="F147" s="7"/>
      <c r="G147" s="5"/>
      <c r="H147" s="5" t="s">
        <v>583</v>
      </c>
      <c r="I147" s="5" t="s">
        <v>540</v>
      </c>
      <c r="J147" s="5"/>
      <c r="K147" s="5" t="s">
        <v>544</v>
      </c>
      <c r="L147" s="5"/>
      <c r="M147" s="5" t="s">
        <v>252</v>
      </c>
      <c r="N147" s="5" t="s">
        <v>141</v>
      </c>
      <c r="O147" s="5"/>
      <c r="P147" s="5" t="s">
        <v>252</v>
      </c>
      <c r="Q147" s="5" t="s">
        <v>933</v>
      </c>
      <c r="R147" s="14" t="s">
        <v>141</v>
      </c>
      <c r="S147" s="5" t="s">
        <v>252</v>
      </c>
      <c r="T147" s="5" t="s">
        <v>252</v>
      </c>
      <c r="U147" s="5">
        <v>2</v>
      </c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 t="str">
        <f>Tabela1[[#This Row],[Indeks]]</f>
        <v>PŁPVBI-2,01,0X2,0</v>
      </c>
    </row>
    <row r="148" spans="1:33">
      <c r="A148" s="10" t="s">
        <v>267</v>
      </c>
      <c r="B148" s="3" t="s">
        <v>1271</v>
      </c>
      <c r="C148" s="4"/>
      <c r="D148" s="4" t="s">
        <v>349</v>
      </c>
      <c r="E148" s="15" t="s">
        <v>252</v>
      </c>
      <c r="F148" s="7"/>
      <c r="G148" s="5"/>
      <c r="H148" s="5" t="s">
        <v>583</v>
      </c>
      <c r="I148" s="5" t="s">
        <v>540</v>
      </c>
      <c r="J148" s="5"/>
      <c r="K148" s="5" t="s">
        <v>544</v>
      </c>
      <c r="L148" s="5"/>
      <c r="M148" s="5" t="s">
        <v>252</v>
      </c>
      <c r="N148" s="5" t="s">
        <v>141</v>
      </c>
      <c r="O148" s="5"/>
      <c r="P148" s="5" t="s">
        <v>252</v>
      </c>
      <c r="Q148" s="5" t="s">
        <v>933</v>
      </c>
      <c r="R148" s="5"/>
      <c r="S148" s="5" t="s">
        <v>252</v>
      </c>
      <c r="T148" s="5" t="s">
        <v>252</v>
      </c>
      <c r="U148" s="5">
        <v>3</v>
      </c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 t="str">
        <f>Tabela1[[#This Row],[Indeks]]</f>
        <v>PŁPVBI-3,01,0X2,0</v>
      </c>
    </row>
    <row r="149" spans="1:33">
      <c r="A149" s="10" t="s">
        <v>268</v>
      </c>
      <c r="B149" s="3" t="s">
        <v>1272</v>
      </c>
      <c r="C149" s="4"/>
      <c r="D149" s="4" t="s">
        <v>349</v>
      </c>
      <c r="E149" s="15" t="s">
        <v>252</v>
      </c>
      <c r="F149" s="7"/>
      <c r="G149" s="5"/>
      <c r="H149" s="5" t="s">
        <v>583</v>
      </c>
      <c r="I149" s="5" t="s">
        <v>540</v>
      </c>
      <c r="J149" s="5"/>
      <c r="K149" s="5" t="s">
        <v>544</v>
      </c>
      <c r="L149" s="5"/>
      <c r="M149" s="5" t="s">
        <v>252</v>
      </c>
      <c r="N149" s="5" t="s">
        <v>141</v>
      </c>
      <c r="O149" s="5"/>
      <c r="P149" s="5" t="s">
        <v>252</v>
      </c>
      <c r="Q149" s="5" t="s">
        <v>933</v>
      </c>
      <c r="R149" s="14" t="s">
        <v>141</v>
      </c>
      <c r="S149" s="5" t="s">
        <v>252</v>
      </c>
      <c r="T149" s="5" t="s">
        <v>252</v>
      </c>
      <c r="U149" s="5">
        <v>0.2</v>
      </c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 t="str">
        <f>Tabela1[[#This Row],[Indeks]]</f>
        <v>PŁPVBI-0,151,0X1,4</v>
      </c>
    </row>
    <row r="150" spans="1:33">
      <c r="A150" s="10" t="s">
        <v>269</v>
      </c>
      <c r="B150" s="3" t="s">
        <v>1272</v>
      </c>
      <c r="C150" s="4"/>
      <c r="D150" s="4" t="s">
        <v>349</v>
      </c>
      <c r="E150" s="15" t="s">
        <v>252</v>
      </c>
      <c r="F150" s="7"/>
      <c r="G150" s="5"/>
      <c r="H150" s="5" t="s">
        <v>583</v>
      </c>
      <c r="I150" s="5" t="s">
        <v>540</v>
      </c>
      <c r="J150" s="5"/>
      <c r="K150" s="5" t="s">
        <v>544</v>
      </c>
      <c r="L150" s="5"/>
      <c r="M150" s="5" t="s">
        <v>252</v>
      </c>
      <c r="N150" s="5" t="s">
        <v>141</v>
      </c>
      <c r="O150" s="5"/>
      <c r="P150" s="5" t="s">
        <v>252</v>
      </c>
      <c r="Q150" s="5" t="s">
        <v>933</v>
      </c>
      <c r="R150" s="14" t="s">
        <v>141</v>
      </c>
      <c r="S150" s="5" t="s">
        <v>252</v>
      </c>
      <c r="T150" s="5" t="s">
        <v>252</v>
      </c>
      <c r="U150" s="5">
        <v>0.2</v>
      </c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 t="str">
        <f>Tabela1[[#This Row],[Indeks]]</f>
        <v>PŁPVBI-0,21,0X1,4</v>
      </c>
    </row>
    <row r="151" spans="1:33">
      <c r="A151" s="10" t="s">
        <v>270</v>
      </c>
      <c r="B151" s="3" t="s">
        <v>1272</v>
      </c>
      <c r="C151" s="4"/>
      <c r="D151" s="4" t="s">
        <v>349</v>
      </c>
      <c r="E151" s="15" t="s">
        <v>252</v>
      </c>
      <c r="F151" s="7"/>
      <c r="G151" s="5"/>
      <c r="H151" s="5" t="s">
        <v>583</v>
      </c>
      <c r="I151" s="5" t="s">
        <v>540</v>
      </c>
      <c r="J151" s="5"/>
      <c r="K151" s="5" t="s">
        <v>544</v>
      </c>
      <c r="L151" s="5"/>
      <c r="M151" s="5" t="s">
        <v>252</v>
      </c>
      <c r="N151" s="5" t="s">
        <v>141</v>
      </c>
      <c r="O151" s="5"/>
      <c r="P151" s="5" t="s">
        <v>252</v>
      </c>
      <c r="Q151" s="5" t="s">
        <v>933</v>
      </c>
      <c r="R151" s="14" t="s">
        <v>141</v>
      </c>
      <c r="S151" s="5" t="s">
        <v>252</v>
      </c>
      <c r="T151" s="5" t="s">
        <v>252</v>
      </c>
      <c r="U151" s="5">
        <v>0.2</v>
      </c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 t="str">
        <f>Tabela1[[#This Row],[Indeks]]</f>
        <v>PŁPVBI-0,251,0X1,4</v>
      </c>
    </row>
    <row r="152" spans="1:33">
      <c r="A152" s="10" t="s">
        <v>271</v>
      </c>
      <c r="B152" s="3" t="s">
        <v>1273</v>
      </c>
      <c r="C152" s="4"/>
      <c r="D152" s="4" t="s">
        <v>349</v>
      </c>
      <c r="E152" s="15" t="s">
        <v>252</v>
      </c>
      <c r="F152" s="7"/>
      <c r="G152" s="5"/>
      <c r="H152" s="5" t="s">
        <v>583</v>
      </c>
      <c r="I152" s="5" t="s">
        <v>540</v>
      </c>
      <c r="J152" s="5"/>
      <c r="K152" s="5" t="s">
        <v>544</v>
      </c>
      <c r="L152" s="5"/>
      <c r="M152" s="5" t="s">
        <v>252</v>
      </c>
      <c r="N152" s="5" t="s">
        <v>141</v>
      </c>
      <c r="O152" s="5"/>
      <c r="P152" s="5" t="s">
        <v>252</v>
      </c>
      <c r="Q152" s="5" t="s">
        <v>933</v>
      </c>
      <c r="R152" s="14" t="s">
        <v>141</v>
      </c>
      <c r="S152" s="5" t="s">
        <v>252</v>
      </c>
      <c r="T152" s="5" t="s">
        <v>252</v>
      </c>
      <c r="U152" s="5">
        <v>0.5</v>
      </c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 t="str">
        <f>Tabela1[[#This Row],[Indeks]]</f>
        <v>PŁPVBI-0,31,0X1,4</v>
      </c>
    </row>
    <row r="153" spans="1:33">
      <c r="A153" s="10" t="s">
        <v>272</v>
      </c>
      <c r="B153" s="3" t="s">
        <v>1273</v>
      </c>
      <c r="C153" s="4"/>
      <c r="D153" s="4" t="s">
        <v>349</v>
      </c>
      <c r="E153" s="15" t="s">
        <v>252</v>
      </c>
      <c r="F153" s="7"/>
      <c r="G153" s="5"/>
      <c r="H153" s="5" t="s">
        <v>583</v>
      </c>
      <c r="I153" s="5" t="s">
        <v>540</v>
      </c>
      <c r="J153" s="5"/>
      <c r="K153" s="5" t="s">
        <v>544</v>
      </c>
      <c r="L153" s="5"/>
      <c r="M153" s="5" t="s">
        <v>252</v>
      </c>
      <c r="N153" s="5" t="s">
        <v>141</v>
      </c>
      <c r="O153" s="5"/>
      <c r="P153" s="5" t="s">
        <v>252</v>
      </c>
      <c r="Q153" s="5" t="s">
        <v>933</v>
      </c>
      <c r="R153" s="14" t="s">
        <v>141</v>
      </c>
      <c r="S153" s="5" t="s">
        <v>252</v>
      </c>
      <c r="T153" s="5" t="s">
        <v>252</v>
      </c>
      <c r="U153" s="5">
        <v>0.5</v>
      </c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 t="str">
        <f>Tabela1[[#This Row],[Indeks]]</f>
        <v>PŁPVBI-0,41,0X1,4</v>
      </c>
    </row>
    <row r="154" spans="1:33">
      <c r="A154" s="10" t="s">
        <v>273</v>
      </c>
      <c r="B154" s="3" t="s">
        <v>1273</v>
      </c>
      <c r="C154" s="4"/>
      <c r="D154" s="4" t="s">
        <v>349</v>
      </c>
      <c r="E154" s="15" t="s">
        <v>252</v>
      </c>
      <c r="F154" s="7"/>
      <c r="G154" s="5"/>
      <c r="H154" s="5" t="s">
        <v>583</v>
      </c>
      <c r="I154" s="5" t="s">
        <v>540</v>
      </c>
      <c r="J154" s="5"/>
      <c r="K154" s="5" t="s">
        <v>544</v>
      </c>
      <c r="L154" s="5"/>
      <c r="M154" s="5" t="s">
        <v>252</v>
      </c>
      <c r="N154" s="5" t="s">
        <v>141</v>
      </c>
      <c r="O154" s="5"/>
      <c r="P154" s="5" t="s">
        <v>252</v>
      </c>
      <c r="Q154" s="5" t="s">
        <v>933</v>
      </c>
      <c r="R154" s="14" t="s">
        <v>141</v>
      </c>
      <c r="S154" s="5" t="s">
        <v>252</v>
      </c>
      <c r="T154" s="5" t="s">
        <v>252</v>
      </c>
      <c r="U154" s="5">
        <v>0.5</v>
      </c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 t="str">
        <f>Tabela1[[#This Row],[Indeks]]</f>
        <v>PŁPVBI-0,51,0X1,4</v>
      </c>
    </row>
    <row r="155" spans="1:33">
      <c r="A155" s="10" t="s">
        <v>274</v>
      </c>
      <c r="B155" s="3" t="s">
        <v>1274</v>
      </c>
      <c r="C155" s="4"/>
      <c r="D155" s="4" t="s">
        <v>349</v>
      </c>
      <c r="E155" s="15" t="s">
        <v>252</v>
      </c>
      <c r="F155" s="7"/>
      <c r="G155" s="5"/>
      <c r="H155" s="5" t="s">
        <v>583</v>
      </c>
      <c r="I155" s="5" t="s">
        <v>540</v>
      </c>
      <c r="J155" s="5"/>
      <c r="K155" s="5" t="s">
        <v>544</v>
      </c>
      <c r="L155" s="5"/>
      <c r="M155" s="5" t="s">
        <v>252</v>
      </c>
      <c r="N155" s="5" t="s">
        <v>141</v>
      </c>
      <c r="O155" s="5"/>
      <c r="P155" s="5" t="s">
        <v>252</v>
      </c>
      <c r="Q155" s="5" t="s">
        <v>933</v>
      </c>
      <c r="R155" s="14" t="s">
        <v>141</v>
      </c>
      <c r="S155" s="5" t="s">
        <v>252</v>
      </c>
      <c r="T155" s="5" t="s">
        <v>252</v>
      </c>
      <c r="U155" s="5">
        <v>0.8</v>
      </c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 t="str">
        <f>Tabela1[[#This Row],[Indeks]]</f>
        <v>PŁPVBI-0,71,0X1,4</v>
      </c>
    </row>
    <row r="156" spans="1:33">
      <c r="A156" s="10" t="s">
        <v>275</v>
      </c>
      <c r="B156" s="3" t="s">
        <v>1275</v>
      </c>
      <c r="C156" s="4"/>
      <c r="D156" s="4" t="s">
        <v>349</v>
      </c>
      <c r="E156" s="15" t="s">
        <v>276</v>
      </c>
      <c r="F156" s="7"/>
      <c r="G156" s="5"/>
      <c r="H156" s="5" t="s">
        <v>585</v>
      </c>
      <c r="I156" s="5" t="s">
        <v>540</v>
      </c>
      <c r="J156" s="5"/>
      <c r="K156" s="5" t="s">
        <v>544</v>
      </c>
      <c r="L156" s="5"/>
      <c r="M156" s="5" t="s">
        <v>589</v>
      </c>
      <c r="N156" s="5" t="s">
        <v>141</v>
      </c>
      <c r="O156" s="5"/>
      <c r="P156" s="5" t="s">
        <v>593</v>
      </c>
      <c r="Q156" s="5" t="s">
        <v>933</v>
      </c>
      <c r="R156" s="5"/>
      <c r="S156" s="5"/>
      <c r="T156" s="5"/>
      <c r="U156" s="5">
        <v>1</v>
      </c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 t="str">
        <f>Tabela1[[#This Row],[Indeks]]</f>
        <v>PŁPVSP-1,01,0X2,0</v>
      </c>
    </row>
    <row r="157" spans="1:33">
      <c r="A157" s="10" t="s">
        <v>277</v>
      </c>
      <c r="B157" s="3" t="s">
        <v>1276</v>
      </c>
      <c r="C157" s="4"/>
      <c r="D157" s="4" t="s">
        <v>349</v>
      </c>
      <c r="E157" s="15" t="s">
        <v>276</v>
      </c>
      <c r="F157" s="7"/>
      <c r="G157" s="5"/>
      <c r="H157" s="5" t="s">
        <v>585</v>
      </c>
      <c r="I157" s="5" t="s">
        <v>540</v>
      </c>
      <c r="J157" s="5"/>
      <c r="K157" s="5" t="s">
        <v>544</v>
      </c>
      <c r="L157" s="5"/>
      <c r="M157" s="5" t="s">
        <v>589</v>
      </c>
      <c r="N157" s="5" t="s">
        <v>141</v>
      </c>
      <c r="O157" s="5"/>
      <c r="P157" s="5" t="s">
        <v>593</v>
      </c>
      <c r="Q157" s="5" t="s">
        <v>933</v>
      </c>
      <c r="R157" s="5"/>
      <c r="S157" s="5"/>
      <c r="T157" s="5"/>
      <c r="U157" s="5">
        <v>2</v>
      </c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 t="str">
        <f>Tabela1[[#This Row],[Indeks]]</f>
        <v>PŁPVSP-2,01,0X2,0</v>
      </c>
    </row>
    <row r="158" spans="1:33">
      <c r="A158" s="10" t="s">
        <v>278</v>
      </c>
      <c r="B158" s="3" t="s">
        <v>1277</v>
      </c>
      <c r="C158" s="4"/>
      <c r="D158" s="4" t="s">
        <v>349</v>
      </c>
      <c r="E158" s="15" t="s">
        <v>276</v>
      </c>
      <c r="F158" s="7"/>
      <c r="G158" s="5"/>
      <c r="H158" s="5" t="s">
        <v>585</v>
      </c>
      <c r="I158" s="5" t="s">
        <v>540</v>
      </c>
      <c r="J158" s="5"/>
      <c r="K158" s="5" t="s">
        <v>544</v>
      </c>
      <c r="L158" s="5"/>
      <c r="M158" s="5" t="s">
        <v>589</v>
      </c>
      <c r="N158" s="5" t="s">
        <v>141</v>
      </c>
      <c r="O158" s="5"/>
      <c r="P158" s="5" t="s">
        <v>593</v>
      </c>
      <c r="Q158" s="5" t="s">
        <v>933</v>
      </c>
      <c r="R158" s="5"/>
      <c r="S158" s="5"/>
      <c r="T158" s="5"/>
      <c r="U158" s="5">
        <v>3</v>
      </c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 t="str">
        <f>Tabela1[[#This Row],[Indeks]]</f>
        <v>PŁPVSP-3,01,0X2,0</v>
      </c>
    </row>
    <row r="159" spans="1:33">
      <c r="A159" s="10" t="s">
        <v>279</v>
      </c>
      <c r="B159" s="3" t="s">
        <v>1278</v>
      </c>
      <c r="C159" s="4"/>
      <c r="D159" s="4" t="s">
        <v>349</v>
      </c>
      <c r="E159" s="15" t="s">
        <v>276</v>
      </c>
      <c r="F159" s="7"/>
      <c r="G159" s="5"/>
      <c r="H159" s="5" t="s">
        <v>585</v>
      </c>
      <c r="I159" s="5" t="s">
        <v>540</v>
      </c>
      <c r="J159" s="5"/>
      <c r="K159" s="5" t="s">
        <v>544</v>
      </c>
      <c r="L159" s="5"/>
      <c r="M159" s="5" t="s">
        <v>589</v>
      </c>
      <c r="N159" s="5" t="s">
        <v>141</v>
      </c>
      <c r="O159" s="5"/>
      <c r="P159" s="5" t="s">
        <v>593</v>
      </c>
      <c r="Q159" s="5" t="s">
        <v>933</v>
      </c>
      <c r="R159" s="5"/>
      <c r="S159" s="5"/>
      <c r="T159" s="5"/>
      <c r="U159" s="5">
        <v>4</v>
      </c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 t="str">
        <f>Tabela1[[#This Row],[Indeks]]</f>
        <v>PŁPVSP-4,01,0X2,0</v>
      </c>
    </row>
    <row r="160" spans="1:33">
      <c r="A160" s="10" t="s">
        <v>280</v>
      </c>
      <c r="B160" s="3" t="s">
        <v>1279</v>
      </c>
      <c r="C160" s="4"/>
      <c r="D160" s="4" t="s">
        <v>349</v>
      </c>
      <c r="E160" s="15" t="s">
        <v>276</v>
      </c>
      <c r="F160" s="7"/>
      <c r="G160" s="5"/>
      <c r="H160" s="5" t="s">
        <v>585</v>
      </c>
      <c r="I160" s="5" t="s">
        <v>540</v>
      </c>
      <c r="J160" s="5"/>
      <c r="K160" s="5" t="s">
        <v>544</v>
      </c>
      <c r="L160" s="5"/>
      <c r="M160" s="5" t="s">
        <v>589</v>
      </c>
      <c r="N160" s="5" t="s">
        <v>141</v>
      </c>
      <c r="O160" s="5"/>
      <c r="P160" s="5" t="s">
        <v>593</v>
      </c>
      <c r="Q160" s="5" t="s">
        <v>933</v>
      </c>
      <c r="R160" s="5"/>
      <c r="S160" s="5"/>
      <c r="T160" s="5"/>
      <c r="U160" s="5">
        <v>5</v>
      </c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 t="str">
        <f>Tabela1[[#This Row],[Indeks]]</f>
        <v>PŁPVSP-5,01,0X2,0</v>
      </c>
    </row>
    <row r="161" spans="1:33">
      <c r="A161" s="10" t="s">
        <v>281</v>
      </c>
      <c r="B161" s="3" t="s">
        <v>1280</v>
      </c>
      <c r="C161" s="4"/>
      <c r="D161" s="4" t="s">
        <v>349</v>
      </c>
      <c r="E161" s="15" t="s">
        <v>276</v>
      </c>
      <c r="F161" s="7"/>
      <c r="G161" s="5"/>
      <c r="H161" s="5" t="s">
        <v>585</v>
      </c>
      <c r="I161" s="5" t="s">
        <v>540</v>
      </c>
      <c r="J161" s="5"/>
      <c r="K161" s="5" t="s">
        <v>544</v>
      </c>
      <c r="L161" s="5"/>
      <c r="M161" s="5" t="s">
        <v>589</v>
      </c>
      <c r="N161" s="5" t="s">
        <v>141</v>
      </c>
      <c r="O161" s="5"/>
      <c r="P161" s="5" t="s">
        <v>593</v>
      </c>
      <c r="Q161" s="5" t="s">
        <v>933</v>
      </c>
      <c r="R161" s="5"/>
      <c r="S161" s="5"/>
      <c r="T161" s="5"/>
      <c r="U161" s="5">
        <v>6</v>
      </c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 t="str">
        <f>Tabela1[[#This Row],[Indeks]]</f>
        <v>PŁPVSP-6,01,0X2,0</v>
      </c>
    </row>
    <row r="162" spans="1:33">
      <c r="A162" s="10" t="s">
        <v>282</v>
      </c>
      <c r="B162" s="3" t="s">
        <v>1281</v>
      </c>
      <c r="C162" s="4"/>
      <c r="D162" s="4" t="s">
        <v>349</v>
      </c>
      <c r="E162" s="15" t="s">
        <v>276</v>
      </c>
      <c r="F162" s="7"/>
      <c r="G162" s="5"/>
      <c r="H162" s="5" t="s">
        <v>585</v>
      </c>
      <c r="I162" s="5" t="s">
        <v>540</v>
      </c>
      <c r="J162" s="5"/>
      <c r="K162" s="5" t="s">
        <v>544</v>
      </c>
      <c r="L162" s="5"/>
      <c r="M162" s="5" t="s">
        <v>589</v>
      </c>
      <c r="N162" s="5" t="s">
        <v>141</v>
      </c>
      <c r="O162" s="5"/>
      <c r="P162" s="5" t="s">
        <v>593</v>
      </c>
      <c r="Q162" s="5" t="s">
        <v>933</v>
      </c>
      <c r="R162" s="5"/>
      <c r="S162" s="5"/>
      <c r="T162" s="5"/>
      <c r="U162" s="5">
        <v>8</v>
      </c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 t="str">
        <f>Tabela1[[#This Row],[Indeks]]</f>
        <v>PŁPVSP-8,01,0X2,0</v>
      </c>
    </row>
    <row r="163" spans="1:33">
      <c r="A163" s="10" t="s">
        <v>283</v>
      </c>
      <c r="B163" s="3" t="s">
        <v>1282</v>
      </c>
      <c r="C163" s="4"/>
      <c r="D163" s="4" t="s">
        <v>349</v>
      </c>
      <c r="E163" s="15" t="s">
        <v>276</v>
      </c>
      <c r="F163" s="7"/>
      <c r="G163" s="5"/>
      <c r="H163" s="5" t="s">
        <v>585</v>
      </c>
      <c r="I163" s="5" t="s">
        <v>540</v>
      </c>
      <c r="J163" s="5"/>
      <c r="K163" s="5" t="s">
        <v>544</v>
      </c>
      <c r="L163" s="5"/>
      <c r="M163" s="5" t="s">
        <v>589</v>
      </c>
      <c r="N163" s="5" t="s">
        <v>141</v>
      </c>
      <c r="O163" s="5"/>
      <c r="P163" s="5" t="s">
        <v>593</v>
      </c>
      <c r="Q163" s="5" t="s">
        <v>933</v>
      </c>
      <c r="R163" s="5"/>
      <c r="S163" s="5"/>
      <c r="T163" s="5"/>
      <c r="U163" s="5">
        <v>10</v>
      </c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 t="str">
        <f>Tabela1[[#This Row],[Indeks]]</f>
        <v>PŁPVSP-10,01,0X2,0</v>
      </c>
    </row>
    <row r="164" spans="1:33">
      <c r="A164" s="10" t="s">
        <v>284</v>
      </c>
      <c r="B164" s="3" t="s">
        <v>1283</v>
      </c>
      <c r="C164" s="4"/>
      <c r="D164" s="4" t="s">
        <v>349</v>
      </c>
      <c r="E164" s="15" t="s">
        <v>276</v>
      </c>
      <c r="F164" s="7"/>
      <c r="G164" s="5"/>
      <c r="H164" s="5" t="s">
        <v>585</v>
      </c>
      <c r="I164" s="5" t="s">
        <v>540</v>
      </c>
      <c r="J164" s="5"/>
      <c r="K164" s="5" t="s">
        <v>544</v>
      </c>
      <c r="L164" s="5"/>
      <c r="M164" s="5" t="s">
        <v>589</v>
      </c>
      <c r="N164" s="5" t="s">
        <v>141</v>
      </c>
      <c r="O164" s="5"/>
      <c r="P164" s="5" t="s">
        <v>593</v>
      </c>
      <c r="Q164" s="5" t="s">
        <v>933</v>
      </c>
      <c r="R164" s="5"/>
      <c r="S164" s="5"/>
      <c r="T164" s="5"/>
      <c r="U164" s="5">
        <v>19</v>
      </c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 t="str">
        <f>Tabela1[[#This Row],[Indeks]]</f>
        <v>PŁPVSP-19,01,4X3,05</v>
      </c>
    </row>
    <row r="165" spans="1:33">
      <c r="A165" s="10" t="s">
        <v>285</v>
      </c>
      <c r="B165" s="3" t="s">
        <v>1284</v>
      </c>
      <c r="C165" s="4"/>
      <c r="D165" s="4" t="s">
        <v>349</v>
      </c>
      <c r="E165" s="11" t="s">
        <v>70</v>
      </c>
      <c r="F165" s="7"/>
      <c r="G165" s="5"/>
      <c r="H165" s="5" t="s">
        <v>583</v>
      </c>
      <c r="I165" s="5"/>
      <c r="J165" s="5" t="s">
        <v>541</v>
      </c>
      <c r="K165" s="5" t="s">
        <v>544</v>
      </c>
      <c r="L165" s="5" t="s">
        <v>547</v>
      </c>
      <c r="M165" s="5" t="s">
        <v>575</v>
      </c>
      <c r="N165" s="5" t="s">
        <v>141</v>
      </c>
      <c r="O165" s="5" t="s">
        <v>590</v>
      </c>
      <c r="P165" s="5" t="s">
        <v>592</v>
      </c>
      <c r="Q165" s="5" t="s">
        <v>933</v>
      </c>
      <c r="R165" s="14" t="s">
        <v>141</v>
      </c>
      <c r="S165" s="5" t="s">
        <v>547</v>
      </c>
      <c r="T165" s="5" t="s">
        <v>595</v>
      </c>
      <c r="U165" s="5">
        <v>0.5</v>
      </c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 t="str">
        <f>Tabela1[[#This Row],[Indeks]]</f>
        <v>PŁTUBB-0,51,25X2,05</v>
      </c>
    </row>
    <row r="166" spans="1:33">
      <c r="A166" s="10" t="s">
        <v>286</v>
      </c>
      <c r="B166" s="3" t="s">
        <v>1285</v>
      </c>
      <c r="C166" s="4"/>
      <c r="D166" s="4" t="s">
        <v>349</v>
      </c>
      <c r="E166" s="11" t="s">
        <v>70</v>
      </c>
      <c r="F166" s="7"/>
      <c r="G166" s="5"/>
      <c r="H166" s="5" t="s">
        <v>583</v>
      </c>
      <c r="I166" s="5"/>
      <c r="J166" s="5" t="s">
        <v>541</v>
      </c>
      <c r="K166" s="5" t="s">
        <v>544</v>
      </c>
      <c r="L166" s="5" t="s">
        <v>547</v>
      </c>
      <c r="M166" s="5" t="s">
        <v>575</v>
      </c>
      <c r="N166" s="5" t="s">
        <v>141</v>
      </c>
      <c r="O166" s="5" t="s">
        <v>590</v>
      </c>
      <c r="P166" s="5" t="s">
        <v>592</v>
      </c>
      <c r="Q166" s="5" t="s">
        <v>933</v>
      </c>
      <c r="R166" s="14" t="s">
        <v>141</v>
      </c>
      <c r="S166" s="5" t="s">
        <v>547</v>
      </c>
      <c r="T166" s="5" t="s">
        <v>595</v>
      </c>
      <c r="U166" s="5">
        <v>1</v>
      </c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 t="str">
        <f>Tabela1[[#This Row],[Indeks]]</f>
        <v>PŁTUBB-1,12,05X3,05</v>
      </c>
    </row>
    <row r="167" spans="1:33">
      <c r="A167" s="10" t="s">
        <v>287</v>
      </c>
      <c r="B167" s="3" t="s">
        <v>1286</v>
      </c>
      <c r="C167" s="4"/>
      <c r="D167" s="4" t="s">
        <v>349</v>
      </c>
      <c r="E167" s="11" t="s">
        <v>70</v>
      </c>
      <c r="F167" s="7"/>
      <c r="G167" s="5"/>
      <c r="H167" s="5" t="s">
        <v>583</v>
      </c>
      <c r="I167" s="5"/>
      <c r="J167" s="5" t="s">
        <v>541</v>
      </c>
      <c r="K167" s="5" t="s">
        <v>544</v>
      </c>
      <c r="L167" s="5" t="s">
        <v>547</v>
      </c>
      <c r="M167" s="5" t="s">
        <v>575</v>
      </c>
      <c r="N167" s="5" t="s">
        <v>141</v>
      </c>
      <c r="O167" s="5" t="s">
        <v>590</v>
      </c>
      <c r="P167" s="5" t="s">
        <v>592</v>
      </c>
      <c r="Q167" s="5" t="s">
        <v>933</v>
      </c>
      <c r="R167" s="14" t="s">
        <v>141</v>
      </c>
      <c r="S167" s="5" t="s">
        <v>547</v>
      </c>
      <c r="T167" s="5" t="s">
        <v>595</v>
      </c>
      <c r="U167" s="5">
        <v>1.5</v>
      </c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 t="str">
        <f>Tabela1[[#This Row],[Indeks]]</f>
        <v>PŁTUBB-1,52,05X3,05</v>
      </c>
    </row>
    <row r="168" spans="1:33">
      <c r="A168" s="10" t="s">
        <v>288</v>
      </c>
      <c r="B168" s="3" t="s">
        <v>1287</v>
      </c>
      <c r="C168" s="4"/>
      <c r="D168" s="4" t="s">
        <v>349</v>
      </c>
      <c r="E168" s="11" t="s">
        <v>70</v>
      </c>
      <c r="F168" s="7"/>
      <c r="G168" s="5"/>
      <c r="H168" s="5" t="s">
        <v>583</v>
      </c>
      <c r="I168" s="5"/>
      <c r="J168" s="5" t="s">
        <v>541</v>
      </c>
      <c r="K168" s="5" t="s">
        <v>544</v>
      </c>
      <c r="L168" s="5" t="s">
        <v>547</v>
      </c>
      <c r="M168" s="5" t="s">
        <v>575</v>
      </c>
      <c r="N168" s="5" t="s">
        <v>141</v>
      </c>
      <c r="O168" s="5" t="s">
        <v>590</v>
      </c>
      <c r="P168" s="5" t="s">
        <v>592</v>
      </c>
      <c r="Q168" s="5" t="s">
        <v>933</v>
      </c>
      <c r="R168" s="14" t="s">
        <v>141</v>
      </c>
      <c r="S168" s="5" t="s">
        <v>547</v>
      </c>
      <c r="T168" s="5" t="s">
        <v>595</v>
      </c>
      <c r="U168" s="5">
        <v>2</v>
      </c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 t="str">
        <f>Tabela1[[#This Row],[Indeks]]</f>
        <v>PŁTUBB-2,02,05X3,05</v>
      </c>
    </row>
    <row r="169" spans="1:33">
      <c r="A169" s="10" t="s">
        <v>289</v>
      </c>
      <c r="B169" s="3" t="s">
        <v>1288</v>
      </c>
      <c r="C169" s="4"/>
      <c r="D169" s="4" t="s">
        <v>349</v>
      </c>
      <c r="E169" s="11" t="s">
        <v>70</v>
      </c>
      <c r="F169" s="7"/>
      <c r="G169" s="5"/>
      <c r="H169" s="5" t="s">
        <v>583</v>
      </c>
      <c r="I169" s="5"/>
      <c r="J169" s="5" t="s">
        <v>541</v>
      </c>
      <c r="K169" s="5" t="s">
        <v>544</v>
      </c>
      <c r="L169" s="5" t="s">
        <v>546</v>
      </c>
      <c r="M169" s="5" t="s">
        <v>575</v>
      </c>
      <c r="N169" s="5" t="s">
        <v>141</v>
      </c>
      <c r="O169" s="5" t="s">
        <v>590</v>
      </c>
      <c r="P169" s="5" t="s">
        <v>592</v>
      </c>
      <c r="Q169" s="5" t="s">
        <v>933</v>
      </c>
      <c r="R169" s="14" t="s">
        <v>141</v>
      </c>
      <c r="S169" s="5" t="s">
        <v>546</v>
      </c>
      <c r="T169" s="5" t="s">
        <v>595</v>
      </c>
      <c r="U169" s="5">
        <v>0.5</v>
      </c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 t="str">
        <f>Tabela1[[#This Row],[Indeks]]</f>
        <v>PŁVKBB-0,51,25X2,05</v>
      </c>
    </row>
    <row r="170" spans="1:33">
      <c r="A170" s="10" t="s">
        <v>290</v>
      </c>
      <c r="B170" s="3" t="s">
        <v>1289</v>
      </c>
      <c r="C170" s="4"/>
      <c r="D170" s="4" t="s">
        <v>349</v>
      </c>
      <c r="E170" s="11" t="s">
        <v>70</v>
      </c>
      <c r="F170" s="7"/>
      <c r="G170" s="5"/>
      <c r="H170" s="5" t="s">
        <v>583</v>
      </c>
      <c r="I170" s="5"/>
      <c r="J170" s="5" t="s">
        <v>541</v>
      </c>
      <c r="K170" s="5" t="s">
        <v>544</v>
      </c>
      <c r="L170" s="5" t="s">
        <v>546</v>
      </c>
      <c r="M170" s="5" t="s">
        <v>575</v>
      </c>
      <c r="N170" s="5" t="s">
        <v>141</v>
      </c>
      <c r="O170" s="5" t="s">
        <v>590</v>
      </c>
      <c r="P170" s="5" t="s">
        <v>592</v>
      </c>
      <c r="Q170" s="5" t="s">
        <v>933</v>
      </c>
      <c r="R170" s="14" t="s">
        <v>141</v>
      </c>
      <c r="S170" s="5" t="s">
        <v>546</v>
      </c>
      <c r="T170" s="5" t="s">
        <v>595</v>
      </c>
      <c r="U170" s="5">
        <v>1</v>
      </c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 t="str">
        <f>Tabela1[[#This Row],[Indeks]]</f>
        <v>PŁVKBB-1,01,25X2,05</v>
      </c>
    </row>
    <row r="171" spans="1:33">
      <c r="A171" s="10" t="s">
        <v>291</v>
      </c>
      <c r="B171" s="3" t="s">
        <v>1290</v>
      </c>
      <c r="C171" s="4"/>
      <c r="D171" s="4" t="s">
        <v>349</v>
      </c>
      <c r="E171" s="11" t="s">
        <v>70</v>
      </c>
      <c r="F171" s="7"/>
      <c r="G171" s="5"/>
      <c r="H171" s="5" t="s">
        <v>583</v>
      </c>
      <c r="I171" s="5"/>
      <c r="J171" s="5" t="s">
        <v>541</v>
      </c>
      <c r="K171" s="5" t="s">
        <v>544</v>
      </c>
      <c r="L171" s="5" t="s">
        <v>546</v>
      </c>
      <c r="M171" s="5" t="s">
        <v>575</v>
      </c>
      <c r="N171" s="5" t="s">
        <v>141</v>
      </c>
      <c r="O171" s="5" t="s">
        <v>590</v>
      </c>
      <c r="P171" s="5" t="s">
        <v>592</v>
      </c>
      <c r="Q171" s="5" t="s">
        <v>933</v>
      </c>
      <c r="R171" s="14" t="s">
        <v>141</v>
      </c>
      <c r="S171" s="5" t="s">
        <v>546</v>
      </c>
      <c r="T171" s="5" t="s">
        <v>595</v>
      </c>
      <c r="U171" s="5">
        <v>1.5</v>
      </c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 t="str">
        <f>Tabela1[[#This Row],[Indeks]]</f>
        <v>PŁVKBB-1,51,25X2,05</v>
      </c>
    </row>
    <row r="172" spans="1:33">
      <c r="A172" s="10" t="s">
        <v>292</v>
      </c>
      <c r="B172" s="3" t="s">
        <v>1291</v>
      </c>
      <c r="C172" s="4"/>
      <c r="D172" s="4" t="s">
        <v>349</v>
      </c>
      <c r="E172" s="11" t="s">
        <v>70</v>
      </c>
      <c r="F172" s="7"/>
      <c r="G172" s="5"/>
      <c r="H172" s="5" t="s">
        <v>583</v>
      </c>
      <c r="I172" s="5"/>
      <c r="J172" s="5" t="s">
        <v>541</v>
      </c>
      <c r="K172" s="5" t="s">
        <v>544</v>
      </c>
      <c r="L172" s="5" t="s">
        <v>546</v>
      </c>
      <c r="M172" s="5" t="s">
        <v>575</v>
      </c>
      <c r="N172" s="5" t="s">
        <v>141</v>
      </c>
      <c r="O172" s="5" t="s">
        <v>590</v>
      </c>
      <c r="P172" s="5" t="s">
        <v>592</v>
      </c>
      <c r="Q172" s="5" t="s">
        <v>933</v>
      </c>
      <c r="R172" s="14" t="s">
        <v>141</v>
      </c>
      <c r="S172" s="5" t="s">
        <v>546</v>
      </c>
      <c r="T172" s="5" t="s">
        <v>595</v>
      </c>
      <c r="U172" s="5">
        <v>1</v>
      </c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 t="str">
        <f>Tabela1[[#This Row],[Indeks]]</f>
        <v>PŁVKBB-1,02,05x3,05</v>
      </c>
    </row>
    <row r="173" spans="1:33">
      <c r="A173" s="10" t="s">
        <v>293</v>
      </c>
      <c r="B173" s="3" t="s">
        <v>1292</v>
      </c>
      <c r="C173" s="4"/>
      <c r="D173" s="4" t="s">
        <v>349</v>
      </c>
      <c r="E173" s="11" t="s">
        <v>70</v>
      </c>
      <c r="F173" s="7"/>
      <c r="G173" s="5"/>
      <c r="H173" s="5" t="s">
        <v>583</v>
      </c>
      <c r="I173" s="5"/>
      <c r="J173" s="5" t="s">
        <v>541</v>
      </c>
      <c r="K173" s="5" t="s">
        <v>544</v>
      </c>
      <c r="L173" s="5" t="s">
        <v>546</v>
      </c>
      <c r="M173" s="5" t="s">
        <v>575</v>
      </c>
      <c r="N173" s="5" t="s">
        <v>141</v>
      </c>
      <c r="O173" s="5" t="s">
        <v>590</v>
      </c>
      <c r="P173" s="5" t="s">
        <v>592</v>
      </c>
      <c r="Q173" s="5" t="s">
        <v>933</v>
      </c>
      <c r="R173" s="14" t="s">
        <v>141</v>
      </c>
      <c r="S173" s="5" t="s">
        <v>546</v>
      </c>
      <c r="T173" s="5" t="s">
        <v>595</v>
      </c>
      <c r="U173" s="5">
        <v>1.5</v>
      </c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 t="str">
        <f>Tabela1[[#This Row],[Indeks]]</f>
        <v>PŁVKBB-1,52,05x3,05</v>
      </c>
    </row>
    <row r="174" spans="1:33">
      <c r="A174" s="10" t="s">
        <v>294</v>
      </c>
      <c r="B174" s="3" t="s">
        <v>1293</v>
      </c>
      <c r="C174" s="4"/>
      <c r="D174" s="4" t="s">
        <v>349</v>
      </c>
      <c r="E174" s="11" t="s">
        <v>70</v>
      </c>
      <c r="F174" s="7"/>
      <c r="G174" s="5"/>
      <c r="H174" s="5" t="s">
        <v>583</v>
      </c>
      <c r="I174" s="5"/>
      <c r="J174" s="5" t="s">
        <v>541</v>
      </c>
      <c r="K174" s="5" t="s">
        <v>544</v>
      </c>
      <c r="L174" s="5" t="s">
        <v>546</v>
      </c>
      <c r="M174" s="5" t="s">
        <v>575</v>
      </c>
      <c r="N174" s="5" t="s">
        <v>141</v>
      </c>
      <c r="O174" s="5" t="s">
        <v>590</v>
      </c>
      <c r="P174" s="5" t="s">
        <v>592</v>
      </c>
      <c r="Q174" s="5" t="s">
        <v>933</v>
      </c>
      <c r="R174" s="14" t="s">
        <v>141</v>
      </c>
      <c r="S174" s="5" t="s">
        <v>546</v>
      </c>
      <c r="T174" s="5" t="s">
        <v>595</v>
      </c>
      <c r="U174" s="5">
        <v>2</v>
      </c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 t="str">
        <f>Tabela1[[#This Row],[Indeks]]</f>
        <v>PŁVKBB-2,02,05x3,05</v>
      </c>
    </row>
    <row r="175" spans="1:33" ht="26.25">
      <c r="A175" s="16" t="s">
        <v>295</v>
      </c>
      <c r="B175" s="3" t="s">
        <v>296</v>
      </c>
      <c r="C175" s="5"/>
      <c r="D175" s="4" t="s">
        <v>86</v>
      </c>
      <c r="E175" s="8"/>
      <c r="F175" s="5"/>
      <c r="G175" s="5"/>
      <c r="H175" s="5" t="s">
        <v>581</v>
      </c>
      <c r="I175" s="5"/>
      <c r="J175" s="5"/>
      <c r="K175" s="5"/>
      <c r="L175" s="5"/>
      <c r="M175" s="5"/>
      <c r="N175" s="5"/>
      <c r="O175" s="5"/>
      <c r="P175" s="45" t="s">
        <v>577</v>
      </c>
      <c r="Q175" s="5" t="s">
        <v>352</v>
      </c>
      <c r="R175" s="5"/>
      <c r="S175" s="5"/>
      <c r="T175" s="5"/>
      <c r="U175" s="5">
        <v>10</v>
      </c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 t="str">
        <f>Tabela1[[#This Row],[Indeks]]</f>
        <v>DRWS-10-1</v>
      </c>
    </row>
    <row r="176" spans="1:33" ht="26.25">
      <c r="A176" s="16" t="s">
        <v>297</v>
      </c>
      <c r="B176" s="3" t="s">
        <v>298</v>
      </c>
      <c r="C176" s="5"/>
      <c r="D176" s="4" t="s">
        <v>86</v>
      </c>
      <c r="E176" s="5"/>
      <c r="F176" s="5"/>
      <c r="G176" s="5"/>
      <c r="H176" s="5" t="s">
        <v>581</v>
      </c>
      <c r="I176" s="5"/>
      <c r="J176" s="5"/>
      <c r="K176" s="5"/>
      <c r="L176" s="5"/>
      <c r="M176" s="5"/>
      <c r="N176" s="5"/>
      <c r="O176" s="5"/>
      <c r="P176" s="45" t="s">
        <v>577</v>
      </c>
      <c r="Q176" s="5" t="s">
        <v>352</v>
      </c>
      <c r="R176" s="5"/>
      <c r="S176" s="5"/>
      <c r="T176" s="5"/>
      <c r="U176" s="5">
        <v>12</v>
      </c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 t="str">
        <f>Tabela1[[#This Row],[Indeks]]</f>
        <v>DRWS-12-1</v>
      </c>
    </row>
    <row r="177" spans="1:33" ht="26.25">
      <c r="A177" s="16" t="s">
        <v>299</v>
      </c>
      <c r="B177" s="3" t="s">
        <v>300</v>
      </c>
      <c r="C177" s="5"/>
      <c r="D177" s="4" t="s">
        <v>86</v>
      </c>
      <c r="E177" s="5"/>
      <c r="F177" s="5"/>
      <c r="G177" s="5"/>
      <c r="H177" s="5" t="s">
        <v>581</v>
      </c>
      <c r="I177" s="5"/>
      <c r="J177" s="5"/>
      <c r="K177" s="5"/>
      <c r="L177" s="5"/>
      <c r="M177" s="5"/>
      <c r="N177" s="5"/>
      <c r="O177" s="5"/>
      <c r="P177" s="45" t="s">
        <v>577</v>
      </c>
      <c r="Q177" s="5" t="s">
        <v>352</v>
      </c>
      <c r="R177" s="5"/>
      <c r="S177" s="5"/>
      <c r="T177" s="5"/>
      <c r="U177" s="5">
        <v>16</v>
      </c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 t="str">
        <f>Tabela1[[#This Row],[Indeks]]</f>
        <v>DRWS-16-1</v>
      </c>
    </row>
    <row r="178" spans="1:33" ht="26.25">
      <c r="A178" s="16" t="s">
        <v>301</v>
      </c>
      <c r="B178" s="3" t="s">
        <v>302</v>
      </c>
      <c r="C178" s="5"/>
      <c r="D178" s="4" t="s">
        <v>86</v>
      </c>
      <c r="E178" s="5"/>
      <c r="F178" s="5"/>
      <c r="G178" s="5"/>
      <c r="H178" s="5" t="s">
        <v>581</v>
      </c>
      <c r="I178" s="5"/>
      <c r="J178" s="5"/>
      <c r="K178" s="5"/>
      <c r="L178" s="5"/>
      <c r="M178" s="5"/>
      <c r="N178" s="5"/>
      <c r="O178" s="5"/>
      <c r="P178" s="45" t="s">
        <v>577</v>
      </c>
      <c r="Q178" s="5" t="s">
        <v>352</v>
      </c>
      <c r="R178" s="5"/>
      <c r="S178" s="5"/>
      <c r="T178" s="5"/>
      <c r="U178" s="5">
        <v>18</v>
      </c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 t="str">
        <f>Tabela1[[#This Row],[Indeks]]</f>
        <v>DRWS-18-1</v>
      </c>
    </row>
    <row r="179" spans="1:33" ht="26.25">
      <c r="A179" s="16" t="s">
        <v>303</v>
      </c>
      <c r="B179" s="3" t="s">
        <v>304</v>
      </c>
      <c r="C179" s="5"/>
      <c r="D179" s="4" t="s">
        <v>86</v>
      </c>
      <c r="E179" s="5"/>
      <c r="F179" s="5"/>
      <c r="G179" s="5"/>
      <c r="H179" s="5" t="s">
        <v>581</v>
      </c>
      <c r="I179" s="5"/>
      <c r="J179" s="5"/>
      <c r="K179" s="5"/>
      <c r="L179" s="5"/>
      <c r="M179" s="5"/>
      <c r="N179" s="5"/>
      <c r="O179" s="5"/>
      <c r="P179" s="45" t="s">
        <v>577</v>
      </c>
      <c r="Q179" s="5" t="s">
        <v>352</v>
      </c>
      <c r="R179" s="5"/>
      <c r="S179" s="5"/>
      <c r="T179" s="5"/>
      <c r="U179" s="5">
        <v>22</v>
      </c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 t="str">
        <f>Tabela1[[#This Row],[Indeks]]</f>
        <v>DRWS-22-1</v>
      </c>
    </row>
    <row r="180" spans="1:33" ht="26.25">
      <c r="A180" s="16" t="s">
        <v>305</v>
      </c>
      <c r="B180" s="3" t="s">
        <v>306</v>
      </c>
      <c r="C180" s="5"/>
      <c r="D180" s="4" t="s">
        <v>86</v>
      </c>
      <c r="E180" s="5"/>
      <c r="F180" s="5"/>
      <c r="G180" s="5"/>
      <c r="H180" s="5" t="s">
        <v>581</v>
      </c>
      <c r="I180" s="5"/>
      <c r="J180" s="5"/>
      <c r="K180" s="5"/>
      <c r="L180" s="5"/>
      <c r="M180" s="5"/>
      <c r="N180" s="5"/>
      <c r="O180" s="5"/>
      <c r="P180" s="45" t="s">
        <v>577</v>
      </c>
      <c r="Q180" s="5" t="s">
        <v>352</v>
      </c>
      <c r="R180" s="5"/>
      <c r="S180" s="5"/>
      <c r="T180" s="5"/>
      <c r="U180" s="5">
        <v>25</v>
      </c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 t="str">
        <f>Tabela1[[#This Row],[Indeks]]</f>
        <v>DRWS-25-1</v>
      </c>
    </row>
    <row r="181" spans="1:33" ht="26.25">
      <c r="A181" s="16" t="s">
        <v>307</v>
      </c>
      <c r="B181" s="3" t="s">
        <v>308</v>
      </c>
      <c r="C181" s="5"/>
      <c r="D181" s="4" t="s">
        <v>86</v>
      </c>
      <c r="E181" s="5"/>
      <c r="F181" s="5"/>
      <c r="G181" s="5"/>
      <c r="H181" s="5" t="s">
        <v>581</v>
      </c>
      <c r="I181" s="5"/>
      <c r="J181" s="5"/>
      <c r="K181" s="5"/>
      <c r="L181" s="5"/>
      <c r="M181" s="5"/>
      <c r="N181" s="5"/>
      <c r="O181" s="5"/>
      <c r="P181" s="45" t="s">
        <v>577</v>
      </c>
      <c r="Q181" s="5" t="s">
        <v>352</v>
      </c>
      <c r="R181" s="5"/>
      <c r="S181" s="5"/>
      <c r="T181" s="5"/>
      <c r="U181" s="5">
        <v>28</v>
      </c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 t="str">
        <f>Tabela1[[#This Row],[Indeks]]</f>
        <v>DRWS-28-1</v>
      </c>
    </row>
    <row r="182" spans="1:33" ht="26.25">
      <c r="A182" s="16" t="s">
        <v>309</v>
      </c>
      <c r="B182" s="3" t="s">
        <v>310</v>
      </c>
      <c r="C182" s="5"/>
      <c r="D182" s="4" t="s">
        <v>86</v>
      </c>
      <c r="E182" s="5"/>
      <c r="F182" s="5"/>
      <c r="G182" s="5"/>
      <c r="H182" s="5" t="s">
        <v>581</v>
      </c>
      <c r="I182" s="5"/>
      <c r="J182" s="5"/>
      <c r="K182" s="5"/>
      <c r="L182" s="5"/>
      <c r="M182" s="5"/>
      <c r="N182" s="5"/>
      <c r="O182" s="5"/>
      <c r="P182" s="45" t="s">
        <v>577</v>
      </c>
      <c r="Q182" s="5" t="s">
        <v>352</v>
      </c>
      <c r="R182" s="5"/>
      <c r="S182" s="5"/>
      <c r="T182" s="5"/>
      <c r="U182" s="5">
        <v>38</v>
      </c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 t="str">
        <f>Tabela1[[#This Row],[Indeks]]</f>
        <v>DRWS-38-1</v>
      </c>
    </row>
    <row r="183" spans="1:33" ht="26.25">
      <c r="A183" s="16" t="s">
        <v>311</v>
      </c>
      <c r="B183" s="3" t="s">
        <v>312</v>
      </c>
      <c r="C183" s="5"/>
      <c r="D183" s="4" t="s">
        <v>86</v>
      </c>
      <c r="E183" s="5"/>
      <c r="F183" s="5"/>
      <c r="G183" s="5"/>
      <c r="H183" s="5" t="s">
        <v>581</v>
      </c>
      <c r="I183" s="5"/>
      <c r="J183" s="5"/>
      <c r="K183" s="5"/>
      <c r="L183" s="5"/>
      <c r="M183" s="5"/>
      <c r="N183" s="5"/>
      <c r="O183" s="5"/>
      <c r="P183" s="45" t="s">
        <v>577</v>
      </c>
      <c r="Q183" s="5" t="s">
        <v>352</v>
      </c>
      <c r="R183" s="5"/>
      <c r="S183" s="5"/>
      <c r="T183" s="5"/>
      <c r="U183" s="5">
        <v>8</v>
      </c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 t="str">
        <f>Tabela1[[#This Row],[Indeks]]</f>
        <v>DRWS-08-1</v>
      </c>
    </row>
    <row r="184" spans="1:33">
      <c r="A184" s="10" t="s">
        <v>313</v>
      </c>
      <c r="B184" s="3" t="s">
        <v>314</v>
      </c>
      <c r="C184" s="5" t="s">
        <v>315</v>
      </c>
      <c r="D184" s="4" t="s">
        <v>86</v>
      </c>
      <c r="E184" s="5"/>
      <c r="F184" s="5"/>
      <c r="G184" s="5"/>
      <c r="H184" s="5" t="s">
        <v>586</v>
      </c>
      <c r="I184" s="5"/>
      <c r="J184" s="5"/>
      <c r="K184" s="5"/>
      <c r="L184" s="5"/>
      <c r="M184" s="5"/>
      <c r="N184" s="5"/>
      <c r="O184" s="5" t="s">
        <v>567</v>
      </c>
      <c r="P184" s="5"/>
      <c r="Q184" s="5" t="s">
        <v>352</v>
      </c>
      <c r="R184" s="5"/>
      <c r="S184" s="5"/>
      <c r="T184" s="5"/>
      <c r="U184" s="5">
        <v>3</v>
      </c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 t="str">
        <f>Tabela1[[#This Row],[Indeks]]</f>
        <v>DRSK-E-001</v>
      </c>
    </row>
    <row r="185" spans="1:33">
      <c r="A185" s="10" t="s">
        <v>316</v>
      </c>
      <c r="B185" s="3" t="s">
        <v>317</v>
      </c>
      <c r="C185" s="5" t="s">
        <v>315</v>
      </c>
      <c r="D185" s="4" t="s">
        <v>86</v>
      </c>
      <c r="E185" s="5"/>
      <c r="F185" s="5"/>
      <c r="G185" s="5"/>
      <c r="H185" s="5" t="s">
        <v>586</v>
      </c>
      <c r="I185" s="5"/>
      <c r="J185" s="5"/>
      <c r="K185" s="5"/>
      <c r="L185" s="5"/>
      <c r="M185" s="5"/>
      <c r="N185" s="5"/>
      <c r="O185" s="5" t="s">
        <v>567</v>
      </c>
      <c r="P185" s="5"/>
      <c r="Q185" s="5" t="s">
        <v>352</v>
      </c>
      <c r="R185" s="5"/>
      <c r="S185" s="5"/>
      <c r="T185" s="5"/>
      <c r="U185" s="5">
        <v>5</v>
      </c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 t="str">
        <f>Tabela1[[#This Row],[Indeks]]</f>
        <v>DRSK-E-002</v>
      </c>
    </row>
    <row r="186" spans="1:33">
      <c r="A186" s="10" t="s">
        <v>318</v>
      </c>
      <c r="B186" s="3" t="s">
        <v>319</v>
      </c>
      <c r="C186" s="5" t="s">
        <v>315</v>
      </c>
      <c r="D186" s="4" t="s">
        <v>86</v>
      </c>
      <c r="E186" s="5"/>
      <c r="F186" s="5"/>
      <c r="G186" s="5"/>
      <c r="H186" s="5" t="s">
        <v>586</v>
      </c>
      <c r="I186" s="5"/>
      <c r="J186" s="5"/>
      <c r="K186" s="5"/>
      <c r="L186" s="5"/>
      <c r="M186" s="5"/>
      <c r="N186" s="5"/>
      <c r="O186" s="5" t="s">
        <v>567</v>
      </c>
      <c r="P186" s="5"/>
      <c r="Q186" s="5" t="s">
        <v>352</v>
      </c>
      <c r="R186" s="5"/>
      <c r="S186" s="5"/>
      <c r="T186" s="5"/>
      <c r="U186" s="5">
        <v>8</v>
      </c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 t="str">
        <f>Tabela1[[#This Row],[Indeks]]</f>
        <v>DRSK-E-003</v>
      </c>
    </row>
    <row r="187" spans="1:33">
      <c r="A187" s="10" t="s">
        <v>320</v>
      </c>
      <c r="B187" s="3" t="s">
        <v>321</v>
      </c>
      <c r="C187" s="5" t="s">
        <v>322</v>
      </c>
      <c r="D187" s="4" t="s">
        <v>86</v>
      </c>
      <c r="E187" s="5"/>
      <c r="F187" s="5"/>
      <c r="G187" s="5"/>
      <c r="H187" s="5" t="s">
        <v>586</v>
      </c>
      <c r="I187" s="5"/>
      <c r="J187" s="5"/>
      <c r="K187" s="5"/>
      <c r="L187" s="5"/>
      <c r="M187" s="5"/>
      <c r="N187" s="5"/>
      <c r="O187" s="5" t="s">
        <v>567</v>
      </c>
      <c r="P187" s="5"/>
      <c r="Q187" s="5" t="s">
        <v>352</v>
      </c>
      <c r="R187" s="5"/>
      <c r="S187" s="5"/>
      <c r="T187" s="5"/>
      <c r="U187" s="5">
        <v>3</v>
      </c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 t="str">
        <f>Tabela1[[#This Row],[Indeks]]</f>
        <v>DRSK-E-004</v>
      </c>
    </row>
    <row r="188" spans="1:33">
      <c r="A188" s="10" t="s">
        <v>323</v>
      </c>
      <c r="B188" s="3" t="s">
        <v>324</v>
      </c>
      <c r="C188" s="5" t="s">
        <v>322</v>
      </c>
      <c r="D188" s="4" t="s">
        <v>86</v>
      </c>
      <c r="E188" s="5"/>
      <c r="F188" s="5"/>
      <c r="G188" s="5"/>
      <c r="H188" s="5" t="s">
        <v>586</v>
      </c>
      <c r="I188" s="5"/>
      <c r="J188" s="5"/>
      <c r="K188" s="5"/>
      <c r="L188" s="5"/>
      <c r="M188" s="5"/>
      <c r="N188" s="5"/>
      <c r="O188" s="5" t="s">
        <v>567</v>
      </c>
      <c r="P188" s="5"/>
      <c r="Q188" s="5" t="s">
        <v>352</v>
      </c>
      <c r="R188" s="5"/>
      <c r="S188" s="5"/>
      <c r="T188" s="5"/>
      <c r="U188" s="5">
        <v>5</v>
      </c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 t="str">
        <f>Tabela1[[#This Row],[Indeks]]</f>
        <v>DRSK-E-005</v>
      </c>
    </row>
    <row r="189" spans="1:33">
      <c r="A189" s="10" t="s">
        <v>325</v>
      </c>
      <c r="B189" s="3" t="s">
        <v>326</v>
      </c>
      <c r="C189" s="5" t="s">
        <v>322</v>
      </c>
      <c r="D189" s="4" t="s">
        <v>86</v>
      </c>
      <c r="E189" s="5"/>
      <c r="F189" s="5"/>
      <c r="G189" s="5"/>
      <c r="H189" s="5" t="s">
        <v>586</v>
      </c>
      <c r="I189" s="5"/>
      <c r="J189" s="5"/>
      <c r="K189" s="5"/>
      <c r="L189" s="5"/>
      <c r="M189" s="5"/>
      <c r="N189" s="5"/>
      <c r="O189" s="5" t="s">
        <v>567</v>
      </c>
      <c r="P189" s="5"/>
      <c r="Q189" s="5" t="s">
        <v>352</v>
      </c>
      <c r="R189" s="5"/>
      <c r="S189" s="5"/>
      <c r="T189" s="5"/>
      <c r="U189" s="5">
        <v>8</v>
      </c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 t="str">
        <f>Tabela1[[#This Row],[Indeks]]</f>
        <v>DRSK-E-006</v>
      </c>
    </row>
    <row r="190" spans="1:33">
      <c r="A190" s="2" t="s">
        <v>327</v>
      </c>
      <c r="B190" s="3" t="s">
        <v>328</v>
      </c>
      <c r="C190" s="3"/>
      <c r="D190" s="4" t="s">
        <v>86</v>
      </c>
      <c r="E190" s="5"/>
      <c r="F190" s="5"/>
      <c r="G190" s="5"/>
      <c r="H190" s="5"/>
      <c r="I190" s="5"/>
      <c r="J190" s="5"/>
      <c r="K190" s="5"/>
      <c r="L190" s="5"/>
      <c r="M190" s="5"/>
      <c r="N190" s="5" t="s">
        <v>603</v>
      </c>
      <c r="O190" s="5"/>
      <c r="P190" s="5"/>
      <c r="Q190" s="5"/>
      <c r="R190" s="5"/>
      <c r="S190" s="5"/>
      <c r="T190" s="5"/>
      <c r="U190" s="5">
        <v>2</v>
      </c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 t="str">
        <f>Tabela1[[#This Row],[Indeks]]</f>
        <v>POMATELI-ST-2-700-1000</v>
      </c>
    </row>
    <row r="191" spans="1:33">
      <c r="A191" s="10" t="s">
        <v>329</v>
      </c>
      <c r="B191" s="9" t="s">
        <v>330</v>
      </c>
      <c r="C191" s="5"/>
      <c r="D191" s="4" t="s">
        <v>69</v>
      </c>
      <c r="E191" s="11" t="s">
        <v>70</v>
      </c>
      <c r="F191" s="7"/>
      <c r="G191" s="5"/>
      <c r="H191" s="5" t="s">
        <v>583</v>
      </c>
      <c r="I191" s="5"/>
      <c r="J191" s="5"/>
      <c r="K191" s="5"/>
      <c r="L191" s="5"/>
      <c r="M191" s="5" t="s">
        <v>575</v>
      </c>
      <c r="N191" s="5"/>
      <c r="O191" s="5" t="s">
        <v>590</v>
      </c>
      <c r="P191" s="5" t="s">
        <v>592</v>
      </c>
      <c r="Q191" s="5"/>
      <c r="R191" s="14"/>
      <c r="S191" s="5" t="s">
        <v>547</v>
      </c>
      <c r="T191" s="5" t="s">
        <v>595</v>
      </c>
      <c r="U191" s="5">
        <v>1</v>
      </c>
      <c r="V191" s="173"/>
      <c r="W191" s="173"/>
      <c r="X191" s="173"/>
      <c r="Y191" s="173" t="s">
        <v>918</v>
      </c>
      <c r="Z191" s="173"/>
      <c r="AA191" s="173"/>
      <c r="AB191" s="173"/>
      <c r="AC191" s="173"/>
      <c r="AD191" s="173"/>
      <c r="AE191" s="173"/>
      <c r="AF191" s="173"/>
      <c r="AG191" s="173" t="str">
        <f>Tabela1[[#This Row],[Indeks]]</f>
        <v>PŁVKBBF-1,0X0,5</v>
      </c>
    </row>
    <row r="192" spans="1:33">
      <c r="A192" s="10" t="s">
        <v>331</v>
      </c>
      <c r="B192" s="9" t="s">
        <v>1294</v>
      </c>
      <c r="C192" s="5"/>
      <c r="D192" s="4" t="s">
        <v>349</v>
      </c>
      <c r="E192" s="15" t="s">
        <v>232</v>
      </c>
      <c r="F192" s="7"/>
      <c r="G192" s="5"/>
      <c r="H192" s="5" t="s">
        <v>584</v>
      </c>
      <c r="I192" s="5"/>
      <c r="J192" s="5"/>
      <c r="K192" s="5" t="s">
        <v>544</v>
      </c>
      <c r="L192" s="5"/>
      <c r="M192" s="5" t="s">
        <v>232</v>
      </c>
      <c r="N192" s="5" t="s">
        <v>141</v>
      </c>
      <c r="O192" s="5" t="s">
        <v>591</v>
      </c>
      <c r="P192" s="5" t="s">
        <v>591</v>
      </c>
      <c r="Q192" s="5" t="s">
        <v>933</v>
      </c>
      <c r="R192" s="5"/>
      <c r="S192" s="5" t="s">
        <v>591</v>
      </c>
      <c r="T192" s="5" t="s">
        <v>597</v>
      </c>
      <c r="U192" s="5">
        <v>5</v>
      </c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 t="str">
        <f>Tabela1[[#This Row],[Indeks]]</f>
        <v>PŁPLOP-5,02,05X3,05</v>
      </c>
    </row>
    <row r="193" spans="1:33">
      <c r="A193" s="10" t="s">
        <v>332</v>
      </c>
      <c r="B193" s="9" t="s">
        <v>1295</v>
      </c>
      <c r="C193" s="5"/>
      <c r="D193" s="4" t="s">
        <v>349</v>
      </c>
      <c r="E193" s="15" t="s">
        <v>232</v>
      </c>
      <c r="F193" s="7"/>
      <c r="G193" s="5"/>
      <c r="H193" s="5" t="s">
        <v>584</v>
      </c>
      <c r="I193" s="5"/>
      <c r="J193" s="5"/>
      <c r="K193" s="5" t="s">
        <v>544</v>
      </c>
      <c r="L193" s="5"/>
      <c r="M193" s="5" t="s">
        <v>232</v>
      </c>
      <c r="N193" s="5" t="s">
        <v>141</v>
      </c>
      <c r="O193" s="5" t="s">
        <v>591</v>
      </c>
      <c r="P193" s="5" t="s">
        <v>591</v>
      </c>
      <c r="Q193" s="5" t="s">
        <v>933</v>
      </c>
      <c r="R193" s="5"/>
      <c r="S193" s="5" t="s">
        <v>591</v>
      </c>
      <c r="T193" s="5" t="s">
        <v>597</v>
      </c>
      <c r="U193" s="5">
        <v>3</v>
      </c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 t="str">
        <f>Tabela1[[#This Row],[Indeks]]</f>
        <v>PŁPLBI-3,02,03X3,05</v>
      </c>
    </row>
    <row r="194" spans="1:33">
      <c r="A194" s="10" t="s">
        <v>333</v>
      </c>
      <c r="B194" s="9" t="s">
        <v>1296</v>
      </c>
      <c r="C194" s="5"/>
      <c r="D194" s="4" t="s">
        <v>349</v>
      </c>
      <c r="E194" s="15" t="s">
        <v>232</v>
      </c>
      <c r="F194" s="7"/>
      <c r="G194" s="5"/>
      <c r="H194" s="5" t="s">
        <v>584</v>
      </c>
      <c r="I194" s="5"/>
      <c r="J194" s="5"/>
      <c r="K194" s="5" t="s">
        <v>544</v>
      </c>
      <c r="L194" s="5"/>
      <c r="M194" s="5" t="s">
        <v>232</v>
      </c>
      <c r="N194" s="5" t="s">
        <v>141</v>
      </c>
      <c r="O194" s="5" t="s">
        <v>591</v>
      </c>
      <c r="P194" s="5" t="s">
        <v>591</v>
      </c>
      <c r="Q194" s="5" t="s">
        <v>933</v>
      </c>
      <c r="R194" s="5"/>
      <c r="S194" s="5" t="s">
        <v>591</v>
      </c>
      <c r="T194" s="5" t="s">
        <v>597</v>
      </c>
      <c r="U194" s="5">
        <v>5</v>
      </c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 t="str">
        <f>Tabela1[[#This Row],[Indeks]]</f>
        <v>PŁPLBI-5,02,03X3,05</v>
      </c>
    </row>
    <row r="195" spans="1:33">
      <c r="A195" s="10" t="s">
        <v>334</v>
      </c>
      <c r="B195" s="9" t="s">
        <v>1297</v>
      </c>
      <c r="C195" s="5"/>
      <c r="D195" s="4" t="s">
        <v>349</v>
      </c>
      <c r="E195" s="15" t="s">
        <v>232</v>
      </c>
      <c r="F195" s="7"/>
      <c r="G195" s="5"/>
      <c r="H195" s="5" t="s">
        <v>584</v>
      </c>
      <c r="I195" s="5"/>
      <c r="J195" s="5"/>
      <c r="K195" s="5" t="s">
        <v>544</v>
      </c>
      <c r="L195" s="5"/>
      <c r="M195" s="5" t="s">
        <v>232</v>
      </c>
      <c r="N195" s="5" t="s">
        <v>141</v>
      </c>
      <c r="O195" s="5" t="s">
        <v>591</v>
      </c>
      <c r="P195" s="5" t="s">
        <v>591</v>
      </c>
      <c r="Q195" s="5" t="s">
        <v>933</v>
      </c>
      <c r="R195" s="5"/>
      <c r="S195" s="5" t="s">
        <v>591</v>
      </c>
      <c r="T195" s="5" t="s">
        <v>597</v>
      </c>
      <c r="U195" s="5">
        <v>10</v>
      </c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73" t="str">
        <f>Tabela1[[#This Row],[Indeks]]</f>
        <v>PŁPLBI-10,02,03X3,05</v>
      </c>
    </row>
    <row r="196" spans="1:33">
      <c r="A196" s="10" t="s">
        <v>335</v>
      </c>
      <c r="B196" s="9" t="s">
        <v>1298</v>
      </c>
      <c r="C196" s="5"/>
      <c r="D196" s="4" t="s">
        <v>349</v>
      </c>
      <c r="E196" s="15" t="s">
        <v>232</v>
      </c>
      <c r="F196" s="7"/>
      <c r="G196" s="5"/>
      <c r="H196" s="5" t="s">
        <v>584</v>
      </c>
      <c r="I196" s="5"/>
      <c r="J196" s="5"/>
      <c r="K196" s="5" t="s">
        <v>544</v>
      </c>
      <c r="L196" s="5"/>
      <c r="M196" s="5" t="s">
        <v>232</v>
      </c>
      <c r="N196" s="5" t="s">
        <v>141</v>
      </c>
      <c r="O196" s="5" t="s">
        <v>591</v>
      </c>
      <c r="P196" s="5" t="s">
        <v>591</v>
      </c>
      <c r="Q196" s="5" t="s">
        <v>933</v>
      </c>
      <c r="R196" s="14" t="s">
        <v>141</v>
      </c>
      <c r="S196" s="5" t="s">
        <v>591</v>
      </c>
      <c r="T196" s="5" t="s">
        <v>597</v>
      </c>
      <c r="U196" s="5">
        <v>2</v>
      </c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 t="str">
        <f>Tabela1[[#This Row],[Indeks]]</f>
        <v>PŁPLCA-2,02,05X3,05</v>
      </c>
    </row>
    <row r="197" spans="1:33">
      <c r="A197" s="10" t="s">
        <v>335</v>
      </c>
      <c r="B197" s="9" t="s">
        <v>1298</v>
      </c>
      <c r="C197" s="5"/>
      <c r="D197" s="4" t="s">
        <v>349</v>
      </c>
      <c r="E197" s="15" t="s">
        <v>232</v>
      </c>
      <c r="F197" s="7"/>
      <c r="G197" s="5"/>
      <c r="H197" s="5" t="s">
        <v>584</v>
      </c>
      <c r="I197" s="5"/>
      <c r="J197" s="5"/>
      <c r="K197" s="5" t="s">
        <v>544</v>
      </c>
      <c r="L197" s="5"/>
      <c r="M197" s="5" t="s">
        <v>232</v>
      </c>
      <c r="N197" s="5" t="s">
        <v>141</v>
      </c>
      <c r="O197" s="5" t="s">
        <v>591</v>
      </c>
      <c r="P197" s="5" t="s">
        <v>591</v>
      </c>
      <c r="Q197" s="5" t="s">
        <v>933</v>
      </c>
      <c r="R197" s="14" t="s">
        <v>141</v>
      </c>
      <c r="S197" s="5" t="s">
        <v>591</v>
      </c>
      <c r="T197" s="5" t="s">
        <v>597</v>
      </c>
      <c r="U197" s="5">
        <v>2</v>
      </c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73" t="str">
        <f>Tabela1[[#This Row],[Indeks]]</f>
        <v>PŁPLCA-2,02,05X3,05</v>
      </c>
    </row>
    <row r="198" spans="1:33">
      <c r="A198" s="17" t="s">
        <v>336</v>
      </c>
      <c r="B198" s="9" t="s">
        <v>1299</v>
      </c>
      <c r="C198" s="5"/>
      <c r="D198" s="4" t="s">
        <v>349</v>
      </c>
      <c r="E198" s="15" t="s">
        <v>232</v>
      </c>
      <c r="F198" s="7"/>
      <c r="G198" s="5"/>
      <c r="H198" s="5" t="s">
        <v>584</v>
      </c>
      <c r="I198" s="5"/>
      <c r="J198" s="5"/>
      <c r="K198" s="5" t="s">
        <v>544</v>
      </c>
      <c r="L198" s="5"/>
      <c r="M198" s="5" t="s">
        <v>232</v>
      </c>
      <c r="N198" s="5" t="s">
        <v>141</v>
      </c>
      <c r="O198" s="5" t="s">
        <v>591</v>
      </c>
      <c r="P198" s="5" t="s">
        <v>591</v>
      </c>
      <c r="Q198" s="5" t="s">
        <v>933</v>
      </c>
      <c r="R198" s="5"/>
      <c r="S198" s="5" t="s">
        <v>591</v>
      </c>
      <c r="T198" s="5" t="s">
        <v>597</v>
      </c>
      <c r="U198" s="5">
        <v>5</v>
      </c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73" t="str">
        <f>Tabela1[[#This Row],[Indeks]]</f>
        <v>PŁPLCA-5,0-2,03X3,05</v>
      </c>
    </row>
    <row r="199" spans="1:33">
      <c r="A199" s="17" t="s">
        <v>337</v>
      </c>
      <c r="B199" s="9" t="s">
        <v>1300</v>
      </c>
      <c r="C199" s="5"/>
      <c r="D199" s="4" t="s">
        <v>349</v>
      </c>
      <c r="E199" s="15" t="s">
        <v>232</v>
      </c>
      <c r="F199" s="7"/>
      <c r="G199" s="5"/>
      <c r="H199" s="5" t="s">
        <v>584</v>
      </c>
      <c r="I199" s="5"/>
      <c r="J199" s="5"/>
      <c r="K199" s="5" t="s">
        <v>544</v>
      </c>
      <c r="L199" s="5"/>
      <c r="M199" s="5" t="s">
        <v>232</v>
      </c>
      <c r="N199" s="5" t="s">
        <v>141</v>
      </c>
      <c r="O199" s="5" t="s">
        <v>591</v>
      </c>
      <c r="P199" s="5" t="s">
        <v>591</v>
      </c>
      <c r="Q199" s="5" t="s">
        <v>933</v>
      </c>
      <c r="R199" s="14" t="s">
        <v>141</v>
      </c>
      <c r="S199" s="5" t="s">
        <v>591</v>
      </c>
      <c r="T199" s="5" t="s">
        <v>597</v>
      </c>
      <c r="U199" s="5">
        <v>2</v>
      </c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 t="str">
        <f>Tabela1[[#This Row],[Indeks]]</f>
        <v>PŁPLLS-2,02,05X3,05</v>
      </c>
    </row>
    <row r="200" spans="1:33">
      <c r="A200" s="17" t="s">
        <v>338</v>
      </c>
      <c r="B200" s="9" t="s">
        <v>1301</v>
      </c>
      <c r="C200" s="5"/>
      <c r="D200" s="18" t="s">
        <v>350</v>
      </c>
      <c r="E200" s="15" t="s">
        <v>232</v>
      </c>
      <c r="F200" s="7"/>
      <c r="G200" s="5"/>
      <c r="H200" s="5" t="s">
        <v>584</v>
      </c>
      <c r="I200" s="5"/>
      <c r="J200" s="5"/>
      <c r="K200" s="5" t="s">
        <v>544</v>
      </c>
      <c r="L200" s="5"/>
      <c r="M200" s="5" t="s">
        <v>232</v>
      </c>
      <c r="N200" s="5" t="s">
        <v>141</v>
      </c>
      <c r="O200" s="5" t="s">
        <v>591</v>
      </c>
      <c r="P200" s="5" t="s">
        <v>591</v>
      </c>
      <c r="Q200" s="5" t="s">
        <v>933</v>
      </c>
      <c r="R200" s="5"/>
      <c r="S200" s="5" t="s">
        <v>591</v>
      </c>
      <c r="T200" s="5" t="s">
        <v>597</v>
      </c>
      <c r="U200" s="5">
        <v>3</v>
      </c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73" t="str">
        <f>Tabela1[[#This Row],[Indeks]]</f>
        <v>PŁPLLS-3,02,05X3,05</v>
      </c>
    </row>
    <row r="201" spans="1:33">
      <c r="A201" s="17" t="s">
        <v>339</v>
      </c>
      <c r="B201" s="9" t="s">
        <v>1302</v>
      </c>
      <c r="C201" s="5"/>
      <c r="D201" s="18" t="s">
        <v>350</v>
      </c>
      <c r="E201" s="15" t="s">
        <v>232</v>
      </c>
      <c r="F201" s="7"/>
      <c r="G201" s="5"/>
      <c r="H201" s="5" t="s">
        <v>584</v>
      </c>
      <c r="I201" s="5"/>
      <c r="J201" s="5"/>
      <c r="K201" s="5" t="s">
        <v>544</v>
      </c>
      <c r="L201" s="5"/>
      <c r="M201" s="5" t="s">
        <v>232</v>
      </c>
      <c r="N201" s="5" t="s">
        <v>141</v>
      </c>
      <c r="O201" s="5" t="s">
        <v>591</v>
      </c>
      <c r="P201" s="5" t="s">
        <v>591</v>
      </c>
      <c r="Q201" s="5" t="s">
        <v>933</v>
      </c>
      <c r="R201" s="5"/>
      <c r="S201" s="5" t="s">
        <v>591</v>
      </c>
      <c r="T201" s="5" t="s">
        <v>597</v>
      </c>
      <c r="U201" s="5">
        <v>3</v>
      </c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73" t="str">
        <f>Tabela1[[#This Row],[Indeks]]</f>
        <v>PŁPLLZ-3,02,05X3,05</v>
      </c>
    </row>
    <row r="202" spans="1:33">
      <c r="A202" s="17" t="s">
        <v>341</v>
      </c>
      <c r="B202" s="14" t="s">
        <v>341</v>
      </c>
      <c r="C202" s="5"/>
      <c r="D202" s="18" t="s">
        <v>69</v>
      </c>
      <c r="E202" s="15" t="s">
        <v>152</v>
      </c>
      <c r="F202" s="7"/>
      <c r="G202" s="5"/>
      <c r="H202" s="5" t="s">
        <v>582</v>
      </c>
      <c r="I202" s="5"/>
      <c r="J202" s="5"/>
      <c r="K202" s="5"/>
      <c r="L202" s="5"/>
      <c r="M202" s="5" t="s">
        <v>152</v>
      </c>
      <c r="N202" s="5"/>
      <c r="O202" s="5" t="s">
        <v>152</v>
      </c>
      <c r="P202" s="5" t="s">
        <v>152</v>
      </c>
      <c r="Q202" s="5"/>
      <c r="R202" s="5"/>
      <c r="S202" s="5" t="s">
        <v>594</v>
      </c>
      <c r="T202" s="5" t="s">
        <v>152</v>
      </c>
      <c r="U202" s="5">
        <v>1</v>
      </c>
      <c r="V202" s="173"/>
      <c r="W202" s="173"/>
      <c r="X202" s="173"/>
      <c r="Y202" s="173" t="s">
        <v>918</v>
      </c>
      <c r="Z202" s="173"/>
      <c r="AA202" s="173"/>
      <c r="AB202" s="173"/>
      <c r="AC202" s="173"/>
      <c r="AD202" s="173"/>
      <c r="AE202" s="173"/>
      <c r="AF202" s="173"/>
      <c r="AG202" s="173" t="str">
        <f>Tabela1[[#This Row],[Indeks]]</f>
        <v>Folia hips czarny 1,0x500</v>
      </c>
    </row>
    <row r="203" spans="1:33">
      <c r="A203" s="17" t="s">
        <v>342</v>
      </c>
      <c r="B203" s="14" t="s">
        <v>343</v>
      </c>
      <c r="C203" s="5"/>
      <c r="D203" s="18" t="s">
        <v>69</v>
      </c>
      <c r="E203" s="15" t="s">
        <v>152</v>
      </c>
      <c r="F203" s="7"/>
      <c r="G203" s="5"/>
      <c r="H203" s="5" t="s">
        <v>582</v>
      </c>
      <c r="I203" s="5"/>
      <c r="J203" s="5"/>
      <c r="K203" s="5"/>
      <c r="L203" s="5"/>
      <c r="M203" s="5" t="s">
        <v>152</v>
      </c>
      <c r="N203" s="5"/>
      <c r="O203" s="5" t="s">
        <v>152</v>
      </c>
      <c r="P203" s="5" t="s">
        <v>152</v>
      </c>
      <c r="Q203" s="5"/>
      <c r="R203" s="5"/>
      <c r="S203" s="5" t="s">
        <v>594</v>
      </c>
      <c r="T203" s="5" t="s">
        <v>152</v>
      </c>
      <c r="U203" s="5">
        <v>1.5</v>
      </c>
      <c r="V203" s="173"/>
      <c r="W203" s="173"/>
      <c r="X203" s="173"/>
      <c r="Y203" s="173" t="s">
        <v>918</v>
      </c>
      <c r="Z203" s="173"/>
      <c r="AA203" s="173"/>
      <c r="AB203" s="173"/>
      <c r="AC203" s="173"/>
      <c r="AD203" s="173"/>
      <c r="AE203" s="173"/>
      <c r="AF203" s="173"/>
      <c r="AG203" s="173" t="str">
        <f>Tabela1[[#This Row],[Indeks]]</f>
        <v>PŁHIFCA-1,5X700</v>
      </c>
    </row>
    <row r="204" spans="1:33">
      <c r="A204" s="17" t="s">
        <v>344</v>
      </c>
      <c r="B204" s="14" t="s">
        <v>344</v>
      </c>
      <c r="C204" s="5"/>
      <c r="D204" s="18" t="s">
        <v>69</v>
      </c>
      <c r="E204" s="15" t="s">
        <v>152</v>
      </c>
      <c r="F204" s="7"/>
      <c r="G204" s="5"/>
      <c r="H204" s="5" t="s">
        <v>582</v>
      </c>
      <c r="I204" s="5"/>
      <c r="J204" s="5"/>
      <c r="K204" s="5"/>
      <c r="L204" s="5"/>
      <c r="M204" s="5" t="s">
        <v>152</v>
      </c>
      <c r="N204" s="5"/>
      <c r="O204" s="5" t="s">
        <v>152</v>
      </c>
      <c r="P204" s="5" t="s">
        <v>152</v>
      </c>
      <c r="Q204" s="5"/>
      <c r="R204" s="5"/>
      <c r="S204" s="5" t="s">
        <v>594</v>
      </c>
      <c r="T204" s="5" t="s">
        <v>152</v>
      </c>
      <c r="U204" s="5">
        <v>1.5</v>
      </c>
      <c r="V204" s="173"/>
      <c r="W204" s="173"/>
      <c r="X204" s="173"/>
      <c r="Y204" s="173" t="s">
        <v>918</v>
      </c>
      <c r="Z204" s="173"/>
      <c r="AA204" s="173"/>
      <c r="AB204" s="173"/>
      <c r="AC204" s="173"/>
      <c r="AD204" s="173"/>
      <c r="AE204" s="173"/>
      <c r="AF204" s="173"/>
      <c r="AG204" s="173" t="str">
        <f>Tabela1[[#This Row],[Indeks]]</f>
        <v>Folia hips czarny 1,5x500</v>
      </c>
    </row>
    <row r="205" spans="1:33">
      <c r="A205" s="19" t="s">
        <v>345</v>
      </c>
      <c r="B205" s="3" t="s">
        <v>346</v>
      </c>
      <c r="C205" s="20"/>
      <c r="D205" s="18" t="s">
        <v>340</v>
      </c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>
        <v>0.6</v>
      </c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73" t="str">
        <f>Tabela1[[#This Row],[Indeks]]</f>
        <v xml:space="preserve">MAFOBI-0,6X0,61 </v>
      </c>
    </row>
    <row r="206" spans="1:33">
      <c r="A206" s="17" t="s">
        <v>347</v>
      </c>
      <c r="B206" s="3" t="s">
        <v>348</v>
      </c>
      <c r="C206" s="20"/>
      <c r="D206" s="18" t="s">
        <v>340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>
        <v>0.6</v>
      </c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73" t="str">
        <f>Tabela1[[#This Row],[Indeks]]</f>
        <v xml:space="preserve">MAFOBR-0,6X0,62 </v>
      </c>
    </row>
    <row r="207" spans="1:33">
      <c r="A207" s="17" t="s">
        <v>963</v>
      </c>
      <c r="B207" t="s">
        <v>964</v>
      </c>
      <c r="D207" s="18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>
        <v>3</v>
      </c>
      <c r="V207" s="5"/>
      <c r="W207" s="5"/>
      <c r="X207" s="5"/>
      <c r="Y207" s="5"/>
      <c r="Z207" s="5"/>
      <c r="AA207" s="173" t="s">
        <v>988</v>
      </c>
      <c r="AB207" s="173"/>
      <c r="AC207" s="173"/>
      <c r="AD207" s="173" t="s">
        <v>1158</v>
      </c>
      <c r="AE207" s="173">
        <v>2000</v>
      </c>
      <c r="AF207" s="173">
        <v>1000</v>
      </c>
      <c r="AG207" s="173" t="str">
        <f>Tabela1[[#This Row],[Indeks]]</f>
        <v>BLSTGW3-001</v>
      </c>
    </row>
    <row r="208" spans="1:33">
      <c r="A208" s="17" t="s">
        <v>965</v>
      </c>
      <c r="B208" t="s">
        <v>966</v>
      </c>
      <c r="D208" s="18"/>
      <c r="G208" s="5"/>
      <c r="H208" s="5"/>
      <c r="I208" s="5"/>
      <c r="J208" s="173"/>
      <c r="K208" s="173"/>
      <c r="L208" s="173"/>
      <c r="M208" s="5"/>
      <c r="N208" s="5"/>
      <c r="O208" s="5"/>
      <c r="P208" s="5"/>
      <c r="Q208" s="5"/>
      <c r="R208" s="5"/>
      <c r="S208" s="5"/>
      <c r="T208" s="5"/>
      <c r="U208" s="5">
        <v>1.2</v>
      </c>
      <c r="V208" s="173"/>
      <c r="W208" s="173"/>
      <c r="X208" s="173"/>
      <c r="Y208" s="173"/>
      <c r="Z208" s="173"/>
      <c r="AA208" s="173" t="s">
        <v>988</v>
      </c>
      <c r="AB208" s="173"/>
      <c r="AC208" s="173"/>
      <c r="AD208" s="173" t="s">
        <v>1158</v>
      </c>
      <c r="AE208" s="173">
        <v>2000</v>
      </c>
      <c r="AF208" s="173">
        <v>1000</v>
      </c>
      <c r="AG208" s="173" t="str">
        <f>Tabela1[[#This Row],[Indeks]]</f>
        <v>BLST-ZW-1,2x1x2</v>
      </c>
    </row>
    <row r="209" spans="1:33">
      <c r="A209" s="17" t="s">
        <v>967</v>
      </c>
      <c r="B209" t="s">
        <v>968</v>
      </c>
      <c r="D209" s="18"/>
      <c r="G209" s="5"/>
      <c r="H209" s="5"/>
      <c r="I209" s="5"/>
      <c r="J209" s="173"/>
      <c r="K209" s="173"/>
      <c r="L209" s="173"/>
      <c r="M209" s="5"/>
      <c r="N209" s="5"/>
      <c r="O209" s="5"/>
      <c r="P209" s="5"/>
      <c r="Q209" s="5"/>
      <c r="R209" s="5"/>
      <c r="S209" s="5"/>
      <c r="T209" s="5"/>
      <c r="U209" s="5">
        <v>1.2</v>
      </c>
      <c r="V209" s="173"/>
      <c r="W209" s="173"/>
      <c r="X209" s="173"/>
      <c r="Y209" s="173"/>
      <c r="Z209" s="173"/>
      <c r="AA209" s="173" t="s">
        <v>988</v>
      </c>
      <c r="AB209" s="173"/>
      <c r="AC209" s="173"/>
      <c r="AD209" s="173" t="s">
        <v>1158</v>
      </c>
      <c r="AE209" s="173">
        <v>2500</v>
      </c>
      <c r="AF209" s="173">
        <v>1250</v>
      </c>
      <c r="AG209" s="173" t="str">
        <f>Tabela1[[#This Row],[Indeks]]</f>
        <v>BLST-ZW-1,2x1,25x2,5</v>
      </c>
    </row>
    <row r="210" spans="1:33">
      <c r="A210" s="17" t="s">
        <v>969</v>
      </c>
      <c r="B210" t="s">
        <v>970</v>
      </c>
      <c r="D210" s="18"/>
      <c r="G210" s="5"/>
      <c r="H210" s="5"/>
      <c r="I210" s="5"/>
      <c r="J210" s="173"/>
      <c r="K210" s="173"/>
      <c r="L210" s="173"/>
      <c r="M210" s="5"/>
      <c r="N210" s="5"/>
      <c r="O210" s="5"/>
      <c r="P210" s="5"/>
      <c r="Q210" s="5"/>
      <c r="R210" s="5"/>
      <c r="S210" s="5"/>
      <c r="T210" s="5"/>
      <c r="U210" s="5">
        <v>1.5</v>
      </c>
      <c r="V210" s="173"/>
      <c r="W210" s="173"/>
      <c r="X210" s="173"/>
      <c r="Y210" s="173"/>
      <c r="Z210" s="173"/>
      <c r="AA210" s="173" t="s">
        <v>988</v>
      </c>
      <c r="AB210" s="173"/>
      <c r="AC210" s="173"/>
      <c r="AD210" s="173" t="s">
        <v>1158</v>
      </c>
      <c r="AE210" s="173">
        <v>2000</v>
      </c>
      <c r="AF210" s="173">
        <v>1000</v>
      </c>
      <c r="AG210" s="173" t="str">
        <f>Tabela1[[#This Row],[Indeks]]</f>
        <v>BLST-ZW-1,5x1x2</v>
      </c>
    </row>
    <row r="211" spans="1:33">
      <c r="A211" s="17" t="s">
        <v>971</v>
      </c>
      <c r="B211" t="s">
        <v>972</v>
      </c>
      <c r="D211" s="18"/>
      <c r="G211" s="5"/>
      <c r="H211" s="5"/>
      <c r="I211" s="5"/>
      <c r="J211" s="173"/>
      <c r="K211" s="173"/>
      <c r="L211" s="173"/>
      <c r="M211" s="5"/>
      <c r="N211" s="5"/>
      <c r="O211" s="5"/>
      <c r="P211" s="5"/>
      <c r="Q211" s="5"/>
      <c r="R211" s="5"/>
      <c r="S211" s="5"/>
      <c r="T211" s="5"/>
      <c r="U211" s="5">
        <v>1.5</v>
      </c>
      <c r="V211" s="173"/>
      <c r="W211" s="173"/>
      <c r="X211" s="173"/>
      <c r="Y211" s="173"/>
      <c r="Z211" s="173"/>
      <c r="AA211" s="173" t="s">
        <v>988</v>
      </c>
      <c r="AB211" s="173"/>
      <c r="AC211" s="173"/>
      <c r="AD211" s="173" t="s">
        <v>1158</v>
      </c>
      <c r="AE211" s="173">
        <v>2500</v>
      </c>
      <c r="AF211" s="173">
        <v>1250</v>
      </c>
      <c r="AG211" s="173" t="str">
        <f>Tabela1[[#This Row],[Indeks]]</f>
        <v>BLST-ZW-1,5x1,25x2,5</v>
      </c>
    </row>
    <row r="212" spans="1:33">
      <c r="A212" s="17" t="s">
        <v>973</v>
      </c>
      <c r="B212" t="s">
        <v>974</v>
      </c>
      <c r="D212" s="18"/>
      <c r="G212" s="5"/>
      <c r="H212" s="5"/>
      <c r="I212" s="5"/>
      <c r="J212" s="173"/>
      <c r="K212" s="173"/>
      <c r="L212" s="173"/>
      <c r="M212" s="5"/>
      <c r="N212" s="5"/>
      <c r="O212" s="5"/>
      <c r="P212" s="5"/>
      <c r="Q212" s="5"/>
      <c r="R212" s="5"/>
      <c r="S212" s="5"/>
      <c r="T212" s="5"/>
      <c r="U212" s="5">
        <v>1</v>
      </c>
      <c r="V212" s="173"/>
      <c r="W212" s="173"/>
      <c r="X212" s="173"/>
      <c r="Y212" s="173"/>
      <c r="Z212" s="173"/>
      <c r="AA212" s="173" t="s">
        <v>988</v>
      </c>
      <c r="AB212" s="173"/>
      <c r="AC212" s="173"/>
      <c r="AD212" s="173" t="s">
        <v>1158</v>
      </c>
      <c r="AE212" s="173">
        <v>2000</v>
      </c>
      <c r="AF212" s="173">
        <v>1000</v>
      </c>
      <c r="AG212" s="173" t="str">
        <f>Tabela1[[#This Row],[Indeks]]</f>
        <v>BLST-ZW-1x1x2</v>
      </c>
    </row>
    <row r="213" spans="1:33">
      <c r="A213" s="17" t="s">
        <v>975</v>
      </c>
      <c r="B213" t="s">
        <v>976</v>
      </c>
      <c r="D213" s="18"/>
      <c r="G213" s="5"/>
      <c r="H213" s="5"/>
      <c r="I213" s="5"/>
      <c r="J213" s="173"/>
      <c r="K213" s="173"/>
      <c r="L213" s="173"/>
      <c r="M213" s="5"/>
      <c r="N213" s="5"/>
      <c r="O213" s="5"/>
      <c r="P213" s="5"/>
      <c r="Q213" s="5"/>
      <c r="R213" s="5"/>
      <c r="S213" s="5"/>
      <c r="T213" s="5"/>
      <c r="U213" s="5">
        <v>1</v>
      </c>
      <c r="V213" s="173"/>
      <c r="W213" s="173"/>
      <c r="X213" s="173"/>
      <c r="Y213" s="173"/>
      <c r="Z213" s="173"/>
      <c r="AA213" s="173" t="s">
        <v>988</v>
      </c>
      <c r="AB213" s="173"/>
      <c r="AC213" s="173"/>
      <c r="AD213" s="173" t="s">
        <v>1158</v>
      </c>
      <c r="AE213" s="173">
        <v>2500</v>
      </c>
      <c r="AF213" s="173">
        <v>1250</v>
      </c>
      <c r="AG213" s="173" t="str">
        <f>Tabela1[[#This Row],[Indeks]]</f>
        <v>BLST-ZW-1x1,25x2,5</v>
      </c>
    </row>
    <row r="214" spans="1:33">
      <c r="A214" s="17" t="s">
        <v>977</v>
      </c>
      <c r="B214" t="s">
        <v>978</v>
      </c>
      <c r="D214" s="18"/>
      <c r="G214" s="5"/>
      <c r="H214" s="5"/>
      <c r="I214" s="5"/>
      <c r="J214" s="173"/>
      <c r="K214" s="173"/>
      <c r="L214" s="173"/>
      <c r="M214" s="5"/>
      <c r="N214" s="5"/>
      <c r="O214" s="5"/>
      <c r="P214" s="5"/>
      <c r="Q214" s="5"/>
      <c r="R214" s="5"/>
      <c r="S214" s="5"/>
      <c r="T214" s="5"/>
      <c r="U214" s="5">
        <v>2</v>
      </c>
      <c r="V214" s="173"/>
      <c r="W214" s="173"/>
      <c r="X214" s="173"/>
      <c r="Y214" s="173"/>
      <c r="Z214" s="173"/>
      <c r="AA214" s="173" t="s">
        <v>988</v>
      </c>
      <c r="AB214" s="173"/>
      <c r="AC214" s="173"/>
      <c r="AD214" s="173" t="s">
        <v>1158</v>
      </c>
      <c r="AE214" s="173">
        <v>2000</v>
      </c>
      <c r="AF214" s="173">
        <v>1000</v>
      </c>
      <c r="AG214" s="173" t="str">
        <f>Tabela1[[#This Row],[Indeks]]</f>
        <v>BLST-ZW-2x1x2</v>
      </c>
    </row>
    <row r="215" spans="1:33">
      <c r="A215" s="17"/>
      <c r="B215" t="s">
        <v>979</v>
      </c>
      <c r="D215" s="18"/>
      <c r="G215" s="5"/>
      <c r="H215" s="5"/>
      <c r="I215" s="5"/>
      <c r="J215" s="173"/>
      <c r="K215" s="173"/>
      <c r="L215" s="173"/>
      <c r="M215" s="5"/>
      <c r="N215" s="5"/>
      <c r="O215" s="5"/>
      <c r="P215" s="5"/>
      <c r="Q215" s="5"/>
      <c r="R215" s="5"/>
      <c r="S215" s="5"/>
      <c r="T215" s="5"/>
      <c r="U215" s="5">
        <v>0.5</v>
      </c>
      <c r="V215" s="173"/>
      <c r="W215" s="173"/>
      <c r="X215" s="173"/>
      <c r="Y215" s="173"/>
      <c r="Z215" s="173"/>
      <c r="AA215" s="173" t="s">
        <v>988</v>
      </c>
      <c r="AB215" s="173"/>
      <c r="AC215" s="173"/>
      <c r="AD215" s="173" t="s">
        <v>1158</v>
      </c>
      <c r="AE215" s="173">
        <v>3000</v>
      </c>
      <c r="AF215" s="173">
        <v>1500</v>
      </c>
      <c r="AG215" s="173">
        <f>Tabela1[[#This Row],[Indeks]]</f>
        <v>0</v>
      </c>
    </row>
    <row r="216" spans="1:33">
      <c r="A216" s="17"/>
      <c r="B216" t="s">
        <v>980</v>
      </c>
      <c r="D216" s="18"/>
      <c r="G216" s="5"/>
      <c r="H216" s="5"/>
      <c r="I216" s="5"/>
      <c r="J216" s="173"/>
      <c r="K216" s="173"/>
      <c r="L216" s="173"/>
      <c r="M216" s="5"/>
      <c r="N216" s="5"/>
      <c r="O216" s="5"/>
      <c r="P216" s="5"/>
      <c r="Q216" s="5"/>
      <c r="R216" s="5"/>
      <c r="S216" s="5"/>
      <c r="T216" s="5"/>
      <c r="U216" s="5">
        <v>4</v>
      </c>
      <c r="V216" s="173"/>
      <c r="W216" s="173"/>
      <c r="X216" s="173"/>
      <c r="Y216" s="173"/>
      <c r="Z216" s="173"/>
      <c r="AA216" s="173" t="s">
        <v>988</v>
      </c>
      <c r="AB216" s="173"/>
      <c r="AC216" s="173"/>
      <c r="AD216" s="173" t="s">
        <v>1158</v>
      </c>
      <c r="AE216" s="173">
        <v>3000</v>
      </c>
      <c r="AF216" s="173">
        <v>1500</v>
      </c>
      <c r="AG216" s="173">
        <f>Tabela1[[#This Row],[Indeks]]</f>
        <v>0</v>
      </c>
    </row>
    <row r="217" spans="1:33">
      <c r="A217" s="17" t="s">
        <v>981</v>
      </c>
      <c r="B217" t="s">
        <v>982</v>
      </c>
      <c r="D217" s="18"/>
      <c r="G217" s="5"/>
      <c r="H217" s="5"/>
      <c r="I217" s="5"/>
      <c r="J217" s="173"/>
      <c r="K217" s="173"/>
      <c r="L217" s="173"/>
      <c r="M217" s="5"/>
      <c r="N217" s="5"/>
      <c r="O217" s="5"/>
      <c r="P217" s="5"/>
      <c r="Q217" s="5"/>
      <c r="R217" s="5"/>
      <c r="S217" s="5"/>
      <c r="T217" s="5"/>
      <c r="U217" s="5">
        <v>2</v>
      </c>
      <c r="V217" s="173"/>
      <c r="W217" s="173"/>
      <c r="X217" s="173"/>
      <c r="Y217" s="173"/>
      <c r="Z217" s="173"/>
      <c r="AA217" s="173" t="s">
        <v>988</v>
      </c>
      <c r="AB217" s="173"/>
      <c r="AC217" s="173"/>
      <c r="AD217" s="173" t="s">
        <v>1158</v>
      </c>
      <c r="AE217" s="173">
        <v>2500</v>
      </c>
      <c r="AF217" s="173">
        <v>1250</v>
      </c>
      <c r="AG217" s="173" t="str">
        <f>Tabela1[[#This Row],[Indeks]]</f>
        <v>BLST-ZW-2x1,25x2,5</v>
      </c>
    </row>
    <row r="218" spans="1:33">
      <c r="A218" s="17"/>
      <c r="B218" t="s">
        <v>983</v>
      </c>
      <c r="D218" s="18"/>
      <c r="G218" s="5"/>
      <c r="H218" s="5"/>
      <c r="I218" s="5"/>
      <c r="J218" s="173"/>
      <c r="K218" s="173"/>
      <c r="L218" s="173"/>
      <c r="M218" s="5"/>
      <c r="N218" s="5"/>
      <c r="O218" s="5"/>
      <c r="P218" s="5"/>
      <c r="Q218" s="5"/>
      <c r="R218" s="5"/>
      <c r="S218" s="5"/>
      <c r="T218" s="5"/>
      <c r="U218" s="5">
        <v>0.6</v>
      </c>
      <c r="V218" s="173"/>
      <c r="W218" s="173"/>
      <c r="X218" s="173"/>
      <c r="Y218" s="173"/>
      <c r="Z218" s="173"/>
      <c r="AA218" s="173" t="s">
        <v>987</v>
      </c>
      <c r="AB218" s="173"/>
      <c r="AC218" s="173"/>
      <c r="AD218" s="173" t="s">
        <v>1158</v>
      </c>
      <c r="AE218" s="173">
        <v>2500</v>
      </c>
      <c r="AF218" s="173">
        <v>1250</v>
      </c>
      <c r="AG218" s="173">
        <f>Tabela1[[#This Row],[Indeks]]</f>
        <v>0</v>
      </c>
    </row>
    <row r="219" spans="1:33">
      <c r="A219" s="17"/>
      <c r="B219" t="s">
        <v>984</v>
      </c>
      <c r="D219" s="18"/>
      <c r="G219" s="5"/>
      <c r="H219" s="5"/>
      <c r="I219" s="5"/>
      <c r="J219" s="173"/>
      <c r="K219" s="173"/>
      <c r="L219" s="173"/>
      <c r="M219" s="5"/>
      <c r="N219" s="5"/>
      <c r="O219" s="5"/>
      <c r="P219" s="5"/>
      <c r="Q219" s="5"/>
      <c r="R219" s="5"/>
      <c r="S219" s="5"/>
      <c r="T219" s="5"/>
      <c r="U219" s="5">
        <v>0.6</v>
      </c>
      <c r="V219" s="173"/>
      <c r="W219" s="173"/>
      <c r="X219" s="173"/>
      <c r="Y219" s="173"/>
      <c r="Z219" s="173"/>
      <c r="AA219" s="173" t="s">
        <v>987</v>
      </c>
      <c r="AB219" s="173"/>
      <c r="AC219" s="173"/>
      <c r="AD219" s="173" t="s">
        <v>1158</v>
      </c>
      <c r="AE219" s="173">
        <v>2500</v>
      </c>
      <c r="AF219" s="173">
        <v>1250</v>
      </c>
      <c r="AG219" s="173">
        <f>Tabela1[[#This Row],[Indeks]]</f>
        <v>0</v>
      </c>
    </row>
    <row r="220" spans="1:33">
      <c r="A220" s="17"/>
      <c r="B220" t="s">
        <v>985</v>
      </c>
      <c r="D220" s="18"/>
      <c r="G220" s="5"/>
      <c r="H220" s="5"/>
      <c r="I220" s="5"/>
      <c r="J220" s="173"/>
      <c r="K220" s="173"/>
      <c r="L220" s="173"/>
      <c r="M220" s="5"/>
      <c r="N220" s="5"/>
      <c r="O220" s="5"/>
      <c r="P220" s="5"/>
      <c r="Q220" s="5"/>
      <c r="R220" s="5"/>
      <c r="S220" s="5"/>
      <c r="T220" s="5"/>
      <c r="U220" s="5">
        <v>1.5</v>
      </c>
      <c r="V220" s="173"/>
      <c r="W220" s="173"/>
      <c r="X220" s="173"/>
      <c r="Y220" s="173"/>
      <c r="Z220" s="173"/>
      <c r="AA220" s="173" t="s">
        <v>987</v>
      </c>
      <c r="AB220" s="173"/>
      <c r="AC220" s="173"/>
      <c r="AD220" s="173" t="s">
        <v>1158</v>
      </c>
      <c r="AE220" s="173">
        <v>2500</v>
      </c>
      <c r="AF220" s="173">
        <v>1250</v>
      </c>
      <c r="AG220" s="173">
        <f>Tabela1[[#This Row],[Indeks]]</f>
        <v>0</v>
      </c>
    </row>
    <row r="221" spans="1:33">
      <c r="A221" s="17" t="s">
        <v>1036</v>
      </c>
      <c r="B221" t="s">
        <v>1037</v>
      </c>
      <c r="D221" s="18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>
        <v>4</v>
      </c>
      <c r="V221" s="5"/>
      <c r="W221" s="5"/>
      <c r="X221" s="5"/>
      <c r="Y221" s="5"/>
      <c r="Z221" s="5"/>
      <c r="AA221" s="5"/>
      <c r="AB221" s="173"/>
      <c r="AC221" s="173"/>
      <c r="AD221" s="173" t="s">
        <v>1159</v>
      </c>
      <c r="AE221" s="173"/>
      <c r="AF221" s="173"/>
      <c r="AG221" s="173" t="str">
        <f>Tabela1[[#This Row],[Indeks]]</f>
        <v>PŁST-20x4</v>
      </c>
    </row>
    <row r="222" spans="1:33">
      <c r="A222" s="17" t="s">
        <v>1038</v>
      </c>
      <c r="B222" t="s">
        <v>1039</v>
      </c>
      <c r="D222" s="18"/>
      <c r="G222" s="5"/>
      <c r="H222" s="5"/>
      <c r="I222" s="5"/>
      <c r="J222" s="173"/>
      <c r="K222" s="173"/>
      <c r="L222" s="173"/>
      <c r="M222" s="5"/>
      <c r="N222" s="5"/>
      <c r="O222" s="5"/>
      <c r="P222" s="5"/>
      <c r="Q222" s="5"/>
      <c r="R222" s="5"/>
      <c r="S222" s="5"/>
      <c r="T222" s="5"/>
      <c r="U222" s="5">
        <v>4</v>
      </c>
      <c r="V222" s="173"/>
      <c r="W222" s="173"/>
      <c r="X222" s="173"/>
      <c r="Y222" s="173"/>
      <c r="Z222" s="173"/>
      <c r="AA222" s="173"/>
      <c r="AB222" s="173"/>
      <c r="AC222" s="173"/>
      <c r="AD222" s="173" t="s">
        <v>1159</v>
      </c>
      <c r="AE222" s="173"/>
      <c r="AF222" s="173"/>
      <c r="AG222" s="173" t="str">
        <f>Tabela1[[#This Row],[Indeks]]</f>
        <v>PŁST-30x4</v>
      </c>
    </row>
    <row r="223" spans="1:33">
      <c r="A223" s="17" t="s">
        <v>1040</v>
      </c>
      <c r="B223" t="s">
        <v>1041</v>
      </c>
      <c r="D223" s="18"/>
      <c r="G223" s="5"/>
      <c r="H223" s="5"/>
      <c r="I223" s="5"/>
      <c r="J223" s="173"/>
      <c r="K223" s="173"/>
      <c r="L223" s="173"/>
      <c r="M223" s="5"/>
      <c r="N223" s="5"/>
      <c r="O223" s="5"/>
      <c r="P223" s="5"/>
      <c r="Q223" s="5"/>
      <c r="R223" s="5"/>
      <c r="S223" s="5"/>
      <c r="T223" s="5"/>
      <c r="U223" s="5">
        <v>6</v>
      </c>
      <c r="V223" s="173"/>
      <c r="W223" s="173"/>
      <c r="X223" s="173"/>
      <c r="Y223" s="173"/>
      <c r="Z223" s="173"/>
      <c r="AA223" s="173"/>
      <c r="AB223" s="173"/>
      <c r="AC223" s="173"/>
      <c r="AD223" s="173" t="s">
        <v>1159</v>
      </c>
      <c r="AE223" s="173"/>
      <c r="AF223" s="173"/>
      <c r="AG223" s="173" t="str">
        <f>Tabela1[[#This Row],[Indeks]]</f>
        <v>PŁST-30x6</v>
      </c>
    </row>
    <row r="224" spans="1:33">
      <c r="A224" s="17" t="s">
        <v>1042</v>
      </c>
      <c r="B224" t="s">
        <v>1043</v>
      </c>
      <c r="D224" s="18"/>
      <c r="G224" s="5"/>
      <c r="H224" s="5"/>
      <c r="I224" s="5"/>
      <c r="J224" s="173"/>
      <c r="K224" s="173"/>
      <c r="L224" s="173"/>
      <c r="M224" s="5"/>
      <c r="N224" s="5"/>
      <c r="O224" s="5"/>
      <c r="P224" s="5"/>
      <c r="Q224" s="5"/>
      <c r="R224" s="5"/>
      <c r="S224" s="5"/>
      <c r="T224" s="5"/>
      <c r="U224" s="5">
        <v>6</v>
      </c>
      <c r="V224" s="173"/>
      <c r="W224" s="173"/>
      <c r="X224" s="173"/>
      <c r="Y224" s="173"/>
      <c r="Z224" s="173"/>
      <c r="AA224" s="173"/>
      <c r="AB224" s="173"/>
      <c r="AC224" s="173"/>
      <c r="AD224" s="173" t="s">
        <v>1159</v>
      </c>
      <c r="AE224" s="173"/>
      <c r="AF224" s="173"/>
      <c r="AG224" s="173" t="str">
        <f>Tabela1[[#This Row],[Indeks]]</f>
        <v>PŁST-40x6</v>
      </c>
    </row>
    <row r="225" spans="1:33">
      <c r="A225" s="17" t="s">
        <v>1044</v>
      </c>
      <c r="B225" t="s">
        <v>1045</v>
      </c>
      <c r="D225" s="18"/>
      <c r="G225" s="5"/>
      <c r="H225" s="5"/>
      <c r="I225" s="5"/>
      <c r="J225" s="173"/>
      <c r="K225" s="173"/>
      <c r="L225" s="173"/>
      <c r="M225" s="5"/>
      <c r="N225" s="5"/>
      <c r="O225" s="5"/>
      <c r="P225" s="5"/>
      <c r="Q225" s="5"/>
      <c r="R225" s="5"/>
      <c r="S225" s="5"/>
      <c r="T225" s="5"/>
      <c r="U225" s="5">
        <v>6</v>
      </c>
      <c r="V225" s="173"/>
      <c r="W225" s="173"/>
      <c r="X225" s="173"/>
      <c r="Y225" s="173"/>
      <c r="Z225" s="173"/>
      <c r="AA225" s="173"/>
      <c r="AB225" s="173"/>
      <c r="AC225" s="173"/>
      <c r="AD225" s="173" t="s">
        <v>1159</v>
      </c>
      <c r="AE225" s="173"/>
      <c r="AF225" s="173"/>
      <c r="AG225" s="173" t="str">
        <f>Tabela1[[#This Row],[Indeks]]</f>
        <v>PŁST-60x6</v>
      </c>
    </row>
    <row r="226" spans="1:33">
      <c r="A226" s="17" t="s">
        <v>1046</v>
      </c>
      <c r="B226" s="274" t="s">
        <v>1047</v>
      </c>
      <c r="D226" s="18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>
        <v>2</v>
      </c>
      <c r="V226" s="5"/>
      <c r="W226" s="5"/>
      <c r="X226" s="5"/>
      <c r="Y226" s="5"/>
      <c r="Z226" s="5"/>
      <c r="AA226" s="5"/>
      <c r="AB226" s="173">
        <v>20</v>
      </c>
      <c r="AC226" s="173">
        <v>20</v>
      </c>
      <c r="AD226" s="173" t="s">
        <v>1160</v>
      </c>
      <c r="AE226" s="173"/>
      <c r="AF226" s="173"/>
      <c r="AG226" s="173" t="str">
        <f>Tabela1[[#This Row],[Indeks]]</f>
        <v>PRST-GW-20x20x2</v>
      </c>
    </row>
    <row r="227" spans="1:33">
      <c r="A227" s="17" t="s">
        <v>1048</v>
      </c>
      <c r="B227" s="274" t="s">
        <v>1049</v>
      </c>
      <c r="D227" s="18"/>
      <c r="G227" s="5"/>
      <c r="H227" s="5"/>
      <c r="I227" s="5"/>
      <c r="J227" s="173"/>
      <c r="K227" s="173"/>
      <c r="L227" s="173"/>
      <c r="M227" s="5"/>
      <c r="N227" s="5"/>
      <c r="O227" s="5"/>
      <c r="P227" s="5"/>
      <c r="Q227" s="5"/>
      <c r="R227" s="5"/>
      <c r="S227" s="5"/>
      <c r="T227" s="5"/>
      <c r="U227" s="5">
        <v>2</v>
      </c>
      <c r="V227" s="5"/>
      <c r="W227" s="173"/>
      <c r="X227" s="173"/>
      <c r="Y227" s="173"/>
      <c r="Z227" s="173"/>
      <c r="AA227" s="173"/>
      <c r="AB227" s="173">
        <v>30</v>
      </c>
      <c r="AC227" s="173">
        <v>20</v>
      </c>
      <c r="AD227" s="173" t="s">
        <v>1160</v>
      </c>
      <c r="AE227" s="173"/>
      <c r="AF227" s="173"/>
      <c r="AG227" s="173" t="str">
        <f>Tabela1[[#This Row],[Indeks]]</f>
        <v>PRST-GW-30x20x2</v>
      </c>
    </row>
    <row r="228" spans="1:33">
      <c r="A228" s="17" t="s">
        <v>1050</v>
      </c>
      <c r="B228" s="274" t="s">
        <v>1051</v>
      </c>
      <c r="D228" s="18"/>
      <c r="G228" s="5"/>
      <c r="H228" s="5"/>
      <c r="I228" s="5"/>
      <c r="J228" s="173"/>
      <c r="K228" s="173"/>
      <c r="L228" s="173"/>
      <c r="M228" s="5"/>
      <c r="N228" s="5"/>
      <c r="O228" s="5"/>
      <c r="P228" s="5"/>
      <c r="Q228" s="5"/>
      <c r="R228" s="5"/>
      <c r="S228" s="5"/>
      <c r="T228" s="5"/>
      <c r="U228" s="5">
        <v>2</v>
      </c>
      <c r="V228" s="5"/>
      <c r="W228" s="173"/>
      <c r="X228" s="173"/>
      <c r="Y228" s="173"/>
      <c r="Z228" s="173"/>
      <c r="AA228" s="173"/>
      <c r="AB228" s="173">
        <v>30</v>
      </c>
      <c r="AC228" s="173">
        <v>30</v>
      </c>
      <c r="AD228" s="173" t="s">
        <v>1160</v>
      </c>
      <c r="AE228" s="173"/>
      <c r="AF228" s="173"/>
      <c r="AG228" s="173" t="str">
        <f>Tabela1[[#This Row],[Indeks]]</f>
        <v>PRST-GW-30x30x2</v>
      </c>
    </row>
    <row r="229" spans="1:33">
      <c r="A229" s="17" t="s">
        <v>1052</v>
      </c>
      <c r="B229" s="274" t="s">
        <v>1053</v>
      </c>
      <c r="D229" s="18"/>
      <c r="G229" s="5"/>
      <c r="H229" s="5"/>
      <c r="I229" s="5"/>
      <c r="J229" s="173"/>
      <c r="K229" s="173"/>
      <c r="L229" s="173"/>
      <c r="M229" s="5"/>
      <c r="N229" s="5"/>
      <c r="O229" s="5"/>
      <c r="P229" s="5"/>
      <c r="Q229" s="5"/>
      <c r="R229" s="5"/>
      <c r="S229" s="5"/>
      <c r="T229" s="5"/>
      <c r="U229" s="5">
        <v>3</v>
      </c>
      <c r="V229" s="5"/>
      <c r="W229" s="173"/>
      <c r="X229" s="173"/>
      <c r="Y229" s="173"/>
      <c r="Z229" s="173"/>
      <c r="AA229" s="173"/>
      <c r="AB229" s="173">
        <v>30</v>
      </c>
      <c r="AC229" s="173">
        <v>30</v>
      </c>
      <c r="AD229" s="173" t="s">
        <v>1160</v>
      </c>
      <c r="AE229" s="173"/>
      <c r="AF229" s="173"/>
      <c r="AG229" s="173" t="str">
        <f>Tabela1[[#This Row],[Indeks]]</f>
        <v>PRST-GW-30x30x3</v>
      </c>
    </row>
    <row r="230" spans="1:33">
      <c r="A230" s="17" t="s">
        <v>1054</v>
      </c>
      <c r="B230" s="274" t="s">
        <v>1055</v>
      </c>
      <c r="D230" s="18"/>
      <c r="G230" s="5"/>
      <c r="H230" s="5"/>
      <c r="I230" s="5"/>
      <c r="J230" s="173"/>
      <c r="K230" s="173"/>
      <c r="L230" s="173"/>
      <c r="M230" s="5"/>
      <c r="N230" s="5"/>
      <c r="O230" s="5"/>
      <c r="P230" s="5"/>
      <c r="Q230" s="5"/>
      <c r="R230" s="5"/>
      <c r="S230" s="5"/>
      <c r="T230" s="5"/>
      <c r="U230" s="5">
        <v>2</v>
      </c>
      <c r="V230" s="5"/>
      <c r="W230" s="173"/>
      <c r="X230" s="173"/>
      <c r="Y230" s="173"/>
      <c r="Z230" s="173"/>
      <c r="AA230" s="173"/>
      <c r="AB230" s="173">
        <v>40</v>
      </c>
      <c r="AC230" s="173">
        <v>20</v>
      </c>
      <c r="AD230" s="173" t="s">
        <v>1160</v>
      </c>
      <c r="AE230" s="173"/>
      <c r="AF230" s="173"/>
      <c r="AG230" s="173" t="str">
        <f>Tabela1[[#This Row],[Indeks]]</f>
        <v>PRST-GW-40x20x2</v>
      </c>
    </row>
    <row r="231" spans="1:33">
      <c r="A231" s="17" t="s">
        <v>1056</v>
      </c>
      <c r="B231" s="274" t="s">
        <v>1057</v>
      </c>
      <c r="D231" s="18"/>
      <c r="G231" s="5"/>
      <c r="H231" s="5"/>
      <c r="I231" s="5"/>
      <c r="J231" s="173"/>
      <c r="K231" s="173"/>
      <c r="L231" s="173"/>
      <c r="M231" s="5"/>
      <c r="N231" s="5"/>
      <c r="O231" s="5"/>
      <c r="P231" s="5"/>
      <c r="Q231" s="5"/>
      <c r="R231" s="5"/>
      <c r="S231" s="5"/>
      <c r="T231" s="5"/>
      <c r="U231" s="5">
        <v>2</v>
      </c>
      <c r="V231" s="5"/>
      <c r="W231" s="173"/>
      <c r="X231" s="173"/>
      <c r="Y231" s="173"/>
      <c r="Z231" s="173"/>
      <c r="AA231" s="173"/>
      <c r="AB231" s="173">
        <v>40</v>
      </c>
      <c r="AC231" s="173">
        <v>30</v>
      </c>
      <c r="AD231" s="173" t="s">
        <v>1160</v>
      </c>
      <c r="AE231" s="173"/>
      <c r="AF231" s="173"/>
      <c r="AG231" s="173" t="str">
        <f>Tabela1[[#This Row],[Indeks]]</f>
        <v>PRST-GW-40x30x2</v>
      </c>
    </row>
    <row r="232" spans="1:33">
      <c r="A232" s="17" t="s">
        <v>1058</v>
      </c>
      <c r="B232" s="274" t="s">
        <v>1059</v>
      </c>
      <c r="D232" s="18"/>
      <c r="G232" s="5"/>
      <c r="H232" s="5"/>
      <c r="I232" s="5"/>
      <c r="J232" s="173"/>
      <c r="K232" s="173"/>
      <c r="L232" s="173"/>
      <c r="M232" s="5"/>
      <c r="N232" s="5"/>
      <c r="O232" s="5"/>
      <c r="P232" s="5"/>
      <c r="Q232" s="5"/>
      <c r="R232" s="5"/>
      <c r="S232" s="5"/>
      <c r="T232" s="5"/>
      <c r="U232" s="5">
        <v>2</v>
      </c>
      <c r="V232" s="5"/>
      <c r="W232" s="173"/>
      <c r="X232" s="173"/>
      <c r="Y232" s="173"/>
      <c r="Z232" s="173"/>
      <c r="AA232" s="173"/>
      <c r="AB232" s="173">
        <v>40</v>
      </c>
      <c r="AC232" s="173">
        <v>40</v>
      </c>
      <c r="AD232" s="173" t="s">
        <v>1160</v>
      </c>
      <c r="AE232" s="173"/>
      <c r="AF232" s="173"/>
      <c r="AG232" s="173" t="str">
        <f>Tabela1[[#This Row],[Indeks]]</f>
        <v>PRST-GW-40x40x2</v>
      </c>
    </row>
    <row r="233" spans="1:33">
      <c r="A233" s="17" t="s">
        <v>1060</v>
      </c>
      <c r="B233" s="274" t="s">
        <v>1061</v>
      </c>
      <c r="D233" s="18"/>
      <c r="G233" s="5"/>
      <c r="H233" s="5"/>
      <c r="I233" s="5"/>
      <c r="J233" s="173"/>
      <c r="K233" s="173"/>
      <c r="L233" s="173"/>
      <c r="M233" s="5"/>
      <c r="N233" s="5"/>
      <c r="O233" s="5"/>
      <c r="P233" s="5"/>
      <c r="Q233" s="5"/>
      <c r="R233" s="5"/>
      <c r="S233" s="5"/>
      <c r="T233" s="5"/>
      <c r="U233" s="5">
        <v>3</v>
      </c>
      <c r="V233" s="5"/>
      <c r="W233" s="173"/>
      <c r="X233" s="173"/>
      <c r="Y233" s="173"/>
      <c r="Z233" s="173"/>
      <c r="AA233" s="173"/>
      <c r="AB233" s="173">
        <v>40</v>
      </c>
      <c r="AC233" s="173">
        <v>40</v>
      </c>
      <c r="AD233" s="173" t="s">
        <v>1160</v>
      </c>
      <c r="AE233" s="173"/>
      <c r="AF233" s="173"/>
      <c r="AG233" s="173" t="str">
        <f>Tabela1[[#This Row],[Indeks]]</f>
        <v>PRST-GW-40x40x3</v>
      </c>
    </row>
    <row r="234" spans="1:33">
      <c r="A234" s="17" t="s">
        <v>1062</v>
      </c>
      <c r="B234" s="274" t="s">
        <v>1063</v>
      </c>
      <c r="D234" s="18"/>
      <c r="G234" s="5"/>
      <c r="H234" s="5"/>
      <c r="I234" s="5"/>
      <c r="J234" s="173"/>
      <c r="K234" s="173"/>
      <c r="L234" s="173"/>
      <c r="M234" s="5"/>
      <c r="N234" s="5"/>
      <c r="O234" s="5"/>
      <c r="P234" s="5"/>
      <c r="Q234" s="5"/>
      <c r="R234" s="5"/>
      <c r="S234" s="5"/>
      <c r="T234" s="5"/>
      <c r="U234" s="5">
        <v>2</v>
      </c>
      <c r="V234" s="5"/>
      <c r="W234" s="173"/>
      <c r="X234" s="173"/>
      <c r="Y234" s="173"/>
      <c r="Z234" s="173"/>
      <c r="AA234" s="173"/>
      <c r="AB234" s="173">
        <v>50</v>
      </c>
      <c r="AC234" s="173">
        <v>20</v>
      </c>
      <c r="AD234" s="173" t="s">
        <v>1160</v>
      </c>
      <c r="AE234" s="173"/>
      <c r="AF234" s="173"/>
      <c r="AG234" s="173" t="str">
        <f>Tabela1[[#This Row],[Indeks]]</f>
        <v>PRST-GW-50x20x2</v>
      </c>
    </row>
    <row r="235" spans="1:33">
      <c r="A235" s="17" t="s">
        <v>1064</v>
      </c>
      <c r="B235" s="274" t="s">
        <v>1065</v>
      </c>
      <c r="D235" s="18"/>
      <c r="G235" s="5"/>
      <c r="H235" s="5"/>
      <c r="I235" s="5"/>
      <c r="J235" s="173"/>
      <c r="K235" s="173"/>
      <c r="L235" s="173"/>
      <c r="M235" s="5"/>
      <c r="N235" s="5"/>
      <c r="O235" s="5"/>
      <c r="P235" s="5"/>
      <c r="Q235" s="5"/>
      <c r="R235" s="5"/>
      <c r="S235" s="5"/>
      <c r="T235" s="5"/>
      <c r="U235" s="5">
        <v>2</v>
      </c>
      <c r="V235" s="5"/>
      <c r="W235" s="173"/>
      <c r="X235" s="173"/>
      <c r="Y235" s="173"/>
      <c r="Z235" s="173"/>
      <c r="AA235" s="173"/>
      <c r="AB235" s="173">
        <v>50</v>
      </c>
      <c r="AC235" s="173">
        <v>30</v>
      </c>
      <c r="AD235" s="173" t="s">
        <v>1160</v>
      </c>
      <c r="AE235" s="173"/>
      <c r="AF235" s="173"/>
      <c r="AG235" s="173" t="str">
        <f>Tabela1[[#This Row],[Indeks]]</f>
        <v>PRST-GW-50x30x2</v>
      </c>
    </row>
    <row r="236" spans="1:33">
      <c r="A236" s="17" t="s">
        <v>1066</v>
      </c>
      <c r="B236" s="274" t="s">
        <v>1067</v>
      </c>
      <c r="D236" s="18"/>
      <c r="G236" s="5"/>
      <c r="H236" s="5"/>
      <c r="I236" s="5"/>
      <c r="J236" s="173"/>
      <c r="K236" s="173"/>
      <c r="L236" s="173"/>
      <c r="M236" s="5"/>
      <c r="N236" s="5"/>
      <c r="O236" s="5"/>
      <c r="P236" s="5"/>
      <c r="Q236" s="5"/>
      <c r="R236" s="5"/>
      <c r="S236" s="5"/>
      <c r="T236" s="5"/>
      <c r="U236" s="5">
        <v>2</v>
      </c>
      <c r="V236" s="5"/>
      <c r="W236" s="173"/>
      <c r="X236" s="173"/>
      <c r="Y236" s="173"/>
      <c r="Z236" s="173"/>
      <c r="AA236" s="173"/>
      <c r="AB236" s="173">
        <v>60</v>
      </c>
      <c r="AC236" s="173">
        <v>40</v>
      </c>
      <c r="AD236" s="173" t="s">
        <v>1160</v>
      </c>
      <c r="AE236" s="173"/>
      <c r="AF236" s="173"/>
      <c r="AG236" s="173" t="str">
        <f>Tabela1[[#This Row],[Indeks]]</f>
        <v>PRST-GW-60x40x2</v>
      </c>
    </row>
    <row r="237" spans="1:33">
      <c r="A237" s="17" t="s">
        <v>1068</v>
      </c>
      <c r="B237" s="274" t="s">
        <v>1069</v>
      </c>
      <c r="D237" s="18"/>
      <c r="G237" s="5"/>
      <c r="H237" s="5"/>
      <c r="I237" s="5"/>
      <c r="J237" s="173"/>
      <c r="K237" s="173"/>
      <c r="L237" s="173"/>
      <c r="M237" s="5"/>
      <c r="N237" s="5"/>
      <c r="O237" s="5"/>
      <c r="P237" s="5"/>
      <c r="Q237" s="5"/>
      <c r="R237" s="5"/>
      <c r="S237" s="5"/>
      <c r="T237" s="5"/>
      <c r="U237" s="5">
        <v>1.5</v>
      </c>
      <c r="V237" s="5"/>
      <c r="W237" s="173"/>
      <c r="X237" s="173"/>
      <c r="Y237" s="173"/>
      <c r="Z237" s="173"/>
      <c r="AA237" s="173"/>
      <c r="AB237" s="173">
        <v>20</v>
      </c>
      <c r="AC237" s="173">
        <v>10</v>
      </c>
      <c r="AD237" s="173" t="s">
        <v>1160</v>
      </c>
      <c r="AE237" s="173"/>
      <c r="AF237" s="173"/>
      <c r="AG237" s="173" t="str">
        <f>Tabela1[[#This Row],[Indeks]]</f>
        <v>PRST-ZW-20x10x1,5</v>
      </c>
    </row>
    <row r="238" spans="1:33">
      <c r="A238" s="17" t="s">
        <v>1070</v>
      </c>
      <c r="B238" s="274" t="s">
        <v>1071</v>
      </c>
      <c r="D238" s="18"/>
      <c r="G238" s="5"/>
      <c r="H238" s="5"/>
      <c r="I238" s="5"/>
      <c r="J238" s="173"/>
      <c r="K238" s="173"/>
      <c r="L238" s="173"/>
      <c r="M238" s="5"/>
      <c r="N238" s="5"/>
      <c r="O238" s="5"/>
      <c r="P238" s="5"/>
      <c r="Q238" s="5"/>
      <c r="R238" s="5"/>
      <c r="S238" s="5"/>
      <c r="T238" s="5"/>
      <c r="U238" s="5">
        <v>1.5</v>
      </c>
      <c r="V238" s="5"/>
      <c r="W238" s="173"/>
      <c r="X238" s="173"/>
      <c r="Y238" s="173"/>
      <c r="Z238" s="173"/>
      <c r="AA238" s="173"/>
      <c r="AB238" s="173">
        <v>20</v>
      </c>
      <c r="AC238" s="173">
        <v>20</v>
      </c>
      <c r="AD238" s="173" t="s">
        <v>1160</v>
      </c>
      <c r="AE238" s="173"/>
      <c r="AF238" s="173"/>
      <c r="AG238" s="173" t="str">
        <f>Tabela1[[#This Row],[Indeks]]</f>
        <v>PRST-ZW-20x20x1,5</v>
      </c>
    </row>
    <row r="239" spans="1:33">
      <c r="A239" s="17" t="s">
        <v>1072</v>
      </c>
      <c r="B239" s="274" t="s">
        <v>1073</v>
      </c>
      <c r="D239" s="18"/>
      <c r="G239" s="5"/>
      <c r="H239" s="5"/>
      <c r="I239" s="5"/>
      <c r="J239" s="173"/>
      <c r="K239" s="173"/>
      <c r="L239" s="173"/>
      <c r="M239" s="5"/>
      <c r="N239" s="5"/>
      <c r="O239" s="5"/>
      <c r="P239" s="5"/>
      <c r="Q239" s="5"/>
      <c r="R239" s="5"/>
      <c r="S239" s="5"/>
      <c r="T239" s="5"/>
      <c r="U239" s="5">
        <v>1.5</v>
      </c>
      <c r="V239" s="5"/>
      <c r="W239" s="173"/>
      <c r="X239" s="173"/>
      <c r="Y239" s="173"/>
      <c r="Z239" s="173"/>
      <c r="AA239" s="173"/>
      <c r="AB239" s="173">
        <v>25</v>
      </c>
      <c r="AC239" s="173">
        <v>25</v>
      </c>
      <c r="AD239" s="173" t="s">
        <v>1160</v>
      </c>
      <c r="AE239" s="173"/>
      <c r="AF239" s="173"/>
      <c r="AG239" s="173" t="str">
        <f>Tabela1[[#This Row],[Indeks]]</f>
        <v>PRST-ZW-25x25x1,5</v>
      </c>
    </row>
    <row r="240" spans="1:33">
      <c r="A240" s="17" t="s">
        <v>1074</v>
      </c>
      <c r="B240" s="274" t="s">
        <v>1075</v>
      </c>
      <c r="D240" s="18"/>
      <c r="G240" s="5"/>
      <c r="H240" s="5"/>
      <c r="I240" s="5"/>
      <c r="J240" s="173"/>
      <c r="K240" s="173"/>
      <c r="L240" s="173"/>
      <c r="M240" s="5"/>
      <c r="N240" s="5"/>
      <c r="O240" s="5"/>
      <c r="P240" s="5"/>
      <c r="Q240" s="5"/>
      <c r="R240" s="5"/>
      <c r="S240" s="5"/>
      <c r="T240" s="5"/>
      <c r="U240" s="5">
        <v>1.5</v>
      </c>
      <c r="V240" s="5"/>
      <c r="W240" s="173"/>
      <c r="X240" s="173"/>
      <c r="Y240" s="173"/>
      <c r="Z240" s="173"/>
      <c r="AA240" s="173"/>
      <c r="AB240" s="173">
        <v>30</v>
      </c>
      <c r="AC240" s="173">
        <v>20</v>
      </c>
      <c r="AD240" s="173" t="s">
        <v>1160</v>
      </c>
      <c r="AE240" s="173"/>
      <c r="AF240" s="173"/>
      <c r="AG240" s="173" t="str">
        <f>Tabela1[[#This Row],[Indeks]]</f>
        <v>PRST-ZW-30x20x1,5</v>
      </c>
    </row>
    <row r="241" spans="1:33">
      <c r="A241" s="17" t="s">
        <v>1076</v>
      </c>
      <c r="B241" s="274" t="s">
        <v>1077</v>
      </c>
      <c r="D241" s="18"/>
      <c r="G241" s="5"/>
      <c r="H241" s="5"/>
      <c r="I241" s="5"/>
      <c r="J241" s="173"/>
      <c r="K241" s="173"/>
      <c r="L241" s="173"/>
      <c r="M241" s="5"/>
      <c r="N241" s="5"/>
      <c r="O241" s="5"/>
      <c r="P241" s="5"/>
      <c r="Q241" s="5"/>
      <c r="R241" s="5"/>
      <c r="S241" s="5"/>
      <c r="T241" s="5"/>
      <c r="U241" s="5">
        <v>1.5</v>
      </c>
      <c r="V241" s="5"/>
      <c r="W241" s="173"/>
      <c r="X241" s="173"/>
      <c r="Y241" s="173"/>
      <c r="Z241" s="173"/>
      <c r="AA241" s="173"/>
      <c r="AB241" s="173">
        <v>30</v>
      </c>
      <c r="AC241" s="173">
        <v>30</v>
      </c>
      <c r="AD241" s="173" t="s">
        <v>1160</v>
      </c>
      <c r="AE241" s="173"/>
      <c r="AF241" s="173"/>
      <c r="AG241" s="173" t="str">
        <f>Tabela1[[#This Row],[Indeks]]</f>
        <v>PRST-ZW-30x30x1,5</v>
      </c>
    </row>
    <row r="242" spans="1:33">
      <c r="A242" s="17" t="s">
        <v>1078</v>
      </c>
      <c r="B242" s="274" t="s">
        <v>1079</v>
      </c>
      <c r="D242" s="18"/>
      <c r="G242" s="5"/>
      <c r="H242" s="5"/>
      <c r="I242" s="5"/>
      <c r="J242" s="173"/>
      <c r="K242" s="173"/>
      <c r="L242" s="173"/>
      <c r="M242" s="5"/>
      <c r="N242" s="5"/>
      <c r="O242" s="5"/>
      <c r="P242" s="5"/>
      <c r="Q242" s="5"/>
      <c r="R242" s="5"/>
      <c r="S242" s="5"/>
      <c r="T242" s="5"/>
      <c r="U242" s="5">
        <v>1.5</v>
      </c>
      <c r="V242" s="5"/>
      <c r="W242" s="173"/>
      <c r="X242" s="173"/>
      <c r="Y242" s="173"/>
      <c r="Z242" s="173"/>
      <c r="AA242" s="173"/>
      <c r="AB242" s="173">
        <v>40</v>
      </c>
      <c r="AC242" s="173">
        <v>20</v>
      </c>
      <c r="AD242" s="173" t="s">
        <v>1160</v>
      </c>
      <c r="AE242" s="173"/>
      <c r="AF242" s="173"/>
      <c r="AG242" s="173" t="str">
        <f>Tabela1[[#This Row],[Indeks]]</f>
        <v>PRST-ZW-40x20x1,5</v>
      </c>
    </row>
    <row r="243" spans="1:33">
      <c r="A243" s="17" t="s">
        <v>1356</v>
      </c>
      <c r="B243" t="s">
        <v>1357</v>
      </c>
      <c r="D243" s="18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>
        <v>0.2</v>
      </c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173" t="str">
        <f>Tabela1[[#This Row],[Indeks]]</f>
        <v>POMDBA-1,27-30,5</v>
      </c>
    </row>
    <row r="244" spans="1:33">
      <c r="A244" s="455" t="s">
        <v>1358</v>
      </c>
      <c r="B244" s="456" t="s">
        <v>1359</v>
      </c>
      <c r="C244" s="456"/>
      <c r="D244" s="457"/>
      <c r="E244" s="456"/>
      <c r="F244" s="456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>
        <v>10</v>
      </c>
      <c r="V244" s="458"/>
      <c r="W244" s="458"/>
      <c r="X244" s="458"/>
      <c r="Y244" s="458"/>
      <c r="Z244" s="458"/>
      <c r="AA244" s="458"/>
      <c r="AB244" s="458"/>
      <c r="AC244" s="458"/>
      <c r="AD244" s="458" t="s">
        <v>1177</v>
      </c>
      <c r="AE244" s="458"/>
      <c r="AF244" s="458"/>
      <c r="AG244" s="459" t="str">
        <f>Tabela1[[#This Row],[Indeks]]</f>
        <v>PRST-C-OKR-FI10</v>
      </c>
    </row>
    <row r="245" spans="1:33">
      <c r="A245" s="455" t="s">
        <v>1360</v>
      </c>
      <c r="B245" s="456" t="s">
        <v>1365</v>
      </c>
      <c r="C245" s="456"/>
      <c r="D245" s="457"/>
      <c r="E245" s="456"/>
      <c r="F245" s="456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>
        <v>3</v>
      </c>
      <c r="V245" s="458"/>
      <c r="W245" s="458"/>
      <c r="X245" s="458"/>
      <c r="Y245" s="458"/>
      <c r="Z245" s="458"/>
      <c r="AA245" s="458"/>
      <c r="AB245" s="458"/>
      <c r="AC245" s="458"/>
      <c r="AD245" s="458" t="s">
        <v>1177</v>
      </c>
      <c r="AE245" s="458"/>
      <c r="AF245" s="458"/>
      <c r="AG245" s="459" t="str">
        <f>Tabela1[[#This Row],[Indeks]]</f>
        <v>PRST-C-OKR-FI3</v>
      </c>
    </row>
    <row r="246" spans="1:33">
      <c r="A246" s="455" t="s">
        <v>1361</v>
      </c>
      <c r="B246" s="456" t="s">
        <v>1366</v>
      </c>
      <c r="C246" s="456"/>
      <c r="D246" s="457"/>
      <c r="E246" s="456"/>
      <c r="F246" s="456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>
        <v>4</v>
      </c>
      <c r="V246" s="458"/>
      <c r="W246" s="458"/>
      <c r="X246" s="458"/>
      <c r="Y246" s="458"/>
      <c r="Z246" s="458"/>
      <c r="AA246" s="458"/>
      <c r="AB246" s="458"/>
      <c r="AC246" s="458"/>
      <c r="AD246" s="458" t="s">
        <v>1177</v>
      </c>
      <c r="AE246" s="458"/>
      <c r="AF246" s="458"/>
      <c r="AG246" s="459" t="str">
        <f>Tabela1[[#This Row],[Indeks]]</f>
        <v>PRST-C-OKR-FI4</v>
      </c>
    </row>
    <row r="247" spans="1:33">
      <c r="A247" s="455" t="s">
        <v>1362</v>
      </c>
      <c r="B247" s="456" t="s">
        <v>1367</v>
      </c>
      <c r="C247" s="456"/>
      <c r="D247" s="457"/>
      <c r="E247" s="456"/>
      <c r="F247" s="456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>
        <v>5</v>
      </c>
      <c r="V247" s="458"/>
      <c r="W247" s="458"/>
      <c r="X247" s="458"/>
      <c r="Y247" s="458"/>
      <c r="Z247" s="458"/>
      <c r="AA247" s="458"/>
      <c r="AB247" s="458"/>
      <c r="AC247" s="458"/>
      <c r="AD247" s="458" t="s">
        <v>1177</v>
      </c>
      <c r="AE247" s="458"/>
      <c r="AF247" s="458"/>
      <c r="AG247" s="459" t="str">
        <f>Tabela1[[#This Row],[Indeks]]</f>
        <v>PRST-C-OKR-FI5</v>
      </c>
    </row>
    <row r="248" spans="1:33">
      <c r="A248" s="455" t="s">
        <v>1363</v>
      </c>
      <c r="B248" s="456" t="s">
        <v>1368</v>
      </c>
      <c r="C248" s="456"/>
      <c r="D248" s="457"/>
      <c r="E248" s="456"/>
      <c r="F248" s="456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>
        <v>6</v>
      </c>
      <c r="V248" s="458"/>
      <c r="W248" s="458"/>
      <c r="X248" s="458"/>
      <c r="Y248" s="458"/>
      <c r="Z248" s="458"/>
      <c r="AA248" s="458"/>
      <c r="AB248" s="458"/>
      <c r="AC248" s="458"/>
      <c r="AD248" s="458" t="s">
        <v>1177</v>
      </c>
      <c r="AE248" s="458"/>
      <c r="AF248" s="458"/>
      <c r="AG248" s="459" t="str">
        <f>Tabela1[[#This Row],[Indeks]]</f>
        <v>PRST-C-OKR-FI6</v>
      </c>
    </row>
    <row r="249" spans="1:33">
      <c r="A249" s="455" t="s">
        <v>1364</v>
      </c>
      <c r="B249" s="456" t="s">
        <v>1369</v>
      </c>
      <c r="C249" s="456"/>
      <c r="D249" s="457"/>
      <c r="E249" s="456"/>
      <c r="F249" s="456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>
        <v>8</v>
      </c>
      <c r="V249" s="458"/>
      <c r="W249" s="458"/>
      <c r="X249" s="458"/>
      <c r="Y249" s="458"/>
      <c r="Z249" s="458"/>
      <c r="AA249" s="458"/>
      <c r="AB249" s="458"/>
      <c r="AC249" s="458"/>
      <c r="AD249" s="458" t="s">
        <v>1177</v>
      </c>
      <c r="AE249" s="458"/>
      <c r="AF249" s="458"/>
      <c r="AG249" s="459" t="str">
        <f>Tabela1[[#This Row],[Indeks]]</f>
        <v>PRST-C-OKR-FI8</v>
      </c>
    </row>
    <row r="250" spans="1:33">
      <c r="A250" s="455" t="s">
        <v>1372</v>
      </c>
      <c r="B250" s="461" t="s">
        <v>1371</v>
      </c>
      <c r="C250" s="456"/>
      <c r="D250" s="457"/>
      <c r="E250" s="11" t="s">
        <v>70</v>
      </c>
      <c r="F250" s="456"/>
      <c r="G250" s="458"/>
      <c r="H250" s="5" t="s">
        <v>583</v>
      </c>
      <c r="I250" s="458"/>
      <c r="J250" s="5" t="s">
        <v>541</v>
      </c>
      <c r="K250" s="5" t="s">
        <v>544</v>
      </c>
      <c r="L250" s="5" t="s">
        <v>546</v>
      </c>
      <c r="M250" s="5" t="s">
        <v>575</v>
      </c>
      <c r="N250" s="5" t="s">
        <v>141</v>
      </c>
      <c r="O250" s="5" t="s">
        <v>590</v>
      </c>
      <c r="P250" s="5" t="s">
        <v>592</v>
      </c>
      <c r="Q250" s="5" t="s">
        <v>933</v>
      </c>
      <c r="R250" s="14" t="s">
        <v>141</v>
      </c>
      <c r="S250" s="5" t="s">
        <v>546</v>
      </c>
      <c r="T250" s="5" t="s">
        <v>595</v>
      </c>
      <c r="U250" s="458">
        <v>3</v>
      </c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58"/>
      <c r="AF250" s="458"/>
      <c r="AG250" s="459" t="str">
        <f>Tabela1[[#This Row],[Indeks]]</f>
        <v>PŁVKBB-3,02,05x3,05</v>
      </c>
    </row>
  </sheetData>
  <conditionalFormatting sqref="R149:R155">
    <cfRule type="uniqueValues" dxfId="38" priority="1"/>
  </conditionalFormatting>
  <pageMargins left="0.7" right="0.7" top="0.75" bottom="0.75" header="0.3" footer="0.3"/>
  <pageSetup paperSize="9" scale="32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8">
    <tabColor rgb="FF0070C0"/>
  </sheetPr>
  <dimension ref="A1:AG82"/>
  <sheetViews>
    <sheetView topLeftCell="C59" zoomScale="80" zoomScaleNormal="80" workbookViewId="0">
      <selection activeCell="U73" sqref="U73"/>
    </sheetView>
  </sheetViews>
  <sheetFormatPr defaultColWidth="9.140625" defaultRowHeight="15"/>
  <cols>
    <col min="1" max="1" width="13.42578125" customWidth="1"/>
    <col min="3" max="3" width="5" bestFit="1" customWidth="1"/>
    <col min="8" max="10" width="5" bestFit="1" customWidth="1"/>
    <col min="11" max="11" width="6" bestFit="1" customWidth="1"/>
    <col min="14" max="14" width="11.5703125" customWidth="1"/>
    <col min="18" max="18" width="12" bestFit="1" customWidth="1"/>
    <col min="20" max="20" width="11.140625" customWidth="1"/>
    <col min="22" max="22" width="10.7109375" customWidth="1"/>
    <col min="26" max="26" width="13.28515625" customWidth="1"/>
    <col min="33" max="33" width="12.140625" customWidth="1"/>
  </cols>
  <sheetData>
    <row r="1" spans="1:33">
      <c r="A1" s="518" t="s">
        <v>986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20"/>
      <c r="O1" s="518" t="s">
        <v>1024</v>
      </c>
      <c r="P1" s="519"/>
      <c r="Q1" s="519"/>
      <c r="R1" s="519"/>
      <c r="S1" s="519"/>
      <c r="T1" s="519"/>
      <c r="U1" s="519"/>
      <c r="V1" s="520"/>
      <c r="W1" s="518" t="s">
        <v>1157</v>
      </c>
      <c r="X1" s="519"/>
      <c r="Y1" s="519"/>
      <c r="Z1" s="519"/>
      <c r="AA1" s="519"/>
      <c r="AB1" s="519"/>
      <c r="AC1" s="519"/>
      <c r="AD1" s="519"/>
      <c r="AE1" s="519"/>
      <c r="AF1" s="519"/>
      <c r="AG1" s="520"/>
    </row>
    <row r="2" spans="1:33">
      <c r="A2" s="92" t="s">
        <v>23</v>
      </c>
      <c r="B2">
        <f>VLOOKUP(KALKULATOR!B1,Materiały_zakupowe!A:AD,27,FALSE)</f>
        <v>0</v>
      </c>
      <c r="D2" s="104">
        <v>6.9444444444444447E-4</v>
      </c>
      <c r="M2" t="s">
        <v>389</v>
      </c>
      <c r="N2" s="107">
        <v>1</v>
      </c>
      <c r="O2" s="92" t="s">
        <v>1025</v>
      </c>
      <c r="P2">
        <f>KALKULATOR!C143</f>
        <v>1</v>
      </c>
      <c r="U2" t="s">
        <v>389</v>
      </c>
      <c r="V2" s="107">
        <v>1</v>
      </c>
      <c r="W2" s="92" t="s">
        <v>879</v>
      </c>
      <c r="X2">
        <f>KALKULATOR!I1</f>
        <v>100</v>
      </c>
      <c r="AF2" t="s">
        <v>389</v>
      </c>
      <c r="AG2" s="107">
        <v>1</v>
      </c>
    </row>
    <row r="3" spans="1:33">
      <c r="A3" s="92" t="s">
        <v>353</v>
      </c>
      <c r="B3">
        <f>VLOOKUP(KALKULATOR!B1,Materiały_zakupowe!A:AD,21,FALSE)</f>
        <v>3</v>
      </c>
      <c r="N3" s="93"/>
      <c r="O3" s="92" t="s">
        <v>879</v>
      </c>
      <c r="P3">
        <f>KALKULATOR!I1</f>
        <v>100</v>
      </c>
      <c r="V3" s="93"/>
      <c r="W3" s="92" t="s">
        <v>1150</v>
      </c>
      <c r="X3">
        <f>KALKULATOR!C167</f>
        <v>1500</v>
      </c>
      <c r="AG3" s="93"/>
    </row>
    <row r="4" spans="1:33">
      <c r="A4" s="92" t="s">
        <v>989</v>
      </c>
      <c r="B4">
        <f>KALKULATOR!D124</f>
        <v>2000</v>
      </c>
      <c r="L4" s="106" t="s">
        <v>657</v>
      </c>
      <c r="M4" s="260" t="e">
        <f>SUM(D9:E9)*B5</f>
        <v>#N/A</v>
      </c>
      <c r="N4" s="221" t="e">
        <f>$N$2*M4*24</f>
        <v>#N/A</v>
      </c>
      <c r="O4" s="92"/>
      <c r="T4" s="106" t="s">
        <v>657</v>
      </c>
      <c r="U4" s="264">
        <f>P7+((P5+P6)*P2)*P3</f>
        <v>2.5462962962962962E-2</v>
      </c>
      <c r="V4" s="221">
        <f>U4*24*$V$2</f>
        <v>0.61111111111111105</v>
      </c>
      <c r="W4" s="92" t="s">
        <v>1151</v>
      </c>
      <c r="X4" t="str">
        <f>KALKULATOR!D167</f>
        <v>WYMIAR DOCELOWY</v>
      </c>
      <c r="AE4" s="106" t="s">
        <v>657</v>
      </c>
      <c r="AF4" s="264" t="e">
        <f>IF(AND(AG12&gt;0,AG12&lt;AG11),AG12,AG11)</f>
        <v>#DIV/0!</v>
      </c>
      <c r="AG4" s="221" t="e">
        <f>AF4*24*AG2</f>
        <v>#DIV/0!</v>
      </c>
    </row>
    <row r="5" spans="1:33">
      <c r="A5" s="92" t="s">
        <v>990</v>
      </c>
      <c r="B5">
        <f>KALKULATOR!I1/KALKULATOR!C124</f>
        <v>100</v>
      </c>
      <c r="L5" s="106" t="s">
        <v>639</v>
      </c>
      <c r="M5" s="261">
        <v>1.3888888888888888E-2</v>
      </c>
      <c r="N5" s="221">
        <f>$N$2*M5*24</f>
        <v>0.33333333333333331</v>
      </c>
      <c r="O5" s="92" t="s">
        <v>1027</v>
      </c>
      <c r="P5" s="104">
        <v>1.1574074074074073E-4</v>
      </c>
      <c r="T5" s="106" t="s">
        <v>639</v>
      </c>
      <c r="U5" s="261">
        <v>3.472222222222222E-3</v>
      </c>
      <c r="V5" s="221">
        <f>U5*24*$V$2</f>
        <v>8.3333333333333329E-2</v>
      </c>
      <c r="W5" s="92" t="s">
        <v>1154</v>
      </c>
      <c r="X5">
        <f>VLOOKUP(KALKULATOR!B1,Tabela1[],28,FALSE)</f>
        <v>0</v>
      </c>
      <c r="AE5" s="106" t="s">
        <v>639</v>
      </c>
      <c r="AF5" s="261">
        <v>3.472222222222222E-3</v>
      </c>
      <c r="AG5" s="221">
        <f>AF5*24*$AG$2</f>
        <v>8.3333333333333329E-2</v>
      </c>
    </row>
    <row r="6" spans="1:33">
      <c r="A6" s="92" t="s">
        <v>991</v>
      </c>
      <c r="B6">
        <f>KALKULATOR!E124</f>
        <v>15</v>
      </c>
      <c r="N6" s="93"/>
      <c r="O6" s="92" t="s">
        <v>1026</v>
      </c>
      <c r="P6" s="104">
        <v>6.9444444444444444E-5</v>
      </c>
      <c r="V6" s="93"/>
      <c r="W6" s="92" t="s">
        <v>1155</v>
      </c>
      <c r="X6">
        <f>VLOOKUP(KALKULATOR!B1,Tabela1[],29,FALSE)</f>
        <v>0</v>
      </c>
      <c r="AG6" s="93"/>
    </row>
    <row r="7" spans="1:33">
      <c r="A7" s="92"/>
      <c r="N7" s="93"/>
      <c r="O7" s="92" t="s">
        <v>1028</v>
      </c>
      <c r="P7" s="104">
        <v>6.9444444444444441E-3</v>
      </c>
      <c r="V7" s="93"/>
      <c r="W7" s="92"/>
      <c r="AG7" s="93"/>
    </row>
    <row r="8" spans="1:33" ht="15.75" thickBot="1">
      <c r="A8" s="92"/>
      <c r="D8" t="s">
        <v>994</v>
      </c>
      <c r="E8" t="s">
        <v>995</v>
      </c>
      <c r="N8" s="93"/>
      <c r="O8" s="94"/>
      <c r="P8" s="97"/>
      <c r="Q8" s="97"/>
      <c r="R8" s="97"/>
      <c r="S8" s="97"/>
      <c r="T8" s="97"/>
      <c r="U8" s="97"/>
      <c r="V8" s="95"/>
      <c r="W8" s="92"/>
      <c r="AG8" s="93"/>
    </row>
    <row r="9" spans="1:33">
      <c r="A9" s="92" t="s">
        <v>993</v>
      </c>
      <c r="B9">
        <f>B4/B6</f>
        <v>133.33333333333334</v>
      </c>
      <c r="D9" s="26" t="e">
        <f>B4/B10*D2</f>
        <v>#N/A</v>
      </c>
      <c r="E9" s="104">
        <v>3.4722222222222224E-4</v>
      </c>
      <c r="N9" s="93"/>
      <c r="O9" s="518" t="s">
        <v>1030</v>
      </c>
      <c r="P9" s="519"/>
      <c r="Q9" s="519"/>
      <c r="R9" s="519"/>
      <c r="S9" s="519"/>
      <c r="T9" s="519"/>
      <c r="U9" s="519"/>
      <c r="V9" s="520"/>
      <c r="W9" s="92" t="s">
        <v>1156</v>
      </c>
      <c r="X9" t="e">
        <f>IF(X4=W15,Z15,Z16)</f>
        <v>#DIV/0!</v>
      </c>
      <c r="AG9" s="93"/>
    </row>
    <row r="10" spans="1:33">
      <c r="A10" s="92" t="s">
        <v>636</v>
      </c>
      <c r="B10" t="e">
        <f>(VLOOKUP(B2&amp;B3,$A$14:$F$23,MATCH(B9,$A$14:$F$14,1),FALSE)*B9+VLOOKUP(B2&amp;B3,$G$14:$L$23,MATCH(B9,$G$14:$L$14,1),FALSE))/VLOOKUP(B2&amp;B3,$M$15:$N$25,2,FALSE)</f>
        <v>#N/A</v>
      </c>
      <c r="N10" s="93"/>
      <c r="O10" s="92" t="s">
        <v>1080</v>
      </c>
      <c r="P10" s="276" t="str">
        <f>KALKULATOR!C147</f>
        <v>M8</v>
      </c>
      <c r="U10" t="s">
        <v>389</v>
      </c>
      <c r="V10" s="107">
        <v>1</v>
      </c>
      <c r="W10" s="92" t="s">
        <v>1138</v>
      </c>
      <c r="X10" t="s">
        <v>1139</v>
      </c>
      <c r="Y10" t="s">
        <v>1140</v>
      </c>
      <c r="Z10" t="s">
        <v>1141</v>
      </c>
      <c r="AA10" t="s">
        <v>1142</v>
      </c>
      <c r="AB10" t="s">
        <v>1143</v>
      </c>
      <c r="AC10" t="s">
        <v>1144</v>
      </c>
      <c r="AD10" t="s">
        <v>1145</v>
      </c>
      <c r="AE10" t="s">
        <v>1146</v>
      </c>
      <c r="AF10" t="s">
        <v>778</v>
      </c>
      <c r="AG10" s="93" t="s">
        <v>1147</v>
      </c>
    </row>
    <row r="11" spans="1:33">
      <c r="A11" s="92"/>
      <c r="N11" s="93"/>
      <c r="O11" s="92" t="s">
        <v>1081</v>
      </c>
      <c r="P11">
        <f>KALKULATOR!D147</f>
        <v>2</v>
      </c>
      <c r="V11" s="93"/>
      <c r="W11" s="92">
        <v>200</v>
      </c>
      <c r="X11">
        <v>100</v>
      </c>
      <c r="Y11" s="361">
        <v>2.0833333333333333E-3</v>
      </c>
      <c r="Z11" s="361">
        <v>1.7361111111111112E-4</v>
      </c>
      <c r="AA11">
        <v>6000</v>
      </c>
      <c r="AB11">
        <f>ROUNDDOWN((AA11-4)/(X3+4),0)</f>
        <v>3</v>
      </c>
      <c r="AC11">
        <f>ROUNDUP(X2/AB11,0)</f>
        <v>34</v>
      </c>
      <c r="AD11" t="e">
        <f>ROUNDUP(AC11/X9,0)</f>
        <v>#DIV/0!</v>
      </c>
      <c r="AE11" s="120" t="e">
        <f>(AC11*Z11)+((5/1440)*AD11)</f>
        <v>#DIV/0!</v>
      </c>
      <c r="AF11" s="120" t="e">
        <f>Y11*(X2/AC11+1)*AD11</f>
        <v>#DIV/0!</v>
      </c>
      <c r="AG11" s="314" t="e">
        <f>SUM(AE11:AF11)</f>
        <v>#DIV/0!</v>
      </c>
    </row>
    <row r="12" spans="1:33">
      <c r="A12" s="92"/>
      <c r="N12" s="93"/>
      <c r="O12" s="92" t="s">
        <v>879</v>
      </c>
      <c r="P12">
        <f>KALKULATOR!I1</f>
        <v>100</v>
      </c>
      <c r="T12" s="106" t="s">
        <v>657</v>
      </c>
      <c r="U12" s="264">
        <f>S18+((S19+VLOOKUP(P13,R14:S16,2,TRUE)*P11*VLOOKUP(P10,O15:P19,2,FALSE))*P12)</f>
        <v>8.6574074074074067E-2</v>
      </c>
      <c r="V12" s="221">
        <f>U12*24*$V$10</f>
        <v>2.0777777777777775</v>
      </c>
      <c r="W12" s="92">
        <v>250</v>
      </c>
      <c r="X12">
        <v>150</v>
      </c>
      <c r="Y12" s="361">
        <v>2.0833333333333333E-3</v>
      </c>
      <c r="Z12" s="361">
        <v>1.7361111111111112E-4</v>
      </c>
      <c r="AA12">
        <v>6000</v>
      </c>
      <c r="AB12" t="e">
        <f>ROUNDUP(X2/X9,0)</f>
        <v>#DIV/0!</v>
      </c>
      <c r="AC12" t="e">
        <f>ROUNDUP(X2/AB12,0)</f>
        <v>#DIV/0!</v>
      </c>
      <c r="AD12" t="e">
        <f>AC12/X9</f>
        <v>#DIV/0!</v>
      </c>
      <c r="AE12" s="120" t="e">
        <f>IF(AB12&lt;AB11,(AC12*Z12)+((5/1440)*AD12),0)</f>
        <v>#DIV/0!</v>
      </c>
      <c r="AF12" s="120" t="e">
        <f>IF(AB12&lt;AB11,Y12*(AB12+1)*AD12,0)</f>
        <v>#DIV/0!</v>
      </c>
      <c r="AG12" s="314" t="e">
        <f>SUM(AE12:AF12)</f>
        <v>#DIV/0!</v>
      </c>
    </row>
    <row r="13" spans="1:33">
      <c r="A13" s="92"/>
      <c r="B13" s="521" t="s">
        <v>622</v>
      </c>
      <c r="C13" s="521"/>
      <c r="D13" s="521"/>
      <c r="E13" s="521"/>
      <c r="F13" s="521"/>
      <c r="H13" s="521" t="s">
        <v>623</v>
      </c>
      <c r="I13" s="521"/>
      <c r="J13" s="521"/>
      <c r="K13" s="521"/>
      <c r="L13" s="521"/>
      <c r="N13" s="93"/>
      <c r="O13" s="92" t="s">
        <v>1082</v>
      </c>
      <c r="P13">
        <f>VLOOKUP(KALKULATOR!B1,Materiały_zakupowe!A:U,21,FALSE)</f>
        <v>3</v>
      </c>
      <c r="R13" s="27" t="s">
        <v>1026</v>
      </c>
      <c r="S13" s="27"/>
      <c r="T13" s="106" t="s">
        <v>639</v>
      </c>
      <c r="U13" s="261">
        <v>3.472222222222222E-3</v>
      </c>
      <c r="V13" s="221">
        <f>U13*24*$V$10</f>
        <v>8.3333333333333329E-2</v>
      </c>
      <c r="W13" s="92"/>
      <c r="AG13" s="93"/>
    </row>
    <row r="14" spans="1:33">
      <c r="A14" s="92"/>
      <c r="B14" s="248">
        <v>0</v>
      </c>
      <c r="C14" s="248">
        <v>100</v>
      </c>
      <c r="D14" s="248">
        <v>200</v>
      </c>
      <c r="E14" s="248">
        <v>400</v>
      </c>
      <c r="F14" s="248">
        <v>600</v>
      </c>
      <c r="H14" s="248">
        <v>0</v>
      </c>
      <c r="I14" s="248">
        <v>100</v>
      </c>
      <c r="J14" s="248">
        <v>200</v>
      </c>
      <c r="K14" s="248">
        <v>400</v>
      </c>
      <c r="L14" s="248">
        <v>600</v>
      </c>
      <c r="M14" s="501" t="s">
        <v>992</v>
      </c>
      <c r="N14" s="511"/>
      <c r="O14" s="92"/>
      <c r="R14">
        <v>0</v>
      </c>
      <c r="S14" s="104">
        <v>1.7361111111111112E-4</v>
      </c>
      <c r="V14" s="93"/>
      <c r="W14" s="92"/>
      <c r="AG14" s="93"/>
    </row>
    <row r="15" spans="1:33">
      <c r="A15" s="262" t="s">
        <v>1083</v>
      </c>
      <c r="B15">
        <v>0</v>
      </c>
      <c r="C15">
        <v>50</v>
      </c>
      <c r="D15">
        <v>25</v>
      </c>
      <c r="E15">
        <v>0</v>
      </c>
      <c r="F15">
        <v>0</v>
      </c>
      <c r="G15" s="258" t="s">
        <v>1083</v>
      </c>
      <c r="H15">
        <v>5000</v>
      </c>
      <c r="I15">
        <v>0</v>
      </c>
      <c r="J15">
        <v>5000</v>
      </c>
      <c r="K15">
        <v>15000</v>
      </c>
      <c r="L15">
        <v>15000</v>
      </c>
      <c r="M15" s="259" t="s">
        <v>1083</v>
      </c>
      <c r="N15" s="282">
        <v>1</v>
      </c>
      <c r="O15" s="92" t="s">
        <v>1031</v>
      </c>
      <c r="P15">
        <v>1</v>
      </c>
      <c r="R15">
        <v>1.51</v>
      </c>
      <c r="S15" s="104">
        <v>2.0833333333333335E-4</v>
      </c>
      <c r="V15" s="93"/>
      <c r="W15" s="92" t="s">
        <v>1152</v>
      </c>
      <c r="X15" t="e">
        <f>ROUNDDOWN(W11/X5,0)</f>
        <v>#DIV/0!</v>
      </c>
      <c r="Y15" t="e">
        <f>ROUNDDOWN(X11/X6,0)</f>
        <v>#DIV/0!</v>
      </c>
      <c r="Z15" t="e">
        <f>X15*Y15</f>
        <v>#DIV/0!</v>
      </c>
      <c r="AG15" s="93"/>
    </row>
    <row r="16" spans="1:33">
      <c r="A16" s="262" t="s">
        <v>1084</v>
      </c>
      <c r="B16">
        <v>0</v>
      </c>
      <c r="C16">
        <v>50</v>
      </c>
      <c r="D16">
        <v>25</v>
      </c>
      <c r="E16">
        <v>0</v>
      </c>
      <c r="F16">
        <v>0</v>
      </c>
      <c r="G16" s="258" t="s">
        <v>1084</v>
      </c>
      <c r="H16">
        <v>5000</v>
      </c>
      <c r="I16">
        <v>0</v>
      </c>
      <c r="J16">
        <v>5000</v>
      </c>
      <c r="K16">
        <v>15000</v>
      </c>
      <c r="L16">
        <v>15000</v>
      </c>
      <c r="M16" s="259" t="s">
        <v>1084</v>
      </c>
      <c r="N16" s="282">
        <v>1</v>
      </c>
      <c r="O16" s="92" t="s">
        <v>1032</v>
      </c>
      <c r="P16">
        <v>1.1000000000000001</v>
      </c>
      <c r="R16">
        <v>2.0099999999999998</v>
      </c>
      <c r="S16" s="104">
        <v>2.3148148148148146E-4</v>
      </c>
      <c r="V16" s="93"/>
      <c r="W16" s="92" t="s">
        <v>1153</v>
      </c>
      <c r="X16" t="e">
        <f>ROUNDDOWN(W12/X5,0)</f>
        <v>#DIV/0!</v>
      </c>
      <c r="Y16" t="e">
        <f>ROUNDDOWN(X12/X6,0)</f>
        <v>#DIV/0!</v>
      </c>
      <c r="Z16" t="e">
        <f>X16*Y16</f>
        <v>#DIV/0!</v>
      </c>
      <c r="AG16" s="93"/>
    </row>
    <row r="17" spans="1:33">
      <c r="A17" s="262" t="s">
        <v>1085</v>
      </c>
      <c r="B17">
        <v>0</v>
      </c>
      <c r="C17">
        <v>40</v>
      </c>
      <c r="D17">
        <v>15</v>
      </c>
      <c r="E17">
        <v>15</v>
      </c>
      <c r="F17">
        <v>0</v>
      </c>
      <c r="G17" s="258" t="s">
        <v>1085</v>
      </c>
      <c r="H17">
        <v>5000</v>
      </c>
      <c r="I17">
        <v>1000</v>
      </c>
      <c r="J17">
        <v>6000</v>
      </c>
      <c r="K17">
        <v>6000</v>
      </c>
      <c r="L17">
        <v>15000</v>
      </c>
      <c r="M17" s="259" t="s">
        <v>1085</v>
      </c>
      <c r="N17" s="282">
        <v>1</v>
      </c>
      <c r="O17" s="92" t="s">
        <v>1033</v>
      </c>
      <c r="P17">
        <v>1.2</v>
      </c>
      <c r="V17" s="93"/>
      <c r="W17" s="92"/>
      <c r="AG17" s="93"/>
    </row>
    <row r="18" spans="1:33">
      <c r="A18" s="262" t="s">
        <v>1086</v>
      </c>
      <c r="B18">
        <v>0</v>
      </c>
      <c r="C18">
        <v>30</v>
      </c>
      <c r="D18">
        <v>20</v>
      </c>
      <c r="E18">
        <v>15</v>
      </c>
      <c r="F18">
        <v>0</v>
      </c>
      <c r="G18" s="258" t="s">
        <v>1086</v>
      </c>
      <c r="H18">
        <v>5000</v>
      </c>
      <c r="I18">
        <v>2000</v>
      </c>
      <c r="J18">
        <v>4000</v>
      </c>
      <c r="K18">
        <v>6000</v>
      </c>
      <c r="L18">
        <v>15000</v>
      </c>
      <c r="M18" s="259" t="s">
        <v>1086</v>
      </c>
      <c r="N18" s="282">
        <v>1</v>
      </c>
      <c r="O18" s="92" t="s">
        <v>1034</v>
      </c>
      <c r="P18">
        <v>1.3</v>
      </c>
      <c r="R18" t="s">
        <v>1028</v>
      </c>
      <c r="S18" s="104">
        <v>9.0277777777777787E-3</v>
      </c>
      <c r="V18" s="93"/>
      <c r="W18" s="92"/>
      <c r="AG18" s="93"/>
    </row>
    <row r="19" spans="1:33" ht="15.75" thickBot="1">
      <c r="A19" s="262" t="s">
        <v>1087</v>
      </c>
      <c r="B19">
        <v>0</v>
      </c>
      <c r="C19">
        <v>20</v>
      </c>
      <c r="D19">
        <v>15</v>
      </c>
      <c r="E19">
        <v>15</v>
      </c>
      <c r="F19">
        <v>0</v>
      </c>
      <c r="G19" s="258" t="s">
        <v>1087</v>
      </c>
      <c r="H19">
        <v>5000</v>
      </c>
      <c r="I19">
        <v>3000</v>
      </c>
      <c r="J19">
        <v>4000</v>
      </c>
      <c r="K19">
        <v>4000</v>
      </c>
      <c r="L19">
        <v>13000</v>
      </c>
      <c r="M19" s="259" t="s">
        <v>1087</v>
      </c>
      <c r="N19" s="282">
        <v>1.3</v>
      </c>
      <c r="O19" s="94" t="s">
        <v>1035</v>
      </c>
      <c r="P19" s="97">
        <v>1.4</v>
      </c>
      <c r="Q19" s="97"/>
      <c r="R19" s="97" t="s">
        <v>1027</v>
      </c>
      <c r="S19" s="279">
        <v>1.7361111111111112E-4</v>
      </c>
      <c r="T19" s="97"/>
      <c r="U19" s="97"/>
      <c r="V19" s="95"/>
      <c r="W19" s="94"/>
      <c r="X19" s="97"/>
      <c r="Y19" s="97"/>
      <c r="Z19" s="97"/>
      <c r="AA19" s="97"/>
      <c r="AB19" s="97"/>
      <c r="AC19" s="97"/>
      <c r="AD19" s="97"/>
      <c r="AE19" s="97"/>
      <c r="AF19" s="97"/>
      <c r="AG19" s="95"/>
    </row>
    <row r="20" spans="1:33">
      <c r="A20" s="262" t="s">
        <v>1088</v>
      </c>
      <c r="B20">
        <v>0</v>
      </c>
      <c r="C20">
        <v>20</v>
      </c>
      <c r="D20">
        <v>0</v>
      </c>
      <c r="E20">
        <v>0</v>
      </c>
      <c r="F20">
        <v>0</v>
      </c>
      <c r="G20" s="258" t="s">
        <v>1088</v>
      </c>
      <c r="H20">
        <v>4000</v>
      </c>
      <c r="I20">
        <v>2000</v>
      </c>
      <c r="J20">
        <v>6000</v>
      </c>
      <c r="K20">
        <v>6000</v>
      </c>
      <c r="L20">
        <v>6000</v>
      </c>
      <c r="M20" s="259" t="s">
        <v>1088</v>
      </c>
      <c r="N20" s="282">
        <v>1.3</v>
      </c>
      <c r="O20" s="518" t="s">
        <v>1092</v>
      </c>
      <c r="P20" s="519"/>
      <c r="Q20" s="519"/>
      <c r="R20" s="519"/>
      <c r="S20" s="519"/>
      <c r="T20" s="519"/>
      <c r="U20" s="519"/>
      <c r="V20" s="520"/>
      <c r="W20" s="518" t="s">
        <v>1162</v>
      </c>
      <c r="X20" s="519"/>
      <c r="Y20" s="519"/>
      <c r="Z20" s="519"/>
      <c r="AA20" s="519"/>
      <c r="AB20" s="519"/>
      <c r="AC20" s="519"/>
      <c r="AD20" s="519"/>
      <c r="AE20" s="519"/>
      <c r="AF20" s="519"/>
      <c r="AG20" s="520"/>
    </row>
    <row r="21" spans="1:33">
      <c r="A21" s="262" t="s">
        <v>1089</v>
      </c>
      <c r="B21">
        <v>0</v>
      </c>
      <c r="C21">
        <v>20</v>
      </c>
      <c r="D21">
        <v>0</v>
      </c>
      <c r="E21">
        <v>0</v>
      </c>
      <c r="F21">
        <v>0</v>
      </c>
      <c r="G21" s="258" t="s">
        <v>1089</v>
      </c>
      <c r="H21">
        <v>4000</v>
      </c>
      <c r="I21">
        <v>2000</v>
      </c>
      <c r="J21">
        <v>6000</v>
      </c>
      <c r="K21">
        <v>6000</v>
      </c>
      <c r="L21">
        <v>6000</v>
      </c>
      <c r="M21" s="259" t="s">
        <v>1089</v>
      </c>
      <c r="N21" s="282">
        <v>1.8</v>
      </c>
      <c r="O21" s="92" t="s">
        <v>1093</v>
      </c>
      <c r="P21">
        <f>KALKULATOR!C151</f>
        <v>2</v>
      </c>
      <c r="U21" t="s">
        <v>389</v>
      </c>
      <c r="V21" s="107">
        <v>1</v>
      </c>
      <c r="W21" s="92" t="s">
        <v>1161</v>
      </c>
      <c r="X21">
        <f>VLOOKUP(KALKULATOR!B1,Tabela1[],30,FALSE)</f>
        <v>0</v>
      </c>
      <c r="AF21" t="s">
        <v>389</v>
      </c>
      <c r="AG21" s="107">
        <v>1</v>
      </c>
    </row>
    <row r="22" spans="1:33">
      <c r="A22" s="262" t="s">
        <v>1090</v>
      </c>
      <c r="B22">
        <v>0</v>
      </c>
      <c r="C22">
        <v>20</v>
      </c>
      <c r="D22">
        <v>0</v>
      </c>
      <c r="E22">
        <v>0</v>
      </c>
      <c r="F22">
        <v>0</v>
      </c>
      <c r="G22" s="258" t="s">
        <v>1090</v>
      </c>
      <c r="H22">
        <v>4000</v>
      </c>
      <c r="I22">
        <v>2000</v>
      </c>
      <c r="J22">
        <v>6000</v>
      </c>
      <c r="K22">
        <v>6000</v>
      </c>
      <c r="L22">
        <v>6000</v>
      </c>
      <c r="M22" s="259" t="s">
        <v>1090</v>
      </c>
      <c r="N22" s="282">
        <v>1.8</v>
      </c>
      <c r="O22" s="92" t="s">
        <v>1097</v>
      </c>
      <c r="P22">
        <f>KALKULATOR!I1</f>
        <v>100</v>
      </c>
      <c r="V22" s="93"/>
      <c r="W22" s="92" t="s">
        <v>1165</v>
      </c>
      <c r="X22">
        <f>KALKULATOR!C171</f>
        <v>1</v>
      </c>
      <c r="AG22" s="93"/>
    </row>
    <row r="23" spans="1:33">
      <c r="A23" s="262" t="s">
        <v>1091</v>
      </c>
      <c r="B23">
        <v>0</v>
      </c>
      <c r="C23">
        <v>20</v>
      </c>
      <c r="D23">
        <v>0</v>
      </c>
      <c r="E23">
        <v>0</v>
      </c>
      <c r="F23">
        <v>0</v>
      </c>
      <c r="G23" s="258" t="s">
        <v>1091</v>
      </c>
      <c r="H23">
        <v>4600</v>
      </c>
      <c r="I23">
        <v>5700</v>
      </c>
      <c r="J23">
        <v>0</v>
      </c>
      <c r="K23">
        <v>0</v>
      </c>
      <c r="L23">
        <v>0</v>
      </c>
      <c r="M23" s="259" t="s">
        <v>1091</v>
      </c>
      <c r="N23" s="282">
        <v>1</v>
      </c>
      <c r="O23" s="92"/>
      <c r="T23" s="106" t="s">
        <v>657</v>
      </c>
      <c r="U23" s="264">
        <f>(P24+(P25*P21))+((P26+P21*P27)*P22)</f>
        <v>4.7222222222222221E-2</v>
      </c>
      <c r="V23" s="221">
        <f>U23*24*$V$21</f>
        <v>1.1333333333333333</v>
      </c>
      <c r="W23" s="92" t="s">
        <v>879</v>
      </c>
      <c r="X23">
        <f>KALKULATOR!I1</f>
        <v>100</v>
      </c>
      <c r="AE23" s="106" t="s">
        <v>657</v>
      </c>
      <c r="AF23" s="264" t="e">
        <f>VLOOKUP($X$21,$W$27:$AB$30,6,FALSE)</f>
        <v>#N/A</v>
      </c>
      <c r="AG23" s="221" t="e">
        <f>AF23*24*AG21</f>
        <v>#N/A</v>
      </c>
    </row>
    <row r="24" spans="1:33" ht="15.75" thickBot="1">
      <c r="A24" s="94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5"/>
      <c r="O24" s="92" t="s">
        <v>1094</v>
      </c>
      <c r="P24" s="104">
        <v>1.5972222222222224E-2</v>
      </c>
      <c r="T24" s="106" t="s">
        <v>639</v>
      </c>
      <c r="U24" s="261">
        <v>3.472222222222222E-3</v>
      </c>
      <c r="V24" s="221">
        <f>U24*24*$V$21</f>
        <v>8.3333333333333329E-2</v>
      </c>
      <c r="W24" s="92"/>
      <c r="AE24" s="106" t="s">
        <v>639</v>
      </c>
      <c r="AF24" s="261">
        <v>3.472222222222222E-3</v>
      </c>
      <c r="AG24" s="221">
        <f>AF24*24*AG21</f>
        <v>8.3333333333333329E-2</v>
      </c>
    </row>
    <row r="25" spans="1:33">
      <c r="A25" s="518" t="s">
        <v>996</v>
      </c>
      <c r="B25" s="519"/>
      <c r="C25" s="519"/>
      <c r="D25" s="519"/>
      <c r="E25" s="519"/>
      <c r="F25" s="519"/>
      <c r="G25" s="519"/>
      <c r="H25" s="519"/>
      <c r="I25" s="519"/>
      <c r="J25" s="519"/>
      <c r="K25" s="519"/>
      <c r="L25" s="519"/>
      <c r="M25" s="519"/>
      <c r="N25" s="520"/>
      <c r="O25" s="92" t="s">
        <v>1095</v>
      </c>
      <c r="P25" s="104">
        <v>3.472222222222222E-3</v>
      </c>
      <c r="V25" s="93"/>
      <c r="W25" s="92"/>
      <c r="AG25" s="93"/>
    </row>
    <row r="26" spans="1:33">
      <c r="A26" s="263" t="s">
        <v>1000</v>
      </c>
      <c r="B26" t="str">
        <f>KALKULATOR!C128</f>
        <v>KĄTOWE</v>
      </c>
      <c r="M26" t="s">
        <v>389</v>
      </c>
      <c r="N26" s="107">
        <v>1</v>
      </c>
      <c r="O26" s="92" t="s">
        <v>1096</v>
      </c>
      <c r="P26" s="104">
        <v>1.7361111111111112E-4</v>
      </c>
      <c r="V26" s="93"/>
      <c r="W26" s="92"/>
      <c r="AG26" s="93"/>
    </row>
    <row r="27" spans="1:33" ht="15.75" thickBot="1">
      <c r="A27" s="92" t="s">
        <v>999</v>
      </c>
      <c r="B27">
        <f>KALKULATOR!D128</f>
        <v>4</v>
      </c>
      <c r="N27" s="93"/>
      <c r="O27" s="94" t="s">
        <v>1098</v>
      </c>
      <c r="P27" s="279">
        <v>3.4722222222222222E-5</v>
      </c>
      <c r="Q27" s="97"/>
      <c r="R27" s="97"/>
      <c r="S27" s="97"/>
      <c r="T27" s="97"/>
      <c r="U27" s="97"/>
      <c r="V27" s="95"/>
      <c r="W27" s="92"/>
      <c r="X27" t="s">
        <v>1140</v>
      </c>
      <c r="Y27" t="s">
        <v>1166</v>
      </c>
      <c r="Z27" t="s">
        <v>12</v>
      </c>
      <c r="AA27" t="s">
        <v>1167</v>
      </c>
      <c r="AB27" t="s">
        <v>1168</v>
      </c>
      <c r="AG27" s="93"/>
    </row>
    <row r="28" spans="1:33">
      <c r="A28" s="92" t="s">
        <v>990</v>
      </c>
      <c r="B28">
        <f>KALKULATOR!I1</f>
        <v>100</v>
      </c>
      <c r="L28" s="106" t="s">
        <v>657</v>
      </c>
      <c r="M28" s="264">
        <f>VLOOKUP(B26,A31:B32,2,FALSE)*B27*B28</f>
        <v>6.9444444444444448E-2</v>
      </c>
      <c r="N28" s="221">
        <f>M28*$N$26*24</f>
        <v>1.6666666666666667</v>
      </c>
      <c r="O28" s="518" t="s">
        <v>1100</v>
      </c>
      <c r="P28" s="519"/>
      <c r="Q28" s="519"/>
      <c r="R28" s="519"/>
      <c r="S28" s="519"/>
      <c r="T28" s="519"/>
      <c r="U28" s="519"/>
      <c r="V28" s="520"/>
      <c r="W28" s="92" t="s">
        <v>1158</v>
      </c>
      <c r="X28" s="366">
        <v>3.4722222222222222E-5</v>
      </c>
      <c r="Y28" s="367">
        <v>2.7777777777777779E-3</v>
      </c>
      <c r="Z28" s="368">
        <v>1.0416666666666666E-2</v>
      </c>
      <c r="AA28" s="369">
        <v>9.2592592592592588E-5</v>
      </c>
      <c r="AB28" s="120">
        <f>(Z28+(Y28*X22))+((AA28+X22*X28)*X23)</f>
        <v>2.5925925925925925E-2</v>
      </c>
      <c r="AG28" s="93"/>
    </row>
    <row r="29" spans="1:33">
      <c r="A29" s="92"/>
      <c r="L29" s="106" t="s">
        <v>639</v>
      </c>
      <c r="M29" s="264">
        <v>2.7777777777777776E-2</v>
      </c>
      <c r="N29" s="221">
        <f>M29*$N$26*24</f>
        <v>0.66666666666666663</v>
      </c>
      <c r="O29" s="92"/>
      <c r="U29" t="s">
        <v>389</v>
      </c>
      <c r="V29" s="107">
        <v>1</v>
      </c>
      <c r="W29" s="92" t="s">
        <v>1160</v>
      </c>
      <c r="X29" s="366">
        <v>3.4722222222222222E-5</v>
      </c>
      <c r="Y29" s="367">
        <v>1.3888888888888889E-3</v>
      </c>
      <c r="Z29" s="368">
        <v>9.7222222222222224E-3</v>
      </c>
      <c r="AA29" s="369">
        <v>9.2592592592592588E-5</v>
      </c>
      <c r="AB29" s="120">
        <f>(Z29+(Y29*X22))+((AA29+X22*X29)*X23)</f>
        <v>2.3842592592592592E-2</v>
      </c>
      <c r="AG29" s="93"/>
    </row>
    <row r="30" spans="1:33" ht="15.75" thickBot="1">
      <c r="A30" s="92"/>
      <c r="N30" s="93"/>
      <c r="O30" s="92" t="s">
        <v>534</v>
      </c>
      <c r="P30">
        <f>VLOOKUP(KALKULATOR!B1,Materiały_zakupowe!A:AD,21,FALSE)</f>
        <v>3</v>
      </c>
      <c r="V30" s="93"/>
      <c r="W30" s="94" t="s">
        <v>1159</v>
      </c>
      <c r="X30" s="370">
        <v>3.4722222222222222E-5</v>
      </c>
      <c r="Y30" s="371">
        <v>1.3888888888888889E-3</v>
      </c>
      <c r="Z30" s="372">
        <v>9.7222222222222224E-3</v>
      </c>
      <c r="AA30" s="373">
        <v>9.2592592592592588E-5</v>
      </c>
      <c r="AB30" s="374">
        <f>(Z30+(Y30*X22))+((AA30+X22*X30)*X23)</f>
        <v>2.3842592592592592E-2</v>
      </c>
      <c r="AC30" s="97"/>
      <c r="AD30" s="97"/>
      <c r="AE30" s="97"/>
      <c r="AF30" s="97"/>
      <c r="AG30" s="95"/>
    </row>
    <row r="31" spans="1:33">
      <c r="A31" s="92" t="s">
        <v>997</v>
      </c>
      <c r="B31" s="26">
        <v>1.7361111111111112E-4</v>
      </c>
      <c r="N31" s="93"/>
      <c r="O31" s="92" t="s">
        <v>1101</v>
      </c>
      <c r="P31">
        <f>KALKULATOR!C155</f>
        <v>2</v>
      </c>
      <c r="T31" s="106" t="s">
        <v>657</v>
      </c>
      <c r="U31" s="264">
        <f>P34+((P35+VLOOKUP(P30,O37:P39,2,TRUE)*P31)*P32)</f>
        <v>3.3564814814814811E-2</v>
      </c>
      <c r="V31" s="221">
        <f>U31*24*$V$29</f>
        <v>0.80555555555555547</v>
      </c>
      <c r="W31" s="518" t="s">
        <v>1169</v>
      </c>
      <c r="X31" s="519"/>
      <c r="Y31" s="519"/>
      <c r="Z31" s="519"/>
      <c r="AA31" s="519"/>
      <c r="AB31" s="519"/>
      <c r="AC31" s="519"/>
      <c r="AD31" s="519"/>
      <c r="AE31" s="519"/>
      <c r="AF31" s="519"/>
      <c r="AG31" s="520"/>
    </row>
    <row r="32" spans="1:33">
      <c r="A32" s="92" t="s">
        <v>998</v>
      </c>
      <c r="B32" s="26">
        <v>3.4722222222222224E-4</v>
      </c>
      <c r="N32" s="93"/>
      <c r="O32" s="92" t="s">
        <v>879</v>
      </c>
      <c r="P32">
        <f>KALKULATOR!I1</f>
        <v>100</v>
      </c>
      <c r="T32" s="106" t="s">
        <v>639</v>
      </c>
      <c r="U32" s="261">
        <v>3.472222222222222E-3</v>
      </c>
      <c r="V32" s="221">
        <f>U32*24*$V$29</f>
        <v>8.3333333333333329E-2</v>
      </c>
      <c r="W32" s="92" t="s">
        <v>1161</v>
      </c>
      <c r="X32">
        <f>VLOOKUP(KALKULATOR!B1,Tabela1[],30,FALSE)</f>
        <v>0</v>
      </c>
      <c r="AF32" t="s">
        <v>389</v>
      </c>
      <c r="AG32" s="107">
        <v>1</v>
      </c>
    </row>
    <row r="33" spans="1:33">
      <c r="A33" s="92"/>
      <c r="N33" s="93"/>
      <c r="O33" s="92"/>
      <c r="V33" s="93"/>
      <c r="W33" s="92" t="s">
        <v>1170</v>
      </c>
      <c r="X33">
        <f>KALKULATOR!C175</f>
        <v>2</v>
      </c>
      <c r="AG33" s="93"/>
    </row>
    <row r="34" spans="1:33" ht="15.75" thickBot="1">
      <c r="A34" s="94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5"/>
      <c r="O34" s="92" t="s">
        <v>1102</v>
      </c>
      <c r="P34" s="104">
        <v>6.9444444444444441E-3</v>
      </c>
      <c r="V34" s="93"/>
      <c r="W34" s="92" t="s">
        <v>879</v>
      </c>
      <c r="X34">
        <f>KALKULATOR!I1</f>
        <v>100</v>
      </c>
      <c r="AE34" s="106" t="s">
        <v>657</v>
      </c>
      <c r="AF34" s="264" t="e">
        <f>VLOOKUP($X$32,$W$37:$AA$40,5,FALSE)</f>
        <v>#N/A</v>
      </c>
      <c r="AG34" s="221" t="e">
        <f>AF34*24*AG32</f>
        <v>#N/A</v>
      </c>
    </row>
    <row r="35" spans="1:33">
      <c r="A35" s="518" t="s">
        <v>1009</v>
      </c>
      <c r="B35" s="519"/>
      <c r="C35" s="519"/>
      <c r="D35" s="519"/>
      <c r="E35" s="519"/>
      <c r="F35" s="519"/>
      <c r="G35" s="519"/>
      <c r="H35" s="519"/>
      <c r="I35" s="519"/>
      <c r="J35" s="519"/>
      <c r="K35" s="519"/>
      <c r="L35" s="519"/>
      <c r="M35" s="519"/>
      <c r="N35" s="520"/>
      <c r="O35" s="92" t="s">
        <v>1103</v>
      </c>
      <c r="P35" s="104">
        <v>1.7361111111111112E-4</v>
      </c>
      <c r="V35" s="93"/>
      <c r="W35" s="92"/>
      <c r="AE35" s="106" t="s">
        <v>639</v>
      </c>
      <c r="AF35" s="261">
        <v>3.472222222222222E-3</v>
      </c>
      <c r="AG35" s="221">
        <f>AF35*24*AG32</f>
        <v>8.3333333333333329E-2</v>
      </c>
    </row>
    <row r="36" spans="1:33">
      <c r="A36" s="92" t="s">
        <v>1003</v>
      </c>
      <c r="B36">
        <f>KALKULATOR!C132</f>
        <v>2</v>
      </c>
      <c r="M36" t="s">
        <v>389</v>
      </c>
      <c r="N36" s="107">
        <v>1</v>
      </c>
      <c r="O36" s="502" t="s">
        <v>1026</v>
      </c>
      <c r="P36" s="501"/>
      <c r="V36" s="93"/>
      <c r="W36" s="92"/>
      <c r="X36" t="s">
        <v>1140</v>
      </c>
      <c r="Y36" t="s">
        <v>1166</v>
      </c>
      <c r="Z36" t="s">
        <v>1167</v>
      </c>
      <c r="AA36" t="s">
        <v>1168</v>
      </c>
      <c r="AG36" s="93"/>
    </row>
    <row r="37" spans="1:33">
      <c r="A37" s="92" t="s">
        <v>1004</v>
      </c>
      <c r="B37">
        <f>KALKULATOR!D132</f>
        <v>8</v>
      </c>
      <c r="D37" t="s">
        <v>1010</v>
      </c>
      <c r="E37" t="s">
        <v>1011</v>
      </c>
      <c r="F37" t="s">
        <v>1012</v>
      </c>
      <c r="G37" t="s">
        <v>1013</v>
      </c>
      <c r="L37" t="s">
        <v>1009</v>
      </c>
      <c r="N37" s="93"/>
      <c r="O37" s="92">
        <v>0</v>
      </c>
      <c r="P37" s="104">
        <v>3.4722222222222222E-5</v>
      </c>
      <c r="V37" s="93"/>
      <c r="W37" s="92" t="s">
        <v>1158</v>
      </c>
      <c r="X37" s="375">
        <v>3.4722222222222222E-5</v>
      </c>
      <c r="Y37" s="376">
        <v>3.4722222222222222E-5</v>
      </c>
      <c r="Z37" s="369">
        <v>4.6296296296296294E-5</v>
      </c>
      <c r="AA37" s="120">
        <f>(X33*X37+Y37+Z37)*X34</f>
        <v>1.5046296296296295E-2</v>
      </c>
      <c r="AG37" s="93"/>
    </row>
    <row r="38" spans="1:33">
      <c r="A38" s="92" t="s">
        <v>1005</v>
      </c>
      <c r="B38">
        <f>KALKULATOR!E132</f>
        <v>0</v>
      </c>
      <c r="D38" s="26">
        <v>3.4722222222222224E-4</v>
      </c>
      <c r="E38" s="26">
        <v>1.3888888888888889E-4</v>
      </c>
      <c r="F38" s="26">
        <v>2.3148148148148147E-5</v>
      </c>
      <c r="G38" s="26">
        <v>2.3148148148148146E-4</v>
      </c>
      <c r="L38" s="106" t="s">
        <v>657</v>
      </c>
      <c r="M38" s="120">
        <f>(B36*D38+B37*E38+G38*(B39/100)+B38*F38)*B40</f>
        <v>0.18055555555555555</v>
      </c>
      <c r="N38" s="107">
        <f>M38*24*$N$36</f>
        <v>4.333333333333333</v>
      </c>
      <c r="O38" s="92">
        <v>1.51</v>
      </c>
      <c r="P38" s="104">
        <v>4.6296296296296294E-5</v>
      </c>
      <c r="V38" s="93"/>
      <c r="W38" s="92" t="s">
        <v>1160</v>
      </c>
      <c r="X38" s="375">
        <v>3.4722222222222222E-5</v>
      </c>
      <c r="Y38" s="376">
        <v>3.4722222222222222E-5</v>
      </c>
      <c r="Z38" s="369">
        <v>4.6296296296296294E-5</v>
      </c>
      <c r="AA38" s="120">
        <f>(X33*X38+Y38+Z38)*X34</f>
        <v>1.5046296296296295E-2</v>
      </c>
      <c r="AG38" s="93"/>
    </row>
    <row r="39" spans="1:33" ht="15.75" thickBot="1">
      <c r="A39" s="92" t="s">
        <v>1006</v>
      </c>
      <c r="B39">
        <f>KALKULATOR!F132</f>
        <v>0</v>
      </c>
      <c r="L39" s="106" t="s">
        <v>639</v>
      </c>
      <c r="M39" s="104">
        <v>6.9444444444444441E-3</v>
      </c>
      <c r="N39" s="107">
        <f>M39*24*$N$36</f>
        <v>0.16666666666666666</v>
      </c>
      <c r="O39" s="94">
        <v>3.01</v>
      </c>
      <c r="P39" s="279">
        <v>5.7870370370370366E-5</v>
      </c>
      <c r="Q39" s="97"/>
      <c r="R39" s="97"/>
      <c r="S39" s="97"/>
      <c r="T39" s="97"/>
      <c r="U39" s="97"/>
      <c r="V39" s="95"/>
      <c r="W39" s="94"/>
      <c r="X39" s="97"/>
      <c r="Y39" s="97"/>
      <c r="Z39" s="97"/>
      <c r="AA39" s="97"/>
      <c r="AB39" s="97"/>
      <c r="AC39" s="97"/>
      <c r="AD39" s="97"/>
      <c r="AE39" s="97"/>
      <c r="AF39" s="97"/>
      <c r="AG39" s="95"/>
    </row>
    <row r="40" spans="1:33">
      <c r="A40" s="92" t="s">
        <v>1007</v>
      </c>
      <c r="B40">
        <f>KALKULATOR!I1</f>
        <v>100</v>
      </c>
      <c r="N40" s="93"/>
      <c r="O40" s="518" t="s">
        <v>1104</v>
      </c>
      <c r="P40" s="519"/>
      <c r="Q40" s="519"/>
      <c r="R40" s="519"/>
      <c r="S40" s="519"/>
      <c r="T40" s="519"/>
      <c r="U40" s="519"/>
      <c r="V40" s="520"/>
      <c r="W40" s="518" t="s">
        <v>1175</v>
      </c>
      <c r="X40" s="519"/>
      <c r="Y40" s="519"/>
      <c r="Z40" s="519"/>
      <c r="AA40" s="519"/>
      <c r="AB40" s="519"/>
      <c r="AC40" s="519"/>
      <c r="AD40" s="519"/>
      <c r="AE40" s="519"/>
      <c r="AF40" s="519"/>
      <c r="AG40" s="520"/>
    </row>
    <row r="41" spans="1:33">
      <c r="A41" s="92"/>
      <c r="L41" t="s">
        <v>1008</v>
      </c>
      <c r="N41" s="93"/>
      <c r="O41" s="92" t="s">
        <v>1105</v>
      </c>
      <c r="P41">
        <f>VLOOKUP(KALKULATOR!B1,Materiały_zakupowe!A:AD,21,FALSE)</f>
        <v>3</v>
      </c>
      <c r="U41" t="s">
        <v>389</v>
      </c>
      <c r="V41" s="107">
        <v>1</v>
      </c>
      <c r="W41" s="92" t="s">
        <v>1161</v>
      </c>
      <c r="X41">
        <f>VLOOKUP(KALKULATOR!B1,Tabela1[],30,FALSE)</f>
        <v>0</v>
      </c>
      <c r="AF41" t="s">
        <v>389</v>
      </c>
      <c r="AG41" s="107">
        <v>1</v>
      </c>
    </row>
    <row r="42" spans="1:33">
      <c r="A42" s="92"/>
      <c r="L42" s="106" t="s">
        <v>657</v>
      </c>
      <c r="M42" s="120">
        <f>(D46+B37*E46+(B39/100*F46)+B38*G46)*B40*B44</f>
        <v>7.6388888888888881E-2</v>
      </c>
      <c r="N42" s="107">
        <f>M42*24*$N$36</f>
        <v>1.833333333333333</v>
      </c>
      <c r="O42" s="92" t="s">
        <v>1099</v>
      </c>
      <c r="P42">
        <f>KALKULATOR!C159</f>
        <v>3</v>
      </c>
      <c r="V42" s="93"/>
      <c r="W42" s="92" t="s">
        <v>879</v>
      </c>
      <c r="X42">
        <f>KALKULATOR!I1</f>
        <v>100</v>
      </c>
      <c r="AG42" s="93"/>
    </row>
    <row r="43" spans="1:33">
      <c r="A43" s="92"/>
      <c r="L43" s="106" t="s">
        <v>639</v>
      </c>
      <c r="M43" s="104">
        <v>3.472222222222222E-3</v>
      </c>
      <c r="N43" s="107">
        <f>M43*24*$N$36</f>
        <v>8.3333333333333329E-2</v>
      </c>
      <c r="O43" s="92" t="s">
        <v>879</v>
      </c>
      <c r="P43">
        <f>KALKULATOR!I1</f>
        <v>100</v>
      </c>
      <c r="T43" s="106" t="s">
        <v>657</v>
      </c>
      <c r="U43" s="264">
        <f>P47+((P48+VLOOKUP(P41,O45:P46,2,TRUE)*P42)*P43)</f>
        <v>3.9930555555555552E-2</v>
      </c>
      <c r="V43" s="221">
        <f>U43*24*$V$41</f>
        <v>0.95833333333333326</v>
      </c>
      <c r="W43" s="92" t="s">
        <v>1173</v>
      </c>
      <c r="X43">
        <f>KALKULATOR!C179</f>
        <v>3</v>
      </c>
      <c r="AE43" s="106" t="s">
        <v>657</v>
      </c>
      <c r="AF43" s="264" t="e">
        <f>VLOOKUP($X$41,$W$47:$AA$48,5,FALSE)</f>
        <v>#N/A</v>
      </c>
      <c r="AG43" s="221" t="e">
        <f>AF43*24*AG41</f>
        <v>#N/A</v>
      </c>
    </row>
    <row r="44" spans="1:33">
      <c r="A44" s="92" t="s">
        <v>1018</v>
      </c>
      <c r="B44" s="251">
        <f>KALKULATOR!C135</f>
        <v>1</v>
      </c>
      <c r="N44" s="93"/>
      <c r="O44" s="92" t="s">
        <v>1106</v>
      </c>
      <c r="T44" s="106" t="s">
        <v>639</v>
      </c>
      <c r="U44" s="261">
        <v>3.472222222222222E-3</v>
      </c>
      <c r="V44" s="221">
        <f>U44*24*$V$41</f>
        <v>8.3333333333333329E-2</v>
      </c>
      <c r="W44" s="92"/>
      <c r="AE44" s="106" t="s">
        <v>639</v>
      </c>
      <c r="AF44" s="261">
        <v>3.472222222222222E-3</v>
      </c>
      <c r="AG44" s="221">
        <f>AF44*24*AG41</f>
        <v>8.3333333333333329E-2</v>
      </c>
    </row>
    <row r="45" spans="1:33">
      <c r="A45" s="267">
        <v>0</v>
      </c>
      <c r="D45" t="s">
        <v>1014</v>
      </c>
      <c r="E45" t="s">
        <v>1015</v>
      </c>
      <c r="F45" t="s">
        <v>1016</v>
      </c>
      <c r="G45" t="s">
        <v>1017</v>
      </c>
      <c r="N45" s="93"/>
      <c r="O45" s="92">
        <v>0</v>
      </c>
      <c r="P45" s="281">
        <v>5.2083333333333337E-5</v>
      </c>
      <c r="V45" s="93"/>
      <c r="W45" s="92"/>
      <c r="AG45" s="93"/>
    </row>
    <row r="46" spans="1:33">
      <c r="A46" s="267">
        <v>0.5</v>
      </c>
      <c r="D46" s="26">
        <v>1.1574074074074073E-4</v>
      </c>
      <c r="E46" s="26">
        <v>8.1018518518518516E-5</v>
      </c>
      <c r="F46" s="26">
        <v>1.9675925925925928E-3</v>
      </c>
      <c r="G46" s="26">
        <v>5.7870370370370366E-5</v>
      </c>
      <c r="N46" s="93"/>
      <c r="O46" s="92">
        <v>3.1</v>
      </c>
      <c r="P46" s="104">
        <v>6.9444444444444444E-5</v>
      </c>
      <c r="V46" s="93"/>
      <c r="W46" s="92"/>
      <c r="X46" t="s">
        <v>1140</v>
      </c>
      <c r="Y46" t="s">
        <v>12</v>
      </c>
      <c r="Z46" t="s">
        <v>1167</v>
      </c>
      <c r="AA46" t="s">
        <v>693</v>
      </c>
      <c r="AG46" s="93"/>
    </row>
    <row r="47" spans="1:33">
      <c r="A47" s="267">
        <v>1</v>
      </c>
      <c r="N47" s="93"/>
      <c r="O47" s="92" t="s">
        <v>1102</v>
      </c>
      <c r="P47" s="104">
        <v>6.9444444444444441E-3</v>
      </c>
      <c r="V47" s="93"/>
      <c r="W47" s="92" t="s">
        <v>1160</v>
      </c>
      <c r="X47" s="378">
        <v>1.8750000000000003E-4</v>
      </c>
      <c r="Y47" s="379">
        <v>1.0416666666666666E-2</v>
      </c>
      <c r="Z47" s="380">
        <v>9.2592592592592588E-5</v>
      </c>
      <c r="AA47" s="26">
        <f>Y47+((Z47+X43*X47)*X42)</f>
        <v>7.5925925925925938E-2</v>
      </c>
      <c r="AG47" s="93"/>
    </row>
    <row r="48" spans="1:33" ht="15.75" thickBot="1">
      <c r="A48" s="94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5"/>
      <c r="O48" s="94" t="s">
        <v>1103</v>
      </c>
      <c r="P48" s="279">
        <v>1.7361111111111112E-4</v>
      </c>
      <c r="Q48" s="97"/>
      <c r="R48" s="97"/>
      <c r="S48" s="97"/>
      <c r="T48" s="97"/>
      <c r="U48" s="97"/>
      <c r="V48" s="95"/>
      <c r="W48" s="94" t="s">
        <v>1159</v>
      </c>
      <c r="X48" s="381">
        <v>1.8750000000000003E-4</v>
      </c>
      <c r="Y48" s="382">
        <v>1.0416666666666666E-2</v>
      </c>
      <c r="Z48" s="383">
        <v>9.2592592592592588E-5</v>
      </c>
      <c r="AA48" s="384">
        <f>Y48+((Z48+X43*X48)*X42)</f>
        <v>7.5925925925925938E-2</v>
      </c>
      <c r="AB48" s="97"/>
      <c r="AC48" s="97"/>
      <c r="AD48" s="97"/>
      <c r="AE48" s="97"/>
      <c r="AF48" s="97"/>
      <c r="AG48" s="95"/>
    </row>
    <row r="49" spans="1:33">
      <c r="A49" s="518" t="s">
        <v>1021</v>
      </c>
      <c r="B49" s="519"/>
      <c r="C49" s="519"/>
      <c r="D49" s="519"/>
      <c r="E49" s="519"/>
      <c r="F49" s="519"/>
      <c r="G49" s="519"/>
      <c r="H49" s="519"/>
      <c r="I49" s="519"/>
      <c r="J49" s="519"/>
      <c r="K49" s="519"/>
      <c r="L49" s="519"/>
      <c r="M49" s="519"/>
      <c r="N49" s="520"/>
      <c r="O49" s="518" t="s">
        <v>1107</v>
      </c>
      <c r="P49" s="519"/>
      <c r="Q49" s="519"/>
      <c r="R49" s="519"/>
      <c r="S49" s="519"/>
      <c r="T49" s="519"/>
      <c r="U49" s="519"/>
      <c r="V49" s="520"/>
      <c r="W49" s="518" t="s">
        <v>1176</v>
      </c>
      <c r="X49" s="519"/>
      <c r="Y49" s="519"/>
      <c r="Z49" s="519"/>
      <c r="AA49" s="519"/>
      <c r="AB49" s="519"/>
      <c r="AC49" s="519"/>
      <c r="AD49" s="519"/>
      <c r="AE49" s="519"/>
      <c r="AF49" s="519"/>
      <c r="AG49" s="520"/>
    </row>
    <row r="50" spans="1:33">
      <c r="A50" s="112">
        <v>4.1666666666666664E-2</v>
      </c>
      <c r="M50" t="s">
        <v>389</v>
      </c>
      <c r="N50" s="107">
        <v>1</v>
      </c>
      <c r="O50" s="92" t="s">
        <v>1105</v>
      </c>
      <c r="P50">
        <f>VLOOKUP(KALKULATOR!B1,Materiały_zakupowe!A:AD,21,FALSE)</f>
        <v>3</v>
      </c>
      <c r="U50" t="s">
        <v>389</v>
      </c>
      <c r="V50" s="107">
        <v>1</v>
      </c>
      <c r="W50" s="92" t="s">
        <v>1161</v>
      </c>
      <c r="X50">
        <f>VLOOKUP(KALKULATOR!B1,Tabela1[],30,FALSE)</f>
        <v>0</v>
      </c>
      <c r="AF50" t="s">
        <v>389</v>
      </c>
      <c r="AG50" s="107">
        <v>1</v>
      </c>
    </row>
    <row r="51" spans="1:33">
      <c r="A51" s="92" t="s">
        <v>1020</v>
      </c>
      <c r="B51">
        <f>KALKULATOR!C139</f>
        <v>0.5</v>
      </c>
      <c r="N51" s="93"/>
      <c r="O51" s="92" t="s">
        <v>1099</v>
      </c>
      <c r="P51">
        <f>KALKULATOR!C163</f>
        <v>3</v>
      </c>
      <c r="V51" s="93"/>
      <c r="W51" s="92" t="s">
        <v>879</v>
      </c>
      <c r="X51">
        <f>KALKULATOR!I1</f>
        <v>100</v>
      </c>
      <c r="AG51" s="93"/>
    </row>
    <row r="52" spans="1:33">
      <c r="A52" s="92" t="s">
        <v>879</v>
      </c>
      <c r="B52">
        <f>KALKULATOR!I1</f>
        <v>100</v>
      </c>
      <c r="L52" s="106" t="s">
        <v>657</v>
      </c>
      <c r="M52" s="120">
        <f>B54/B55*A50</f>
        <v>6.3131313131313122E-2</v>
      </c>
      <c r="N52" s="107">
        <f>M52*24*$N$50</f>
        <v>1.5151515151515149</v>
      </c>
      <c r="O52" s="92" t="s">
        <v>879</v>
      </c>
      <c r="P52">
        <f>KALKULATOR!I1</f>
        <v>100</v>
      </c>
      <c r="T52" s="106" t="s">
        <v>657</v>
      </c>
      <c r="U52" s="264">
        <f>P54+(P56+P55+P50*P57*P51)*P52</f>
        <v>7.4421296296296305E-2</v>
      </c>
      <c r="V52" s="221">
        <f>U52*24*$V$50</f>
        <v>1.7861111111111114</v>
      </c>
      <c r="W52" s="92" t="s">
        <v>1174</v>
      </c>
      <c r="X52">
        <f>KALKULATOR!C183</f>
        <v>4</v>
      </c>
      <c r="AE52" s="106" t="s">
        <v>657</v>
      </c>
      <c r="AF52" s="264" t="e">
        <f>VLOOKUP($X$50,$W$55:$AA$58,5,FALSE)</f>
        <v>#N/A</v>
      </c>
      <c r="AG52" s="221" t="e">
        <f>AF52*24*AG50</f>
        <v>#N/A</v>
      </c>
    </row>
    <row r="53" spans="1:33">
      <c r="A53" s="92"/>
      <c r="L53" s="106" t="s">
        <v>639</v>
      </c>
      <c r="M53" s="120"/>
      <c r="N53" s="107">
        <f>M53*24*$N$50</f>
        <v>0</v>
      </c>
      <c r="O53" s="92"/>
      <c r="T53" s="106" t="s">
        <v>639</v>
      </c>
      <c r="U53" s="261">
        <v>3.472222222222222E-3</v>
      </c>
      <c r="V53" s="221">
        <f>U53*24*$V$50</f>
        <v>8.3333333333333329E-2</v>
      </c>
      <c r="W53" s="92"/>
      <c r="AE53" s="106" t="s">
        <v>639</v>
      </c>
      <c r="AF53" s="261">
        <v>3.472222222222222E-3</v>
      </c>
      <c r="AG53" s="221">
        <f>AF53*24*AG50</f>
        <v>8.3333333333333329E-2</v>
      </c>
    </row>
    <row r="54" spans="1:33">
      <c r="A54" s="92" t="s">
        <v>1312</v>
      </c>
      <c r="B54">
        <f>B52*B51</f>
        <v>50</v>
      </c>
      <c r="N54" s="93"/>
      <c r="O54" s="92" t="s">
        <v>1108</v>
      </c>
      <c r="P54" s="104">
        <v>6.9444444444444441E-3</v>
      </c>
      <c r="V54" s="93"/>
      <c r="W54" s="92"/>
      <c r="X54" t="s">
        <v>1140</v>
      </c>
      <c r="Y54" t="s">
        <v>12</v>
      </c>
      <c r="Z54" t="s">
        <v>1167</v>
      </c>
      <c r="AA54" t="s">
        <v>693</v>
      </c>
      <c r="AG54" s="93"/>
    </row>
    <row r="55" spans="1:33">
      <c r="A55" s="92" t="s">
        <v>1313</v>
      </c>
      <c r="B55" s="114">
        <v>33</v>
      </c>
      <c r="D55" t="s">
        <v>1314</v>
      </c>
      <c r="E55" t="s">
        <v>1346</v>
      </c>
      <c r="N55" s="250">
        <f>SUM(N52:N53)/(B51*B52)</f>
        <v>3.0303030303030297E-2</v>
      </c>
      <c r="O55" s="92" t="s">
        <v>1109</v>
      </c>
      <c r="P55" s="104">
        <v>1.1574074074074073E-4</v>
      </c>
      <c r="V55" s="93"/>
      <c r="W55" s="92" t="s">
        <v>1158</v>
      </c>
      <c r="X55" s="378">
        <v>2.2916666666666669E-4</v>
      </c>
      <c r="Y55" s="379">
        <v>1.3888888888888888E-2</v>
      </c>
      <c r="Z55" s="380">
        <v>9.2592592592592588E-5</v>
      </c>
      <c r="AA55" s="120">
        <f>Y55+((Z55+$X$52*X55)*$X$51)</f>
        <v>0.11481481481481484</v>
      </c>
      <c r="AG55" s="93"/>
    </row>
    <row r="56" spans="1:33">
      <c r="A56" s="92"/>
      <c r="N56" s="93"/>
      <c r="O56" s="92" t="s">
        <v>1103</v>
      </c>
      <c r="P56" s="104">
        <v>1.7361111111111112E-4</v>
      </c>
      <c r="V56" s="93"/>
      <c r="W56" s="92" t="s">
        <v>1177</v>
      </c>
      <c r="X56" s="378">
        <v>2.2916666666666669E-4</v>
      </c>
      <c r="Y56" s="379">
        <v>1.3888888888888888E-2</v>
      </c>
      <c r="Z56" s="380">
        <v>9.2592592592592588E-5</v>
      </c>
      <c r="AA56" s="120">
        <f t="shared" ref="AA56:AA58" si="0">Y56+((Z56+$X$52*X56)*$X$51)</f>
        <v>0.11481481481481484</v>
      </c>
      <c r="AG56" s="93"/>
    </row>
    <row r="57" spans="1:33">
      <c r="A57" s="92"/>
      <c r="B57" s="104"/>
      <c r="N57" s="93"/>
      <c r="O57" s="92" t="s">
        <v>1098</v>
      </c>
      <c r="P57" s="281">
        <v>4.2824074074074079E-5</v>
      </c>
      <c r="V57" s="93"/>
      <c r="W57" s="92" t="s">
        <v>1159</v>
      </c>
      <c r="X57" s="378">
        <v>2.2916666666666669E-4</v>
      </c>
      <c r="Y57" s="379">
        <v>1.3888888888888888E-2</v>
      </c>
      <c r="Z57" s="380">
        <v>9.2592592592592588E-5</v>
      </c>
      <c r="AA57" s="120">
        <f t="shared" si="0"/>
        <v>0.11481481481481484</v>
      </c>
      <c r="AG57" s="93"/>
    </row>
    <row r="58" spans="1:33" ht="15.75" thickBot="1">
      <c r="A58" s="94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5"/>
      <c r="O58" s="94"/>
      <c r="P58" s="97"/>
      <c r="Q58" s="97"/>
      <c r="R58" s="97"/>
      <c r="S58" s="97"/>
      <c r="T58" s="97"/>
      <c r="U58" s="97"/>
      <c r="V58" s="95"/>
      <c r="W58" s="94" t="s">
        <v>1160</v>
      </c>
      <c r="X58" s="381">
        <v>2.2916666666666669E-4</v>
      </c>
      <c r="Y58" s="382">
        <v>1.3888888888888888E-2</v>
      </c>
      <c r="Z58" s="383">
        <v>9.2592592592592588E-5</v>
      </c>
      <c r="AA58" s="374">
        <f t="shared" si="0"/>
        <v>0.11481481481481484</v>
      </c>
      <c r="AB58" s="97"/>
      <c r="AC58" s="97"/>
      <c r="AD58" s="97"/>
      <c r="AE58" s="97"/>
      <c r="AF58" s="97"/>
      <c r="AG58" s="95"/>
    </row>
    <row r="59" spans="1:33">
      <c r="A59" s="518" t="s">
        <v>1199</v>
      </c>
      <c r="B59" s="519"/>
      <c r="C59" s="519"/>
      <c r="D59" s="519"/>
      <c r="E59" s="519"/>
      <c r="F59" s="519"/>
      <c r="G59" s="519"/>
      <c r="H59" s="519"/>
      <c r="I59" s="519"/>
      <c r="J59" s="519"/>
      <c r="K59" s="519"/>
      <c r="L59" s="519"/>
      <c r="M59" s="519"/>
      <c r="N59" s="520"/>
      <c r="O59" s="518" t="s">
        <v>1190</v>
      </c>
      <c r="P59" s="519"/>
      <c r="Q59" s="519"/>
      <c r="R59" s="519"/>
      <c r="S59" s="519"/>
      <c r="T59" s="519"/>
      <c r="U59" s="519"/>
      <c r="V59" s="520"/>
      <c r="W59" s="518" t="s">
        <v>1178</v>
      </c>
      <c r="X59" s="519"/>
      <c r="Y59" s="519"/>
      <c r="Z59" s="519"/>
      <c r="AA59" s="519"/>
      <c r="AB59" s="519"/>
      <c r="AC59" s="519"/>
      <c r="AD59" s="519"/>
      <c r="AE59" s="519"/>
      <c r="AF59" s="519"/>
      <c r="AG59" s="520"/>
    </row>
    <row r="60" spans="1:33">
      <c r="A60" t="s">
        <v>1197</v>
      </c>
      <c r="B60">
        <f>KALKULATOR!C199</f>
        <v>2</v>
      </c>
      <c r="M60" t="s">
        <v>389</v>
      </c>
      <c r="N60" s="107">
        <v>1</v>
      </c>
      <c r="O60" s="112">
        <v>4.1666666666666664E-2</v>
      </c>
      <c r="U60" t="s">
        <v>389</v>
      </c>
      <c r="V60" s="107">
        <v>70</v>
      </c>
      <c r="W60" s="92" t="s">
        <v>1161</v>
      </c>
      <c r="X60">
        <f>VLOOKUP(KALKULATOR!B1,Tabela1[],30,FALSE)</f>
        <v>0</v>
      </c>
      <c r="AF60" t="s">
        <v>389</v>
      </c>
      <c r="AG60" s="107">
        <v>1</v>
      </c>
    </row>
    <row r="61" spans="1:33">
      <c r="A61" t="s">
        <v>1198</v>
      </c>
      <c r="B61">
        <f>KALKULATOR!D199</f>
        <v>7</v>
      </c>
      <c r="N61" s="93"/>
      <c r="O61" t="s">
        <v>1193</v>
      </c>
      <c r="P61">
        <f>KALKULATOR!C195</f>
        <v>1</v>
      </c>
      <c r="V61" s="93"/>
      <c r="W61" s="92" t="s">
        <v>879</v>
      </c>
      <c r="X61">
        <f>KALKULATOR!I1</f>
        <v>100</v>
      </c>
      <c r="AG61" s="93"/>
    </row>
    <row r="62" spans="1:33">
      <c r="A62" s="92" t="s">
        <v>879</v>
      </c>
      <c r="B62">
        <f>KALKULATOR!I1</f>
        <v>100</v>
      </c>
      <c r="L62" s="106" t="s">
        <v>657</v>
      </c>
      <c r="M62" s="120">
        <f>F64*B60+B61*F65</f>
        <v>7.5231481481481482E-4</v>
      </c>
      <c r="N62" s="107">
        <f>M62*24*$N$60</f>
        <v>1.8055555555555554E-2</v>
      </c>
      <c r="O62" t="s">
        <v>774</v>
      </c>
      <c r="P62">
        <f>KALKULATOR!D195</f>
        <v>7</v>
      </c>
      <c r="T62" s="106" t="s">
        <v>657</v>
      </c>
      <c r="U62" s="264">
        <f>IF(S67&lt;S66,S66,S67)*P61*P64</f>
        <v>2.3148148148148147E-2</v>
      </c>
      <c r="V62" s="221">
        <f>U62*24*V60</f>
        <v>38.888888888888893</v>
      </c>
      <c r="W62" s="92" t="s">
        <v>1179</v>
      </c>
      <c r="X62">
        <f>KALKULATOR!C187</f>
        <v>5</v>
      </c>
      <c r="AE62" s="106" t="s">
        <v>657</v>
      </c>
      <c r="AF62" s="264" t="e">
        <f>VLOOKUP($X$60,$W$65:$AB$67,6,FALSE)</f>
        <v>#N/A</v>
      </c>
      <c r="AG62" s="221" t="e">
        <f>AF62*24*AG60</f>
        <v>#N/A</v>
      </c>
    </row>
    <row r="63" spans="1:33">
      <c r="L63" s="106" t="s">
        <v>639</v>
      </c>
      <c r="M63" s="104">
        <v>3.472222222222222E-3</v>
      </c>
      <c r="N63" s="107">
        <f>M63*24*$N$60</f>
        <v>8.3333333333333329E-2</v>
      </c>
      <c r="O63" t="s">
        <v>1194</v>
      </c>
      <c r="P63" s="410" t="str">
        <f>KALKULATOR!E195</f>
        <v>DO 1</v>
      </c>
      <c r="T63" s="106" t="s">
        <v>639</v>
      </c>
      <c r="U63" s="264">
        <v>8.3333333333333329E-2</v>
      </c>
      <c r="V63" s="221">
        <f>U63*24*$V$60</f>
        <v>140</v>
      </c>
      <c r="W63" s="92"/>
      <c r="AE63" s="106" t="s">
        <v>639</v>
      </c>
      <c r="AF63" s="261">
        <v>3.472222222222222E-3</v>
      </c>
      <c r="AG63" s="221">
        <f>AF63*24*AG60</f>
        <v>8.3333333333333329E-2</v>
      </c>
    </row>
    <row r="64" spans="1:33">
      <c r="A64" s="92"/>
      <c r="E64" t="s">
        <v>1200</v>
      </c>
      <c r="F64" s="104">
        <v>1.7361111111111112E-4</v>
      </c>
      <c r="N64" s="93"/>
      <c r="O64" s="92" t="s">
        <v>879</v>
      </c>
      <c r="P64" s="114">
        <f>KALKULATOR!I1</f>
        <v>100</v>
      </c>
      <c r="V64" s="93"/>
      <c r="W64" s="92"/>
      <c r="X64" t="s">
        <v>1140</v>
      </c>
      <c r="Y64" t="s">
        <v>1166</v>
      </c>
      <c r="Z64" t="s">
        <v>12</v>
      </c>
      <c r="AA64" t="s">
        <v>1167</v>
      </c>
      <c r="AB64" t="s">
        <v>693</v>
      </c>
      <c r="AG64" s="93"/>
    </row>
    <row r="65" spans="1:33">
      <c r="A65" s="92"/>
      <c r="B65" s="251"/>
      <c r="E65" t="s">
        <v>1201</v>
      </c>
      <c r="F65" s="104">
        <v>5.7870370370370366E-5</v>
      </c>
      <c r="N65" s="93"/>
      <c r="O65" s="92" t="s">
        <v>1195</v>
      </c>
      <c r="P65" s="104">
        <v>1.1574074074074073E-5</v>
      </c>
      <c r="V65" s="93"/>
      <c r="W65" s="92" t="s">
        <v>1158</v>
      </c>
      <c r="X65" s="378">
        <v>3.4722222222222222E-5</v>
      </c>
      <c r="Y65" s="385">
        <v>3.4722222222222225E-3</v>
      </c>
      <c r="Z65" s="379">
        <v>3.8194444444444443E-3</v>
      </c>
      <c r="AA65" s="380">
        <v>9.2592592592592588E-5</v>
      </c>
      <c r="AB65" s="26">
        <f>(Z65+(Y65*X62))+((AA65+X62*X65)*X61)</f>
        <v>4.7800925925925927E-2</v>
      </c>
      <c r="AG65" s="93"/>
    </row>
    <row r="66" spans="1:33">
      <c r="A66" s="92"/>
      <c r="N66" s="93"/>
      <c r="O66" s="92" t="s">
        <v>1196</v>
      </c>
      <c r="P66" s="104">
        <v>3.4722222222222222E-5</v>
      </c>
      <c r="R66" t="s">
        <v>1191</v>
      </c>
      <c r="S66" s="104">
        <v>2.3148148148148146E-4</v>
      </c>
      <c r="V66" s="93"/>
      <c r="W66" s="92" t="s">
        <v>1159</v>
      </c>
      <c r="X66" s="378">
        <v>3.4722222222222222E-5</v>
      </c>
      <c r="Y66" s="385">
        <v>3.4722222222222225E-3</v>
      </c>
      <c r="Z66" s="379">
        <v>3.8194444444444443E-3</v>
      </c>
      <c r="AA66" s="380">
        <v>9.2592592592592588E-5</v>
      </c>
      <c r="AB66" s="26">
        <f>(Z66+(Y66*X62))+((AA66+X62*X66)*X61)</f>
        <v>4.7800925925925927E-2</v>
      </c>
      <c r="AG66" s="93"/>
    </row>
    <row r="67" spans="1:33" ht="15.75" thickBot="1">
      <c r="A67" s="92"/>
      <c r="B67" s="104"/>
      <c r="N67" s="93"/>
      <c r="O67" s="92"/>
      <c r="P67" s="281"/>
      <c r="R67" t="s">
        <v>1192</v>
      </c>
      <c r="S67" s="26">
        <f>IF(P63=O65,P65,P66)*P62</f>
        <v>8.1018518518518516E-5</v>
      </c>
      <c r="V67" s="93"/>
      <c r="W67" s="92" t="s">
        <v>1160</v>
      </c>
      <c r="X67" s="394">
        <v>3.4722222222222222E-5</v>
      </c>
      <c r="Y67" s="395">
        <v>3.4722222222222225E-3</v>
      </c>
      <c r="Z67" s="379">
        <v>3.8194444444444443E-3</v>
      </c>
      <c r="AA67" s="380">
        <v>9.2592592592592588E-5</v>
      </c>
      <c r="AB67" s="26">
        <f>(Z67+(Y67*X62))+((AA67+X62*X67)*X61)</f>
        <v>4.7800925925925927E-2</v>
      </c>
      <c r="AG67" s="93"/>
    </row>
    <row r="68" spans="1:33" ht="15.75" thickBot="1">
      <c r="A68" s="94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5"/>
      <c r="O68" s="94"/>
      <c r="P68" s="97"/>
      <c r="Q68" s="97"/>
      <c r="R68" s="97"/>
      <c r="S68" s="97"/>
      <c r="T68" s="97"/>
      <c r="U68" s="97"/>
      <c r="V68" s="95"/>
      <c r="W68" s="518" t="s">
        <v>1182</v>
      </c>
      <c r="X68" s="519"/>
      <c r="Y68" s="519"/>
      <c r="Z68" s="519"/>
      <c r="AA68" s="519"/>
      <c r="AB68" s="519"/>
      <c r="AC68" s="519"/>
      <c r="AD68" s="519"/>
      <c r="AE68" s="519"/>
      <c r="AF68" s="519"/>
      <c r="AG68" s="520"/>
    </row>
    <row r="69" spans="1:33">
      <c r="O69" s="518" t="s">
        <v>1347</v>
      </c>
      <c r="P69" s="519"/>
      <c r="Q69" s="519"/>
      <c r="R69" s="519"/>
      <c r="S69" s="519"/>
      <c r="T69" s="519"/>
      <c r="U69" s="519"/>
      <c r="V69" s="520"/>
      <c r="W69" s="92" t="s">
        <v>1161</v>
      </c>
      <c r="X69">
        <f>VLOOKUP(KALKULATOR!B1,Tabela1[],30,FALSE)</f>
        <v>0</v>
      </c>
      <c r="AF69" t="s">
        <v>389</v>
      </c>
      <c r="AG69" s="107">
        <v>1</v>
      </c>
    </row>
    <row r="70" spans="1:33">
      <c r="O70" s="92" t="s">
        <v>879</v>
      </c>
      <c r="P70">
        <f>KALKULATOR!I1</f>
        <v>100</v>
      </c>
      <c r="U70" t="s">
        <v>389</v>
      </c>
      <c r="V70" s="107">
        <v>1</v>
      </c>
      <c r="W70" s="92" t="s">
        <v>879</v>
      </c>
      <c r="X70">
        <f>KALKULATOR!I1</f>
        <v>100</v>
      </c>
      <c r="AG70" s="93"/>
    </row>
    <row r="71" spans="1:33" ht="30">
      <c r="O71" s="92" t="s">
        <v>1353</v>
      </c>
      <c r="P71" t="str">
        <f>KALKULATOR!C203</f>
        <v>M5, M6</v>
      </c>
      <c r="V71" s="93"/>
      <c r="W71" s="393" t="s">
        <v>1181</v>
      </c>
      <c r="X71">
        <f>KALKULATOR!C191</f>
        <v>150</v>
      </c>
      <c r="AE71" s="106" t="s">
        <v>657</v>
      </c>
      <c r="AF71" s="264" t="e">
        <f>VLOOKUP($X$69,$W$75:$AB$76,6,FALSE)</f>
        <v>#N/A</v>
      </c>
      <c r="AG71" s="221" t="e">
        <f>AF71*24*AG69</f>
        <v>#N/A</v>
      </c>
    </row>
    <row r="72" spans="1:33">
      <c r="O72" s="92" t="s">
        <v>1351</v>
      </c>
      <c r="P72">
        <f>KALKULATOR!D203</f>
        <v>10</v>
      </c>
      <c r="T72" s="106" t="s">
        <v>657</v>
      </c>
      <c r="U72" s="264">
        <f>(VLOOKUP(P71,O79:Q80,2,FALSE)+VLOOKUP(P71,O79:Q80,3,FALSE)*P72)*P70</f>
        <v>8.3333333333333343E-2</v>
      </c>
      <c r="V72" s="221">
        <f>U72*24*V70</f>
        <v>2</v>
      </c>
      <c r="W72" s="92"/>
      <c r="AE72" s="106" t="s">
        <v>639</v>
      </c>
      <c r="AF72" s="261">
        <v>3.472222222222222E-3</v>
      </c>
      <c r="AG72" s="221">
        <f>AF72*24*AG69</f>
        <v>8.3333333333333329E-2</v>
      </c>
    </row>
    <row r="73" spans="1:33">
      <c r="O73" s="92"/>
      <c r="T73" s="106" t="s">
        <v>639</v>
      </c>
      <c r="U73" s="264">
        <v>1.0416666666666666E-2</v>
      </c>
      <c r="V73" s="221">
        <f>U73*24*$V$60</f>
        <v>17.5</v>
      </c>
      <c r="W73" s="92"/>
      <c r="AG73" s="93"/>
    </row>
    <row r="74" spans="1:33">
      <c r="O74" s="92"/>
      <c r="V74" s="93"/>
      <c r="W74" s="92"/>
      <c r="X74" t="s">
        <v>1140</v>
      </c>
      <c r="Y74" t="s">
        <v>1166</v>
      </c>
      <c r="Z74" t="s">
        <v>12</v>
      </c>
      <c r="AA74" t="s">
        <v>1167</v>
      </c>
      <c r="AB74" t="s">
        <v>693</v>
      </c>
      <c r="AG74" s="93"/>
    </row>
    <row r="75" spans="1:33">
      <c r="O75" s="92"/>
      <c r="V75" s="93"/>
      <c r="W75" s="92" t="s">
        <v>1177</v>
      </c>
      <c r="X75" s="396">
        <f>VLOOKUP($X$71,W80:Y82,2,TRUE)</f>
        <v>2.7777777777777776E-5</v>
      </c>
      <c r="Y75" s="396">
        <f>VLOOKUP($X$71,W80:Y82,3,TRUE)</f>
        <v>1.736111111111111E-3</v>
      </c>
      <c r="Z75" s="379"/>
      <c r="AA75" s="380">
        <v>9.2592592592592588E-5</v>
      </c>
      <c r="AB75" s="26">
        <f>Y75+(AA75+X75)*$X$70</f>
        <v>1.3773148148148145E-2</v>
      </c>
      <c r="AG75" s="93"/>
    </row>
    <row r="76" spans="1:33">
      <c r="O76" s="92"/>
      <c r="V76" s="93"/>
      <c r="W76" s="92" t="s">
        <v>1159</v>
      </c>
      <c r="X76" s="396">
        <f>VLOOKUP($X$71,AA80:AC82,2,TRUE)</f>
        <v>5.5555555555555551E-5</v>
      </c>
      <c r="Y76" s="396">
        <f>VLOOKUP($X$71,AA80:AC82,3,TRUE)</f>
        <v>2.0833333333333333E-3</v>
      </c>
      <c r="Z76" s="379"/>
      <c r="AA76" s="380">
        <v>9.2592592592592588E-5</v>
      </c>
      <c r="AB76" s="26">
        <f>Y76+(AA76+X76)*$X$70</f>
        <v>1.6898148148148148E-2</v>
      </c>
      <c r="AG76" s="93"/>
    </row>
    <row r="77" spans="1:33">
      <c r="O77" s="92"/>
      <c r="V77" s="93"/>
      <c r="W77" s="92"/>
      <c r="AG77" s="93"/>
    </row>
    <row r="78" spans="1:33">
      <c r="O78" s="92"/>
      <c r="P78" t="s">
        <v>1349</v>
      </c>
      <c r="Q78" t="s">
        <v>1350</v>
      </c>
      <c r="V78" s="93"/>
      <c r="W78" s="502" t="s">
        <v>1177</v>
      </c>
      <c r="X78" s="501"/>
      <c r="Y78" s="501"/>
      <c r="AA78" s="501" t="s">
        <v>1159</v>
      </c>
      <c r="AB78" s="501"/>
      <c r="AC78" s="501"/>
      <c r="AG78" s="93"/>
    </row>
    <row r="79" spans="1:33">
      <c r="O79" s="92" t="s">
        <v>1348</v>
      </c>
      <c r="P79" s="104">
        <v>1.3888888888888889E-4</v>
      </c>
      <c r="Q79" s="104">
        <v>6.9444444444444444E-5</v>
      </c>
      <c r="V79" s="93"/>
      <c r="W79" s="92"/>
      <c r="X79" t="s">
        <v>1026</v>
      </c>
      <c r="Y79" t="s">
        <v>1183</v>
      </c>
      <c r="AB79" t="s">
        <v>1026</v>
      </c>
      <c r="AC79" t="s">
        <v>1183</v>
      </c>
      <c r="AG79" s="93"/>
    </row>
    <row r="80" spans="1:33">
      <c r="O80" s="92" t="s">
        <v>537</v>
      </c>
      <c r="P80" s="104">
        <v>1.1574074074074073E-4</v>
      </c>
      <c r="Q80" s="104">
        <v>1.5046296296296297E-4</v>
      </c>
      <c r="V80" s="93"/>
      <c r="W80" s="92">
        <v>0</v>
      </c>
      <c r="X80" s="281">
        <v>2.7777777777777776E-5</v>
      </c>
      <c r="Y80" s="104">
        <v>1.736111111111111E-3</v>
      </c>
      <c r="AA80">
        <v>0</v>
      </c>
      <c r="AB80" s="281">
        <v>5.5555555555555551E-5</v>
      </c>
      <c r="AC80" s="104">
        <v>2.0833333333333333E-3</v>
      </c>
      <c r="AG80" s="93"/>
    </row>
    <row r="81" spans="15:33">
      <c r="O81" s="92"/>
      <c r="V81" s="93"/>
      <c r="W81" s="92">
        <v>300</v>
      </c>
      <c r="X81" s="281">
        <v>4.8611111111111115E-5</v>
      </c>
      <c r="Y81" s="104">
        <v>2.4305555555555556E-3</v>
      </c>
      <c r="AA81">
        <v>400</v>
      </c>
      <c r="AB81" s="104">
        <v>6.9444444444444444E-5</v>
      </c>
      <c r="AC81" s="104">
        <v>2.0833333333333333E-3</v>
      </c>
      <c r="AG81" s="93"/>
    </row>
    <row r="82" spans="15:33" ht="15.75" thickBot="1">
      <c r="O82" s="94"/>
      <c r="P82" s="97"/>
      <c r="Q82" s="97"/>
      <c r="R82" s="97"/>
      <c r="S82" s="97"/>
      <c r="T82" s="97"/>
      <c r="U82" s="97"/>
      <c r="V82" s="95"/>
      <c r="W82" s="94">
        <v>700</v>
      </c>
      <c r="X82" s="397">
        <v>5.5555555555555551E-5</v>
      </c>
      <c r="Y82" s="279">
        <v>3.472222222222222E-3</v>
      </c>
      <c r="Z82" s="97"/>
      <c r="AA82" s="97">
        <v>1000</v>
      </c>
      <c r="AB82" s="397">
        <v>9.0277777777777774E-5</v>
      </c>
      <c r="AC82" s="279">
        <v>5.5555555555555558E-3</v>
      </c>
      <c r="AD82" s="97"/>
      <c r="AE82" s="97"/>
      <c r="AF82" s="97"/>
      <c r="AG82" s="95"/>
    </row>
  </sheetData>
  <mergeCells count="26">
    <mergeCell ref="A59:N59"/>
    <mergeCell ref="O40:V40"/>
    <mergeCell ref="A1:N1"/>
    <mergeCell ref="A49:N49"/>
    <mergeCell ref="A25:N25"/>
    <mergeCell ref="A35:N35"/>
    <mergeCell ref="B13:F13"/>
    <mergeCell ref="H13:L13"/>
    <mergeCell ref="M14:N14"/>
    <mergeCell ref="O59:V59"/>
    <mergeCell ref="W68:AG68"/>
    <mergeCell ref="AA78:AC78"/>
    <mergeCell ref="W78:Y78"/>
    <mergeCell ref="O1:V1"/>
    <mergeCell ref="O9:V9"/>
    <mergeCell ref="O20:V20"/>
    <mergeCell ref="O28:V28"/>
    <mergeCell ref="W59:AG59"/>
    <mergeCell ref="W1:AG1"/>
    <mergeCell ref="W20:AG20"/>
    <mergeCell ref="W31:AG31"/>
    <mergeCell ref="W40:AG40"/>
    <mergeCell ref="W49:AG49"/>
    <mergeCell ref="O49:V49"/>
    <mergeCell ref="O36:P36"/>
    <mergeCell ref="O69:V6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0"/>
  <dimension ref="A1:Y49"/>
  <sheetViews>
    <sheetView topLeftCell="A3" workbookViewId="0">
      <selection activeCell="B40" sqref="B40:B41"/>
    </sheetView>
  </sheetViews>
  <sheetFormatPr defaultRowHeight="15"/>
  <sheetData>
    <row r="1" spans="1:25">
      <c r="A1" s="257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</row>
    <row r="2" spans="1:25">
      <c r="A2" s="257"/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</row>
    <row r="3" spans="1:25">
      <c r="A3" s="257"/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</row>
    <row r="4" spans="1:25">
      <c r="A4" s="257"/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</row>
    <row r="5" spans="1:25">
      <c r="A5" s="257"/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</row>
    <row r="6" spans="1:25">
      <c r="A6" s="257"/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</row>
    <row r="7" spans="1: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</row>
    <row r="8" spans="1: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</row>
    <row r="9" spans="1: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</row>
    <row r="10" spans="1: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</row>
    <row r="11" spans="1: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</row>
    <row r="12" spans="1:25">
      <c r="A12" s="257"/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</row>
    <row r="13" spans="1:25">
      <c r="A13" s="257"/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</row>
    <row r="14" spans="1:25">
      <c r="A14" s="257"/>
      <c r="B14" s="257"/>
      <c r="C14" s="257"/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</row>
    <row r="15" spans="1:25">
      <c r="A15" s="257"/>
      <c r="B15" s="257"/>
      <c r="C15" s="257"/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</row>
    <row r="16" spans="1:25">
      <c r="A16" s="257"/>
      <c r="B16" s="257"/>
      <c r="C16" s="257"/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</row>
    <row r="17" spans="1:25">
      <c r="A17" s="257"/>
      <c r="B17" s="257"/>
      <c r="C17" s="257"/>
      <c r="D17" s="257"/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</row>
    <row r="18" spans="1:25">
      <c r="A18" s="257"/>
      <c r="B18" s="257"/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</row>
    <row r="19" spans="1:25">
      <c r="A19" s="257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</row>
    <row r="20" spans="1:25">
      <c r="A20" s="257"/>
      <c r="B20" s="257"/>
      <c r="C20" s="257"/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</row>
    <row r="21" spans="1:25">
      <c r="A21" s="257"/>
      <c r="B21" s="257"/>
      <c r="C21" s="257"/>
      <c r="D21" s="257"/>
      <c r="E21" s="257"/>
      <c r="F21" s="257"/>
      <c r="G21" s="257"/>
      <c r="H21" s="257"/>
      <c r="I21" s="522"/>
      <c r="J21" s="522"/>
      <c r="K21" s="522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</row>
    <row r="22" spans="1:25">
      <c r="A22" s="257"/>
      <c r="B22" s="257"/>
      <c r="C22" s="257"/>
      <c r="D22" s="257"/>
      <c r="E22" s="257"/>
      <c r="F22" s="257"/>
      <c r="G22" s="257"/>
      <c r="H22" s="257"/>
      <c r="I22" s="522"/>
      <c r="J22" s="522"/>
      <c r="K22" s="522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</row>
    <row r="23" spans="1:25">
      <c r="A23" s="257"/>
      <c r="B23" s="257"/>
      <c r="C23" s="257"/>
      <c r="D23" s="257"/>
      <c r="E23" s="257"/>
      <c r="F23" s="257"/>
      <c r="G23" s="257"/>
      <c r="H23" s="257"/>
      <c r="I23" s="522"/>
      <c r="J23" s="522"/>
      <c r="K23" s="522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</row>
    <row r="24" spans="1:25">
      <c r="A24" s="257"/>
      <c r="B24" s="257"/>
      <c r="C24" s="257"/>
      <c r="D24" s="257"/>
      <c r="E24" s="257"/>
      <c r="F24" s="257"/>
      <c r="G24" s="257"/>
      <c r="H24" s="257"/>
      <c r="I24" s="522"/>
      <c r="J24" s="522"/>
      <c r="K24" s="522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</row>
    <row r="25" spans="1:25">
      <c r="A25" s="257"/>
      <c r="B25" s="257"/>
      <c r="C25" s="257"/>
      <c r="D25" s="257"/>
      <c r="E25" s="257"/>
      <c r="F25" s="257"/>
      <c r="G25" s="257"/>
      <c r="H25" s="257"/>
      <c r="I25" s="522"/>
      <c r="J25" s="522"/>
      <c r="K25" s="522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</row>
    <row r="26" spans="1:25">
      <c r="A26" s="257"/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</row>
    <row r="27" spans="1:25">
      <c r="A27" s="257"/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</row>
    <row r="28" spans="1:25">
      <c r="A28" s="257"/>
      <c r="B28" s="257"/>
      <c r="C28" s="257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</row>
    <row r="29" spans="1:25">
      <c r="A29" s="257"/>
      <c r="B29" s="257"/>
      <c r="C29" s="257"/>
      <c r="D29" s="257"/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</row>
    <row r="30" spans="1:25">
      <c r="A30" s="257"/>
      <c r="B30" s="257"/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</row>
    <row r="31" spans="1:25">
      <c r="A31" s="257"/>
      <c r="B31" s="257"/>
      <c r="C31" s="257"/>
      <c r="D31" s="257"/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</row>
    <row r="32" spans="1:25">
      <c r="A32" s="257"/>
      <c r="B32" s="257"/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</row>
    <row r="33" spans="1:25">
      <c r="A33" s="257"/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</row>
    <row r="34" spans="1:25">
      <c r="A34" s="257"/>
      <c r="B34" s="257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</row>
    <row r="35" spans="1:25">
      <c r="A35" s="257"/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</row>
    <row r="36" spans="1:25">
      <c r="A36" s="257"/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</row>
    <row r="37" spans="1:25">
      <c r="A37" s="257"/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</row>
    <row r="38" spans="1:25">
      <c r="A38" s="257"/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</row>
    <row r="39" spans="1:25">
      <c r="A39" s="257"/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</row>
    <row r="40" spans="1:25">
      <c r="A40" s="257"/>
      <c r="B40" s="257"/>
      <c r="C40" s="257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</row>
    <row r="41" spans="1:25">
      <c r="A41" s="257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</row>
    <row r="42" spans="1:25">
      <c r="A42" s="257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</row>
    <row r="43" spans="1:25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</row>
    <row r="44" spans="1:25">
      <c r="A44" s="257"/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</row>
    <row r="45" spans="1:25">
      <c r="A45" s="257"/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</row>
    <row r="46" spans="1:25">
      <c r="A46" s="257"/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</row>
    <row r="47" spans="1:25">
      <c r="A47" s="257"/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</row>
    <row r="48" spans="1:25">
      <c r="A48" s="257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</row>
    <row r="49" spans="1:25">
      <c r="A49" s="257"/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</row>
  </sheetData>
  <sheetProtection password="EEBE" sheet="1" objects="1" scenarios="1"/>
  <mergeCells count="1">
    <mergeCell ref="I21:K2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1"/>
  <dimension ref="A1:D101"/>
  <sheetViews>
    <sheetView workbookViewId="0">
      <selection activeCell="I75" sqref="I75"/>
    </sheetView>
  </sheetViews>
  <sheetFormatPr defaultRowHeight="15"/>
  <cols>
    <col min="2" max="2" width="28.85546875" customWidth="1"/>
  </cols>
  <sheetData>
    <row r="1" spans="1:4">
      <c r="A1" t="s">
        <v>387</v>
      </c>
      <c r="B1" t="s">
        <v>388</v>
      </c>
      <c r="C1" t="s">
        <v>389</v>
      </c>
      <c r="D1" s="27" t="s">
        <v>390</v>
      </c>
    </row>
    <row r="2" spans="1:4">
      <c r="A2" t="s">
        <v>391</v>
      </c>
      <c r="B2" t="s">
        <v>392</v>
      </c>
      <c r="C2">
        <v>38</v>
      </c>
      <c r="D2" s="27" t="s">
        <v>393</v>
      </c>
    </row>
    <row r="3" spans="1:4">
      <c r="A3" t="s">
        <v>391</v>
      </c>
      <c r="B3" t="s">
        <v>394</v>
      </c>
      <c r="C3">
        <v>38</v>
      </c>
      <c r="D3" s="27" t="s">
        <v>395</v>
      </c>
    </row>
    <row r="4" spans="1:4">
      <c r="A4" t="s">
        <v>391</v>
      </c>
      <c r="B4" t="s">
        <v>396</v>
      </c>
      <c r="C4">
        <v>38</v>
      </c>
      <c r="D4" s="27" t="s">
        <v>395</v>
      </c>
    </row>
    <row r="5" spans="1:4">
      <c r="A5" t="s">
        <v>397</v>
      </c>
      <c r="B5" t="s">
        <v>398</v>
      </c>
      <c r="C5">
        <v>95</v>
      </c>
      <c r="D5" s="27" t="s">
        <v>395</v>
      </c>
    </row>
    <row r="6" spans="1:4">
      <c r="A6" t="s">
        <v>397</v>
      </c>
      <c r="B6" t="s">
        <v>399</v>
      </c>
      <c r="C6">
        <v>85</v>
      </c>
      <c r="D6" s="27" t="s">
        <v>395</v>
      </c>
    </row>
    <row r="7" spans="1:4">
      <c r="A7" t="s">
        <v>397</v>
      </c>
      <c r="B7" t="s">
        <v>400</v>
      </c>
      <c r="C7">
        <v>70</v>
      </c>
      <c r="D7" s="27" t="s">
        <v>395</v>
      </c>
    </row>
    <row r="8" spans="1:4">
      <c r="A8" t="s">
        <v>397</v>
      </c>
      <c r="B8" t="s">
        <v>401</v>
      </c>
      <c r="C8">
        <v>100</v>
      </c>
      <c r="D8" s="27" t="s">
        <v>395</v>
      </c>
    </row>
    <row r="9" spans="1:4">
      <c r="A9" t="s">
        <v>397</v>
      </c>
      <c r="B9" t="s">
        <v>402</v>
      </c>
      <c r="C9">
        <v>70</v>
      </c>
      <c r="D9" s="27" t="s">
        <v>395</v>
      </c>
    </row>
    <row r="10" spans="1:4">
      <c r="A10" t="s">
        <v>397</v>
      </c>
      <c r="B10" t="s">
        <v>403</v>
      </c>
      <c r="C10">
        <v>100</v>
      </c>
      <c r="D10" s="27" t="s">
        <v>395</v>
      </c>
    </row>
    <row r="11" spans="1:4">
      <c r="A11" t="s">
        <v>397</v>
      </c>
      <c r="B11" t="s">
        <v>404</v>
      </c>
      <c r="C11">
        <v>50</v>
      </c>
      <c r="D11" s="27" t="s">
        <v>395</v>
      </c>
    </row>
    <row r="12" spans="1:4">
      <c r="A12" t="s">
        <v>397</v>
      </c>
      <c r="B12" t="s">
        <v>405</v>
      </c>
      <c r="C12">
        <v>50</v>
      </c>
      <c r="D12" s="27" t="s">
        <v>395</v>
      </c>
    </row>
    <row r="13" spans="1:4">
      <c r="A13" t="s">
        <v>397</v>
      </c>
      <c r="B13" t="s">
        <v>406</v>
      </c>
      <c r="C13">
        <v>70</v>
      </c>
      <c r="D13" s="27" t="s">
        <v>395</v>
      </c>
    </row>
    <row r="14" spans="1:4">
      <c r="A14" t="s">
        <v>407</v>
      </c>
      <c r="B14" t="s">
        <v>408</v>
      </c>
      <c r="C14">
        <v>50</v>
      </c>
      <c r="D14" s="27" t="s">
        <v>395</v>
      </c>
    </row>
    <row r="15" spans="1:4">
      <c r="A15" t="s">
        <v>407</v>
      </c>
      <c r="B15" t="s">
        <v>409</v>
      </c>
      <c r="C15">
        <v>50</v>
      </c>
      <c r="D15" s="27" t="s">
        <v>395</v>
      </c>
    </row>
    <row r="16" spans="1:4">
      <c r="A16" t="s">
        <v>407</v>
      </c>
      <c r="B16" t="s">
        <v>410</v>
      </c>
      <c r="C16">
        <v>50</v>
      </c>
      <c r="D16" s="27" t="s">
        <v>395</v>
      </c>
    </row>
    <row r="17" spans="1:4">
      <c r="A17" t="s">
        <v>407</v>
      </c>
      <c r="B17" t="s">
        <v>411</v>
      </c>
      <c r="C17">
        <v>50</v>
      </c>
      <c r="D17" s="27" t="s">
        <v>395</v>
      </c>
    </row>
    <row r="18" spans="1:4">
      <c r="A18" t="s">
        <v>407</v>
      </c>
      <c r="B18" t="s">
        <v>412</v>
      </c>
      <c r="C18">
        <v>50</v>
      </c>
      <c r="D18" s="27" t="s">
        <v>395</v>
      </c>
    </row>
    <row r="19" spans="1:4">
      <c r="A19" t="s">
        <v>407</v>
      </c>
      <c r="B19" t="s">
        <v>413</v>
      </c>
      <c r="C19">
        <v>50</v>
      </c>
      <c r="D19" s="27" t="s">
        <v>395</v>
      </c>
    </row>
    <row r="20" spans="1:4">
      <c r="A20" t="s">
        <v>407</v>
      </c>
      <c r="B20" t="s">
        <v>414</v>
      </c>
      <c r="C20">
        <v>50</v>
      </c>
      <c r="D20" s="27" t="s">
        <v>395</v>
      </c>
    </row>
    <row r="21" spans="1:4">
      <c r="A21" t="s">
        <v>407</v>
      </c>
      <c r="B21" t="s">
        <v>415</v>
      </c>
      <c r="C21">
        <v>50</v>
      </c>
      <c r="D21" s="27" t="s">
        <v>395</v>
      </c>
    </row>
    <row r="22" spans="1:4">
      <c r="A22" t="s">
        <v>407</v>
      </c>
      <c r="B22" t="s">
        <v>416</v>
      </c>
      <c r="C22">
        <v>50</v>
      </c>
      <c r="D22" s="27" t="s">
        <v>393</v>
      </c>
    </row>
    <row r="23" spans="1:4">
      <c r="A23" t="s">
        <v>407</v>
      </c>
      <c r="B23" t="s">
        <v>417</v>
      </c>
      <c r="C23">
        <v>50</v>
      </c>
      <c r="D23" s="27" t="s">
        <v>393</v>
      </c>
    </row>
    <row r="24" spans="1:4">
      <c r="A24" t="s">
        <v>407</v>
      </c>
      <c r="B24" t="s">
        <v>418</v>
      </c>
      <c r="C24">
        <v>50</v>
      </c>
      <c r="D24" s="27" t="s">
        <v>393</v>
      </c>
    </row>
    <row r="25" spans="1:4">
      <c r="A25" t="s">
        <v>407</v>
      </c>
      <c r="B25" t="s">
        <v>419</v>
      </c>
      <c r="C25">
        <v>50</v>
      </c>
      <c r="D25" s="27" t="s">
        <v>393</v>
      </c>
    </row>
    <row r="26" spans="1:4">
      <c r="A26" t="s">
        <v>407</v>
      </c>
      <c r="B26" t="s">
        <v>420</v>
      </c>
      <c r="C26">
        <v>50</v>
      </c>
      <c r="D26" s="27" t="s">
        <v>393</v>
      </c>
    </row>
    <row r="27" spans="1:4">
      <c r="A27" t="s">
        <v>421</v>
      </c>
      <c r="B27" t="s">
        <v>422</v>
      </c>
      <c r="C27">
        <v>35</v>
      </c>
      <c r="D27" s="27" t="s">
        <v>395</v>
      </c>
    </row>
    <row r="28" spans="1:4">
      <c r="A28" t="s">
        <v>421</v>
      </c>
      <c r="B28" t="s">
        <v>423</v>
      </c>
      <c r="C28">
        <v>35</v>
      </c>
      <c r="D28" s="27" t="s">
        <v>395</v>
      </c>
    </row>
    <row r="29" spans="1:4">
      <c r="A29" t="s">
        <v>421</v>
      </c>
      <c r="B29" t="s">
        <v>424</v>
      </c>
      <c r="C29">
        <v>35</v>
      </c>
      <c r="D29" s="27" t="s">
        <v>395</v>
      </c>
    </row>
    <row r="30" spans="1:4">
      <c r="A30" t="s">
        <v>421</v>
      </c>
      <c r="B30" t="s">
        <v>425</v>
      </c>
      <c r="C30">
        <v>35</v>
      </c>
      <c r="D30" s="27" t="s">
        <v>395</v>
      </c>
    </row>
    <row r="31" spans="1:4">
      <c r="A31" t="s">
        <v>421</v>
      </c>
      <c r="B31" t="s">
        <v>426</v>
      </c>
      <c r="C31">
        <v>35</v>
      </c>
      <c r="D31" s="27" t="s">
        <v>395</v>
      </c>
    </row>
    <row r="32" spans="1:4">
      <c r="A32" t="s">
        <v>421</v>
      </c>
      <c r="B32" t="s">
        <v>427</v>
      </c>
      <c r="C32">
        <v>35</v>
      </c>
      <c r="D32" s="27" t="s">
        <v>395</v>
      </c>
    </row>
    <row r="33" spans="1:4">
      <c r="A33" t="s">
        <v>421</v>
      </c>
      <c r="B33" t="s">
        <v>428</v>
      </c>
      <c r="C33">
        <v>35</v>
      </c>
      <c r="D33" s="27" t="s">
        <v>395</v>
      </c>
    </row>
    <row r="34" spans="1:4">
      <c r="A34" t="s">
        <v>421</v>
      </c>
      <c r="B34" t="s">
        <v>429</v>
      </c>
      <c r="C34">
        <v>35</v>
      </c>
      <c r="D34" s="27" t="s">
        <v>395</v>
      </c>
    </row>
    <row r="35" spans="1:4">
      <c r="A35" t="s">
        <v>421</v>
      </c>
      <c r="B35" t="s">
        <v>430</v>
      </c>
      <c r="C35">
        <v>35</v>
      </c>
      <c r="D35" s="27" t="s">
        <v>395</v>
      </c>
    </row>
    <row r="36" spans="1:4">
      <c r="A36" t="s">
        <v>421</v>
      </c>
      <c r="B36" t="s">
        <v>431</v>
      </c>
      <c r="C36">
        <v>35</v>
      </c>
      <c r="D36" s="27" t="s">
        <v>395</v>
      </c>
    </row>
    <row r="37" spans="1:4">
      <c r="A37" t="s">
        <v>421</v>
      </c>
      <c r="B37" t="s">
        <v>432</v>
      </c>
      <c r="C37">
        <v>35</v>
      </c>
      <c r="D37" s="27" t="s">
        <v>395</v>
      </c>
    </row>
    <row r="38" spans="1:4">
      <c r="A38" t="s">
        <v>421</v>
      </c>
      <c r="B38" t="s">
        <v>433</v>
      </c>
      <c r="C38">
        <v>35</v>
      </c>
      <c r="D38" s="27" t="s">
        <v>395</v>
      </c>
    </row>
    <row r="39" spans="1:4">
      <c r="A39" t="s">
        <v>421</v>
      </c>
      <c r="B39" t="s">
        <v>434</v>
      </c>
      <c r="C39">
        <v>35</v>
      </c>
      <c r="D39" s="27" t="s">
        <v>395</v>
      </c>
    </row>
    <row r="40" spans="1:4">
      <c r="A40" t="s">
        <v>421</v>
      </c>
      <c r="B40" t="s">
        <v>435</v>
      </c>
      <c r="C40">
        <v>35</v>
      </c>
      <c r="D40" s="27" t="s">
        <v>395</v>
      </c>
    </row>
    <row r="41" spans="1:4">
      <c r="A41" t="s">
        <v>421</v>
      </c>
      <c r="B41" t="s">
        <v>436</v>
      </c>
      <c r="C41">
        <v>35</v>
      </c>
      <c r="D41" s="27" t="s">
        <v>395</v>
      </c>
    </row>
    <row r="42" spans="1:4">
      <c r="A42" t="s">
        <v>421</v>
      </c>
      <c r="B42" t="s">
        <v>437</v>
      </c>
      <c r="C42">
        <v>35</v>
      </c>
      <c r="D42" s="27" t="s">
        <v>395</v>
      </c>
    </row>
    <row r="43" spans="1:4">
      <c r="A43" t="s">
        <v>421</v>
      </c>
      <c r="B43" t="s">
        <v>438</v>
      </c>
      <c r="C43">
        <v>35</v>
      </c>
      <c r="D43" s="27" t="s">
        <v>395</v>
      </c>
    </row>
    <row r="44" spans="1:4">
      <c r="A44" t="s">
        <v>421</v>
      </c>
      <c r="B44" t="s">
        <v>439</v>
      </c>
      <c r="C44">
        <v>35</v>
      </c>
      <c r="D44" s="27" t="s">
        <v>395</v>
      </c>
    </row>
    <row r="45" spans="1:4">
      <c r="A45" t="s">
        <v>421</v>
      </c>
      <c r="B45" t="s">
        <v>440</v>
      </c>
      <c r="C45">
        <v>35</v>
      </c>
      <c r="D45" s="27" t="s">
        <v>395</v>
      </c>
    </row>
    <row r="46" spans="1:4">
      <c r="A46" t="s">
        <v>441</v>
      </c>
      <c r="B46" t="s">
        <v>442</v>
      </c>
      <c r="C46">
        <v>70</v>
      </c>
      <c r="D46" s="27" t="s">
        <v>395</v>
      </c>
    </row>
    <row r="47" spans="1:4">
      <c r="A47" t="s">
        <v>441</v>
      </c>
      <c r="B47" t="s">
        <v>443</v>
      </c>
      <c r="C47">
        <v>55</v>
      </c>
      <c r="D47" s="27" t="s">
        <v>395</v>
      </c>
    </row>
    <row r="48" spans="1:4">
      <c r="A48" t="s">
        <v>441</v>
      </c>
      <c r="B48" t="s">
        <v>444</v>
      </c>
      <c r="C48">
        <v>55</v>
      </c>
      <c r="D48" s="27" t="s">
        <v>395</v>
      </c>
    </row>
    <row r="49" spans="1:4">
      <c r="A49" t="s">
        <v>441</v>
      </c>
      <c r="B49" t="s">
        <v>445</v>
      </c>
      <c r="C49">
        <v>55</v>
      </c>
      <c r="D49" s="27" t="s">
        <v>395</v>
      </c>
    </row>
    <row r="50" spans="1:4">
      <c r="A50" t="s">
        <v>441</v>
      </c>
      <c r="B50" t="s">
        <v>446</v>
      </c>
      <c r="C50">
        <v>55</v>
      </c>
      <c r="D50" s="27" t="s">
        <v>395</v>
      </c>
    </row>
    <row r="51" spans="1:4">
      <c r="A51" t="s">
        <v>441</v>
      </c>
      <c r="B51" t="s">
        <v>447</v>
      </c>
      <c r="C51">
        <v>55</v>
      </c>
      <c r="D51" s="27" t="s">
        <v>395</v>
      </c>
    </row>
    <row r="52" spans="1:4">
      <c r="A52" t="s">
        <v>441</v>
      </c>
      <c r="B52" t="s">
        <v>448</v>
      </c>
      <c r="C52">
        <v>55</v>
      </c>
      <c r="D52" s="27" t="s">
        <v>395</v>
      </c>
    </row>
    <row r="53" spans="1:4">
      <c r="A53" t="s">
        <v>441</v>
      </c>
      <c r="B53" t="s">
        <v>449</v>
      </c>
      <c r="C53">
        <v>55</v>
      </c>
      <c r="D53" s="27" t="s">
        <v>395</v>
      </c>
    </row>
    <row r="54" spans="1:4">
      <c r="A54" t="s">
        <v>441</v>
      </c>
      <c r="B54" t="s">
        <v>450</v>
      </c>
      <c r="C54">
        <v>55</v>
      </c>
      <c r="D54" s="27" t="s">
        <v>395</v>
      </c>
    </row>
    <row r="55" spans="1:4">
      <c r="A55" t="s">
        <v>441</v>
      </c>
      <c r="B55" t="s">
        <v>451</v>
      </c>
      <c r="C55">
        <v>55</v>
      </c>
      <c r="D55" s="27" t="s">
        <v>395</v>
      </c>
    </row>
    <row r="56" spans="1:4">
      <c r="A56" t="s">
        <v>441</v>
      </c>
      <c r="B56" t="s">
        <v>452</v>
      </c>
      <c r="C56">
        <v>55</v>
      </c>
      <c r="D56" s="27" t="s">
        <v>395</v>
      </c>
    </row>
    <row r="57" spans="1:4">
      <c r="A57" t="s">
        <v>453</v>
      </c>
      <c r="B57" t="s">
        <v>28</v>
      </c>
      <c r="C57">
        <v>170</v>
      </c>
      <c r="D57" s="27" t="s">
        <v>395</v>
      </c>
    </row>
    <row r="58" spans="1:4">
      <c r="A58" t="s">
        <v>453</v>
      </c>
      <c r="B58" t="s">
        <v>454</v>
      </c>
      <c r="C58">
        <v>80</v>
      </c>
      <c r="D58" s="27" t="s">
        <v>395</v>
      </c>
    </row>
    <row r="59" spans="1:4">
      <c r="A59" t="s">
        <v>453</v>
      </c>
      <c r="B59" t="s">
        <v>455</v>
      </c>
      <c r="C59">
        <v>60</v>
      </c>
      <c r="D59" s="27" t="s">
        <v>395</v>
      </c>
    </row>
    <row r="60" spans="1:4">
      <c r="A60" t="s">
        <v>453</v>
      </c>
      <c r="B60" t="s">
        <v>29</v>
      </c>
      <c r="C60">
        <v>210</v>
      </c>
      <c r="D60" s="27" t="s">
        <v>395</v>
      </c>
    </row>
    <row r="61" spans="1:4">
      <c r="A61" t="s">
        <v>453</v>
      </c>
      <c r="B61" t="s">
        <v>456</v>
      </c>
      <c r="C61">
        <v>5</v>
      </c>
      <c r="D61" s="27" t="s">
        <v>395</v>
      </c>
    </row>
    <row r="62" spans="1:4">
      <c r="A62" t="s">
        <v>453</v>
      </c>
      <c r="B62" t="s">
        <v>457</v>
      </c>
      <c r="C62">
        <v>35</v>
      </c>
      <c r="D62" s="27" t="s">
        <v>395</v>
      </c>
    </row>
    <row r="63" spans="1:4">
      <c r="A63" t="s">
        <v>453</v>
      </c>
      <c r="B63" t="s">
        <v>458</v>
      </c>
      <c r="C63">
        <v>100</v>
      </c>
      <c r="D63" s="27" t="s">
        <v>393</v>
      </c>
    </row>
    <row r="64" spans="1:4">
      <c r="A64" t="s">
        <v>453</v>
      </c>
      <c r="B64" t="s">
        <v>459</v>
      </c>
      <c r="C64">
        <v>100</v>
      </c>
      <c r="D64" s="27" t="s">
        <v>393</v>
      </c>
    </row>
    <row r="65" spans="1:4">
      <c r="A65" t="s">
        <v>453</v>
      </c>
      <c r="B65" t="s">
        <v>460</v>
      </c>
      <c r="C65">
        <v>130</v>
      </c>
      <c r="D65" s="27" t="s">
        <v>395</v>
      </c>
    </row>
    <row r="66" spans="1:4">
      <c r="A66" t="s">
        <v>453</v>
      </c>
      <c r="B66" t="s">
        <v>461</v>
      </c>
      <c r="C66">
        <v>130</v>
      </c>
      <c r="D66" s="27" t="s">
        <v>395</v>
      </c>
    </row>
    <row r="67" spans="1:4">
      <c r="A67" t="s">
        <v>453</v>
      </c>
      <c r="B67" t="s">
        <v>462</v>
      </c>
      <c r="C67">
        <v>65</v>
      </c>
      <c r="D67" s="27" t="s">
        <v>395</v>
      </c>
    </row>
    <row r="68" spans="1:4">
      <c r="A68" t="s">
        <v>453</v>
      </c>
      <c r="B68" t="s">
        <v>463</v>
      </c>
      <c r="C68">
        <v>65</v>
      </c>
      <c r="D68" s="27" t="s">
        <v>395</v>
      </c>
    </row>
    <row r="69" spans="1:4">
      <c r="A69" t="s">
        <v>453</v>
      </c>
      <c r="B69" t="s">
        <v>464</v>
      </c>
      <c r="C69">
        <v>110</v>
      </c>
      <c r="D69" s="27" t="s">
        <v>395</v>
      </c>
    </row>
    <row r="70" spans="1:4">
      <c r="A70" t="s">
        <v>453</v>
      </c>
      <c r="B70" t="s">
        <v>465</v>
      </c>
      <c r="C70">
        <v>110</v>
      </c>
      <c r="D70" s="27" t="s">
        <v>395</v>
      </c>
    </row>
    <row r="71" spans="1:4">
      <c r="A71" t="s">
        <v>453</v>
      </c>
      <c r="B71" t="s">
        <v>466</v>
      </c>
      <c r="C71">
        <v>110</v>
      </c>
      <c r="D71" s="27" t="s">
        <v>395</v>
      </c>
    </row>
    <row r="72" spans="1:4">
      <c r="A72" t="s">
        <v>453</v>
      </c>
      <c r="B72" t="s">
        <v>467</v>
      </c>
      <c r="C72">
        <v>60</v>
      </c>
      <c r="D72" s="27" t="s">
        <v>395</v>
      </c>
    </row>
    <row r="73" spans="1:4">
      <c r="A73" t="s">
        <v>453</v>
      </c>
      <c r="B73" t="s">
        <v>468</v>
      </c>
      <c r="C73">
        <v>80</v>
      </c>
      <c r="D73" s="27" t="s">
        <v>395</v>
      </c>
    </row>
    <row r="74" spans="1:4">
      <c r="A74" t="s">
        <v>453</v>
      </c>
      <c r="B74" t="s">
        <v>469</v>
      </c>
      <c r="C74">
        <v>100</v>
      </c>
      <c r="D74" s="27" t="s">
        <v>395</v>
      </c>
    </row>
    <row r="75" spans="1:4">
      <c r="A75" t="s">
        <v>453</v>
      </c>
      <c r="B75" t="s">
        <v>470</v>
      </c>
      <c r="C75">
        <v>50</v>
      </c>
      <c r="D75" s="27" t="s">
        <v>393</v>
      </c>
    </row>
    <row r="76" spans="1:4">
      <c r="A76" t="s">
        <v>453</v>
      </c>
      <c r="B76" t="s">
        <v>471</v>
      </c>
      <c r="C76">
        <v>50</v>
      </c>
      <c r="D76" s="27" t="s">
        <v>393</v>
      </c>
    </row>
    <row r="77" spans="1:4">
      <c r="A77" t="s">
        <v>453</v>
      </c>
      <c r="B77" t="s">
        <v>472</v>
      </c>
      <c r="C77">
        <v>120</v>
      </c>
      <c r="D77" s="27" t="s">
        <v>395</v>
      </c>
    </row>
    <row r="78" spans="1:4">
      <c r="A78" t="s">
        <v>473</v>
      </c>
      <c r="B78" t="s">
        <v>474</v>
      </c>
      <c r="C78">
        <v>35</v>
      </c>
      <c r="D78" s="27" t="s">
        <v>395</v>
      </c>
    </row>
    <row r="79" spans="1:4">
      <c r="A79" t="s">
        <v>473</v>
      </c>
      <c r="B79" t="s">
        <v>475</v>
      </c>
      <c r="C79">
        <v>35</v>
      </c>
      <c r="D79" s="27" t="s">
        <v>395</v>
      </c>
    </row>
    <row r="80" spans="1:4">
      <c r="A80" t="s">
        <v>473</v>
      </c>
      <c r="B80" t="s">
        <v>476</v>
      </c>
      <c r="C80">
        <v>35</v>
      </c>
      <c r="D80" s="27" t="s">
        <v>395</v>
      </c>
    </row>
    <row r="81" spans="1:4">
      <c r="A81" t="s">
        <v>473</v>
      </c>
      <c r="B81" t="s">
        <v>477</v>
      </c>
      <c r="C81">
        <v>55</v>
      </c>
      <c r="D81" s="27" t="s">
        <v>395</v>
      </c>
    </row>
    <row r="82" spans="1:4">
      <c r="A82" t="s">
        <v>473</v>
      </c>
      <c r="B82" t="s">
        <v>478</v>
      </c>
      <c r="C82">
        <v>55</v>
      </c>
      <c r="D82" s="27" t="s">
        <v>395</v>
      </c>
    </row>
    <row r="83" spans="1:4">
      <c r="A83" t="s">
        <v>473</v>
      </c>
      <c r="B83" t="s">
        <v>479</v>
      </c>
      <c r="C83">
        <v>40</v>
      </c>
      <c r="D83" s="27" t="s">
        <v>395</v>
      </c>
    </row>
    <row r="84" spans="1:4">
      <c r="A84" t="s">
        <v>473</v>
      </c>
      <c r="B84" t="s">
        <v>480</v>
      </c>
      <c r="C84">
        <v>40</v>
      </c>
      <c r="D84" s="27" t="s">
        <v>395</v>
      </c>
    </row>
    <row r="85" spans="1:4">
      <c r="A85" t="s">
        <v>473</v>
      </c>
      <c r="B85" t="s">
        <v>481</v>
      </c>
      <c r="C85">
        <v>40</v>
      </c>
      <c r="D85" s="27" t="s">
        <v>395</v>
      </c>
    </row>
    <row r="86" spans="1:4">
      <c r="A86" t="s">
        <v>473</v>
      </c>
      <c r="B86" t="s">
        <v>482</v>
      </c>
      <c r="C86">
        <v>90</v>
      </c>
      <c r="D86" s="27" t="s">
        <v>395</v>
      </c>
    </row>
    <row r="87" spans="1:4">
      <c r="A87" t="s">
        <v>473</v>
      </c>
      <c r="B87" t="s">
        <v>483</v>
      </c>
      <c r="C87">
        <v>40</v>
      </c>
      <c r="D87" s="27" t="s">
        <v>395</v>
      </c>
    </row>
    <row r="88" spans="1:4">
      <c r="A88" t="s">
        <v>473</v>
      </c>
      <c r="B88" t="s">
        <v>484</v>
      </c>
      <c r="C88">
        <v>40</v>
      </c>
      <c r="D88" s="27" t="s">
        <v>395</v>
      </c>
    </row>
    <row r="89" spans="1:4">
      <c r="A89" t="s">
        <v>473</v>
      </c>
      <c r="B89" t="s">
        <v>485</v>
      </c>
      <c r="C89">
        <v>40</v>
      </c>
      <c r="D89" s="27" t="s">
        <v>395</v>
      </c>
    </row>
    <row r="90" spans="1:4">
      <c r="A90" t="s">
        <v>473</v>
      </c>
      <c r="B90" t="s">
        <v>486</v>
      </c>
      <c r="C90">
        <v>50</v>
      </c>
      <c r="D90" s="27" t="s">
        <v>395</v>
      </c>
    </row>
    <row r="91" spans="1:4">
      <c r="A91" t="s">
        <v>473</v>
      </c>
      <c r="B91" t="s">
        <v>487</v>
      </c>
      <c r="C91">
        <v>50</v>
      </c>
      <c r="D91" s="27" t="s">
        <v>395</v>
      </c>
    </row>
    <row r="92" spans="1:4">
      <c r="A92" t="s">
        <v>473</v>
      </c>
      <c r="B92" t="s">
        <v>488</v>
      </c>
      <c r="C92">
        <v>55</v>
      </c>
      <c r="D92" s="27" t="s">
        <v>395</v>
      </c>
    </row>
    <row r="93" spans="1:4">
      <c r="A93" t="s">
        <v>489</v>
      </c>
      <c r="B93" t="s">
        <v>490</v>
      </c>
      <c r="C93">
        <v>65</v>
      </c>
      <c r="D93" s="27" t="s">
        <v>395</v>
      </c>
    </row>
    <row r="94" spans="1:4">
      <c r="A94" t="s">
        <v>489</v>
      </c>
      <c r="B94" t="s">
        <v>491</v>
      </c>
      <c r="C94">
        <v>65</v>
      </c>
      <c r="D94" s="27" t="s">
        <v>395</v>
      </c>
    </row>
    <row r="95" spans="1:4">
      <c r="A95" t="s">
        <v>489</v>
      </c>
      <c r="B95" t="s">
        <v>492</v>
      </c>
      <c r="C95">
        <v>75</v>
      </c>
      <c r="D95" s="27" t="s">
        <v>395</v>
      </c>
    </row>
    <row r="96" spans="1:4">
      <c r="A96" t="s">
        <v>489</v>
      </c>
      <c r="B96" t="s">
        <v>493</v>
      </c>
      <c r="C96">
        <v>75</v>
      </c>
      <c r="D96" s="27" t="s">
        <v>395</v>
      </c>
    </row>
    <row r="97" spans="1:4">
      <c r="A97" t="s">
        <v>489</v>
      </c>
      <c r="B97" t="s">
        <v>494</v>
      </c>
      <c r="C97">
        <v>75</v>
      </c>
      <c r="D97" s="27" t="s">
        <v>395</v>
      </c>
    </row>
    <row r="98" spans="1:4">
      <c r="A98" t="s">
        <v>489</v>
      </c>
      <c r="B98" t="s">
        <v>495</v>
      </c>
      <c r="C98">
        <v>75</v>
      </c>
      <c r="D98" s="27" t="s">
        <v>395</v>
      </c>
    </row>
    <row r="99" spans="1:4">
      <c r="A99" t="s">
        <v>489</v>
      </c>
      <c r="B99" t="s">
        <v>496</v>
      </c>
      <c r="C99">
        <v>120</v>
      </c>
      <c r="D99" s="27" t="s">
        <v>395</v>
      </c>
    </row>
    <row r="100" spans="1:4">
      <c r="A100" t="s">
        <v>489</v>
      </c>
      <c r="B100" t="s">
        <v>497</v>
      </c>
      <c r="C100">
        <v>190</v>
      </c>
      <c r="D100" s="27" t="s">
        <v>395</v>
      </c>
    </row>
    <row r="101" spans="1:4">
      <c r="A101" t="s">
        <v>489</v>
      </c>
      <c r="B101" t="s">
        <v>498</v>
      </c>
      <c r="C101">
        <v>75</v>
      </c>
      <c r="D101" s="27" t="s">
        <v>395</v>
      </c>
    </row>
  </sheetData>
  <conditionalFormatting sqref="D1:D101">
    <cfRule type="containsText" dxfId="1" priority="1" operator="containsText" text="rbh">
      <formula>NOT(ISERROR(SEARCH("rbh",D1)))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2">
    <pageSetUpPr fitToPage="1"/>
  </sheetPr>
  <dimension ref="A1:P19"/>
  <sheetViews>
    <sheetView zoomScale="80" zoomScaleNormal="80" workbookViewId="0">
      <selection activeCell="J12" sqref="J12"/>
    </sheetView>
  </sheetViews>
  <sheetFormatPr defaultRowHeight="15"/>
  <cols>
    <col min="1" max="1" width="17.85546875" bestFit="1" customWidth="1"/>
    <col min="2" max="2" width="13.28515625" customWidth="1"/>
    <col min="3" max="3" width="13.7109375" bestFit="1" customWidth="1"/>
    <col min="4" max="4" width="18.7109375" bestFit="1" customWidth="1"/>
    <col min="5" max="5" width="25.85546875" bestFit="1" customWidth="1"/>
    <col min="6" max="6" width="15.5703125" bestFit="1" customWidth="1"/>
    <col min="7" max="7" width="19.140625" bestFit="1" customWidth="1"/>
    <col min="8" max="8" width="15.28515625" customWidth="1"/>
    <col min="9" max="9" width="18.5703125" customWidth="1"/>
    <col min="10" max="10" width="14.5703125" customWidth="1"/>
    <col min="11" max="11" width="13.5703125" customWidth="1"/>
    <col min="12" max="12" width="14" customWidth="1"/>
    <col min="13" max="13" width="17.140625" customWidth="1"/>
    <col min="14" max="14" width="12.140625" customWidth="1"/>
    <col min="15" max="15" width="13.140625" customWidth="1"/>
    <col min="16" max="16" width="14.140625" customWidth="1"/>
  </cols>
  <sheetData>
    <row r="1" spans="1:16" ht="15.75" thickBot="1">
      <c r="A1" s="523" t="s">
        <v>556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4"/>
      <c r="P1" s="525"/>
    </row>
    <row r="2" spans="1:16" ht="15.75" thickBot="1">
      <c r="A2" s="29" t="s">
        <v>34</v>
      </c>
      <c r="B2" s="29" t="s">
        <v>557</v>
      </c>
      <c r="C2" s="29" t="s">
        <v>35</v>
      </c>
      <c r="D2" s="51" t="s">
        <v>36</v>
      </c>
      <c r="E2" s="29" t="s">
        <v>37</v>
      </c>
      <c r="F2" s="51" t="s">
        <v>38</v>
      </c>
      <c r="G2" s="29" t="s">
        <v>39</v>
      </c>
      <c r="H2" s="51" t="s">
        <v>40</v>
      </c>
      <c r="I2" s="51" t="s">
        <v>558</v>
      </c>
      <c r="J2" s="29" t="s">
        <v>11</v>
      </c>
      <c r="K2" s="29" t="s">
        <v>559</v>
      </c>
      <c r="L2" s="29" t="s">
        <v>22</v>
      </c>
      <c r="M2" s="29" t="s">
        <v>42</v>
      </c>
      <c r="N2" s="51" t="s">
        <v>43</v>
      </c>
      <c r="O2" s="51"/>
      <c r="P2" s="51" t="s">
        <v>44</v>
      </c>
    </row>
    <row r="3" spans="1:16">
      <c r="A3" s="30" t="s">
        <v>1</v>
      </c>
      <c r="B3" s="30" t="s">
        <v>1</v>
      </c>
      <c r="C3" s="30" t="s">
        <v>1</v>
      </c>
      <c r="D3" s="30" t="s">
        <v>1</v>
      </c>
      <c r="E3" s="30" t="s">
        <v>1</v>
      </c>
      <c r="F3" s="30" t="s">
        <v>1</v>
      </c>
      <c r="G3" s="30" t="s">
        <v>1</v>
      </c>
      <c r="H3" s="30" t="s">
        <v>1</v>
      </c>
      <c r="I3" s="30" t="s">
        <v>1</v>
      </c>
      <c r="J3" s="30" t="s">
        <v>1</v>
      </c>
      <c r="K3" s="30" t="s">
        <v>1</v>
      </c>
      <c r="L3" s="30" t="s">
        <v>1</v>
      </c>
      <c r="M3" s="30" t="s">
        <v>1</v>
      </c>
      <c r="N3" s="51" t="s">
        <v>1</v>
      </c>
      <c r="O3" s="31" t="s">
        <v>560</v>
      </c>
      <c r="P3" s="30" t="s">
        <v>1</v>
      </c>
    </row>
    <row r="4" spans="1:16" ht="39">
      <c r="A4" s="32" t="s">
        <v>232</v>
      </c>
      <c r="B4" s="34" t="s">
        <v>383</v>
      </c>
      <c r="C4" s="34" t="s">
        <v>561</v>
      </c>
      <c r="D4" s="33" t="s">
        <v>585</v>
      </c>
      <c r="E4" s="35" t="s">
        <v>540</v>
      </c>
      <c r="F4" s="33" t="s">
        <v>232</v>
      </c>
      <c r="G4" s="33" t="s">
        <v>522</v>
      </c>
      <c r="H4" s="33" t="s">
        <v>591</v>
      </c>
      <c r="I4" s="33" t="s">
        <v>591</v>
      </c>
      <c r="J4" s="34" t="s">
        <v>17</v>
      </c>
      <c r="K4" s="33" t="s">
        <v>141</v>
      </c>
      <c r="L4" s="33" t="s">
        <v>19</v>
      </c>
      <c r="M4" s="34" t="s">
        <v>604</v>
      </c>
      <c r="N4" s="36" t="s">
        <v>591</v>
      </c>
      <c r="O4" s="52" t="s">
        <v>563</v>
      </c>
      <c r="P4" s="47" t="s">
        <v>564</v>
      </c>
    </row>
    <row r="5" spans="1:16" ht="39">
      <c r="A5" s="32" t="s">
        <v>252</v>
      </c>
      <c r="B5" s="49" t="s">
        <v>565</v>
      </c>
      <c r="C5" s="37" t="s">
        <v>566</v>
      </c>
      <c r="D5" s="33" t="s">
        <v>599</v>
      </c>
      <c r="E5" s="37" t="s">
        <v>541</v>
      </c>
      <c r="F5" s="33" t="s">
        <v>152</v>
      </c>
      <c r="G5" s="33" t="s">
        <v>523</v>
      </c>
      <c r="H5" s="33" t="s">
        <v>567</v>
      </c>
      <c r="I5" s="33" t="s">
        <v>252</v>
      </c>
      <c r="J5" s="33" t="s">
        <v>19</v>
      </c>
      <c r="K5" s="33" t="s">
        <v>64</v>
      </c>
      <c r="L5" s="34" t="s">
        <v>24</v>
      </c>
      <c r="M5" s="33" t="s">
        <v>19</v>
      </c>
      <c r="N5" s="38" t="s">
        <v>252</v>
      </c>
      <c r="O5" s="53" t="s">
        <v>568</v>
      </c>
      <c r="P5" s="33" t="s">
        <v>152</v>
      </c>
    </row>
    <row r="6" spans="1:16" ht="39">
      <c r="A6" s="32" t="s">
        <v>276</v>
      </c>
      <c r="B6" s="49" t="s">
        <v>569</v>
      </c>
      <c r="C6" s="33" t="s">
        <v>570</v>
      </c>
      <c r="D6" s="47" t="s">
        <v>571</v>
      </c>
      <c r="E6" s="37" t="s">
        <v>542</v>
      </c>
      <c r="F6" s="33" t="s">
        <v>252</v>
      </c>
      <c r="G6" s="33" t="s">
        <v>600</v>
      </c>
      <c r="H6" s="33" t="s">
        <v>590</v>
      </c>
      <c r="I6" s="33" t="s">
        <v>562</v>
      </c>
      <c r="J6" s="33"/>
      <c r="K6" s="33"/>
      <c r="L6" s="33"/>
      <c r="M6" s="34" t="s">
        <v>572</v>
      </c>
      <c r="N6" s="46" t="s">
        <v>547</v>
      </c>
      <c r="O6" s="39"/>
      <c r="P6" s="33" t="s">
        <v>573</v>
      </c>
    </row>
    <row r="7" spans="1:16" ht="26.25">
      <c r="A7" s="40" t="s">
        <v>70</v>
      </c>
      <c r="B7" s="33"/>
      <c r="C7" s="35" t="s">
        <v>574</v>
      </c>
      <c r="D7" s="33" t="s">
        <v>582</v>
      </c>
      <c r="E7" s="37" t="s">
        <v>543</v>
      </c>
      <c r="F7" s="33" t="s">
        <v>589</v>
      </c>
      <c r="G7" s="33" t="s">
        <v>601</v>
      </c>
      <c r="H7" s="33" t="s">
        <v>152</v>
      </c>
      <c r="I7" s="47" t="s">
        <v>571</v>
      </c>
      <c r="J7" s="33"/>
      <c r="K7" s="33"/>
      <c r="L7" s="33"/>
      <c r="M7" s="33"/>
      <c r="N7" s="38" t="s">
        <v>594</v>
      </c>
      <c r="O7" s="39"/>
      <c r="P7" s="33" t="s">
        <v>595</v>
      </c>
    </row>
    <row r="8" spans="1:16">
      <c r="A8" s="32" t="s">
        <v>152</v>
      </c>
      <c r="B8" s="33"/>
      <c r="C8" s="33"/>
      <c r="D8" s="33" t="s">
        <v>584</v>
      </c>
      <c r="E8" s="35" t="s">
        <v>544</v>
      </c>
      <c r="F8" s="33" t="s">
        <v>575</v>
      </c>
      <c r="G8" s="33" t="s">
        <v>602</v>
      </c>
      <c r="H8" s="33"/>
      <c r="I8" s="47" t="s">
        <v>576</v>
      </c>
      <c r="J8" s="33"/>
      <c r="K8" s="33"/>
      <c r="L8" s="33"/>
      <c r="M8" s="33"/>
      <c r="N8" s="38" t="s">
        <v>546</v>
      </c>
      <c r="O8" s="39"/>
      <c r="P8" s="33" t="s">
        <v>252</v>
      </c>
    </row>
    <row r="9" spans="1:16" ht="26.25">
      <c r="A9" s="33"/>
      <c r="B9" s="33"/>
      <c r="C9" s="33"/>
      <c r="D9" s="34" t="s">
        <v>580</v>
      </c>
      <c r="E9" s="37" t="s">
        <v>545</v>
      </c>
      <c r="F9" s="47" t="s">
        <v>571</v>
      </c>
      <c r="G9" s="33" t="s">
        <v>19</v>
      </c>
      <c r="H9" s="33"/>
      <c r="I9" s="34" t="s">
        <v>577</v>
      </c>
      <c r="J9" s="33"/>
      <c r="K9" s="33"/>
      <c r="L9" s="33"/>
      <c r="M9" s="33"/>
      <c r="N9" s="38"/>
      <c r="O9" s="39"/>
      <c r="P9" s="33" t="s">
        <v>597</v>
      </c>
    </row>
    <row r="10" spans="1:16" ht="26.25">
      <c r="A10" s="33"/>
      <c r="B10" s="33"/>
      <c r="C10" s="33"/>
      <c r="D10" s="34" t="s">
        <v>581</v>
      </c>
      <c r="E10" s="33" t="s">
        <v>578</v>
      </c>
      <c r="F10" s="33"/>
      <c r="G10" s="33"/>
      <c r="H10" s="33"/>
      <c r="I10" s="33" t="s">
        <v>592</v>
      </c>
      <c r="J10" s="33"/>
      <c r="K10" s="33"/>
      <c r="L10" s="33"/>
      <c r="M10" s="33"/>
      <c r="N10" s="38"/>
      <c r="O10" s="39"/>
      <c r="P10" s="33" t="s">
        <v>596</v>
      </c>
    </row>
    <row r="11" spans="1:16">
      <c r="A11" s="33"/>
      <c r="B11" s="33"/>
      <c r="C11" s="33"/>
      <c r="D11" s="33" t="s">
        <v>588</v>
      </c>
      <c r="E11" s="33" t="s">
        <v>579</v>
      </c>
      <c r="F11" s="33"/>
      <c r="G11" s="33"/>
      <c r="H11" s="33"/>
      <c r="I11" s="33" t="s">
        <v>152</v>
      </c>
      <c r="J11" s="33"/>
      <c r="K11" s="33"/>
      <c r="L11" s="33"/>
      <c r="M11" s="33"/>
      <c r="N11" s="38"/>
      <c r="O11" s="39"/>
      <c r="P11" s="33"/>
    </row>
    <row r="12" spans="1:16">
      <c r="A12" s="33"/>
      <c r="B12" s="33"/>
      <c r="C12" s="33"/>
      <c r="D12" s="33" t="s">
        <v>587</v>
      </c>
      <c r="E12" s="33" t="s">
        <v>546</v>
      </c>
      <c r="F12" s="33"/>
      <c r="G12" s="33"/>
      <c r="H12" s="33"/>
      <c r="I12" s="33"/>
      <c r="J12" s="33"/>
      <c r="K12" s="33"/>
      <c r="L12" s="33"/>
      <c r="M12" s="33"/>
      <c r="N12" s="38"/>
      <c r="O12" s="39"/>
      <c r="P12" s="33"/>
    </row>
    <row r="13" spans="1:16">
      <c r="A13" s="33"/>
      <c r="B13" s="33"/>
      <c r="C13" s="33"/>
      <c r="D13" s="33" t="s">
        <v>586</v>
      </c>
      <c r="E13" s="33" t="s">
        <v>547</v>
      </c>
      <c r="F13" s="33"/>
      <c r="G13" s="33"/>
      <c r="H13" s="33"/>
      <c r="I13" s="33"/>
      <c r="J13" s="33"/>
      <c r="K13" s="33"/>
      <c r="L13" s="33"/>
      <c r="M13" s="33"/>
      <c r="N13" s="38"/>
      <c r="O13" s="39"/>
      <c r="P13" s="33"/>
    </row>
    <row r="14" spans="1:16">
      <c r="A14" s="33"/>
      <c r="B14" s="33"/>
      <c r="C14" s="33"/>
      <c r="D14" s="48" t="s">
        <v>598</v>
      </c>
      <c r="E14" s="33" t="s">
        <v>548</v>
      </c>
      <c r="F14" s="33"/>
      <c r="G14" s="33"/>
      <c r="H14" s="33"/>
      <c r="I14" s="33"/>
      <c r="J14" s="33"/>
      <c r="K14" s="33"/>
      <c r="L14" s="33"/>
      <c r="M14" s="33"/>
      <c r="N14" s="38"/>
      <c r="O14" s="39"/>
      <c r="P14" s="33"/>
    </row>
    <row r="15" spans="1:16">
      <c r="A15" s="33"/>
      <c r="B15" s="33"/>
      <c r="C15" s="33"/>
      <c r="D15" s="33"/>
      <c r="E15" s="33" t="s">
        <v>549</v>
      </c>
      <c r="F15" s="33"/>
      <c r="G15" s="33"/>
      <c r="H15" s="33"/>
      <c r="I15" s="33"/>
      <c r="J15" s="33"/>
      <c r="K15" s="33"/>
      <c r="L15" s="33"/>
      <c r="M15" s="33"/>
      <c r="N15" s="38"/>
      <c r="O15" s="39"/>
      <c r="P15" s="33"/>
    </row>
    <row r="16" spans="1:16">
      <c r="A16" s="33"/>
      <c r="B16" s="33"/>
      <c r="C16" s="33"/>
      <c r="D16" s="33"/>
      <c r="E16" s="35" t="s">
        <v>550</v>
      </c>
      <c r="F16" s="33"/>
      <c r="G16" s="33"/>
      <c r="H16" s="33"/>
      <c r="I16" s="33"/>
      <c r="J16" s="33"/>
      <c r="K16" s="33"/>
      <c r="L16" s="33"/>
      <c r="M16" s="33"/>
      <c r="N16" s="38"/>
      <c r="O16" s="39"/>
      <c r="P16" s="33"/>
    </row>
    <row r="17" spans="1:16">
      <c r="A17" s="33"/>
      <c r="B17" s="33"/>
      <c r="C17" s="33"/>
      <c r="D17" s="33"/>
      <c r="E17" s="33" t="s">
        <v>551</v>
      </c>
      <c r="F17" s="33"/>
      <c r="G17" s="33"/>
      <c r="H17" s="33"/>
      <c r="I17" s="33"/>
      <c r="J17" s="33"/>
      <c r="K17" s="33"/>
      <c r="L17" s="33"/>
      <c r="M17" s="33"/>
      <c r="N17" s="38"/>
      <c r="O17" s="39"/>
      <c r="P17" s="33"/>
    </row>
    <row r="18" spans="1:16">
      <c r="A18" s="33"/>
      <c r="B18" s="33"/>
      <c r="C18" s="33"/>
      <c r="D18" s="33"/>
      <c r="E18" s="33" t="s">
        <v>385</v>
      </c>
      <c r="F18" s="33"/>
      <c r="G18" s="33"/>
      <c r="H18" s="33"/>
      <c r="I18" s="33"/>
      <c r="J18" s="33"/>
      <c r="K18" s="33"/>
      <c r="L18" s="33"/>
      <c r="M18" s="33"/>
      <c r="N18" s="38"/>
      <c r="O18" s="39"/>
      <c r="P18" s="33"/>
    </row>
    <row r="19" spans="1:16" ht="30.75" customHeight="1" thickBot="1">
      <c r="A19" s="41"/>
      <c r="B19" s="41"/>
      <c r="C19" s="41"/>
      <c r="D19" s="41"/>
      <c r="E19" s="42" t="s">
        <v>552</v>
      </c>
      <c r="F19" s="41"/>
      <c r="G19" s="41"/>
      <c r="H19" s="41"/>
      <c r="I19" s="41"/>
      <c r="J19" s="41"/>
      <c r="K19" s="41"/>
      <c r="L19" s="41"/>
      <c r="M19" s="41"/>
      <c r="N19" s="43"/>
      <c r="O19" s="44"/>
      <c r="P19" s="41"/>
    </row>
  </sheetData>
  <mergeCells count="1">
    <mergeCell ref="A1:P1"/>
  </mergeCells>
  <pageMargins left="0.70866141732283461" right="0.70866141732283461" top="0.74803149606299213" bottom="0.74803149606299213" header="0.31496062992125984" footer="0.31496062992125984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KALKULATOR</vt:lpstr>
      <vt:lpstr>DRUK</vt:lpstr>
      <vt:lpstr>INTRO</vt:lpstr>
      <vt:lpstr>DREWNO</vt:lpstr>
      <vt:lpstr>TERMO</vt:lpstr>
      <vt:lpstr>FREZ</vt:lpstr>
      <vt:lpstr>FORMY</vt:lpstr>
      <vt:lpstr>Materiały_zakupowe</vt:lpstr>
      <vt:lpstr>METAL</vt:lpstr>
      <vt:lpstr>Rysunek podgladowy - grafiki</vt:lpstr>
      <vt:lpstr>Stawki_maszyn</vt:lpstr>
      <vt:lpstr>Materiały_maszyny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Lukasz Hartman</dc:creator>
  <cp:lastModifiedBy>Krzysztof Perko</cp:lastModifiedBy>
  <cp:lastPrinted>2019-10-14T07:01:41Z</cp:lastPrinted>
  <dcterms:created xsi:type="dcterms:W3CDTF">2015-10-01T09:39:08Z</dcterms:created>
  <dcterms:modified xsi:type="dcterms:W3CDTF">2019-10-14T12:19:41Z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