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catr\Documents\.Studia\Business Analysis\VBA_Excel\EXCEL\LearnIt_Training\"/>
    </mc:Choice>
  </mc:AlternateContent>
  <xr:revisionPtr revIDLastSave="0" documentId="13_ncr:1_{D709C16F-6BB0-40ED-BF7F-CEAA8F2397EB}" xr6:coauthVersionLast="47" xr6:coauthVersionMax="47" xr10:uidLastSave="{00000000-0000-0000-0000-000000000000}"/>
  <bookViews>
    <workbookView xWindow="23880" yWindow="-120" windowWidth="29040" windowHeight="15840" tabRatio="601" firstSheet="1" activeTab="8" xr2:uid="{00000000-000D-0000-FFFF-FFFF00000000}"/>
  </bookViews>
  <sheets>
    <sheet name="IF Function" sheetId="4" r:id="rId1"/>
    <sheet name="Dates_Time" sheetId="14" r:id="rId2"/>
    <sheet name="VLOOKUP" sheetId="1" r:id="rId3"/>
    <sheet name="VLOOKUP RANGE" sheetId="37" r:id="rId4"/>
    <sheet name="HLOOKUP" sheetId="3" r:id="rId5"/>
    <sheet name="Database Functions" sheetId="31" r:id="rId6"/>
    <sheet name="Text Functions" sheetId="38" r:id="rId7"/>
    <sheet name="PMT Data Table" sheetId="13" r:id="rId8"/>
    <sheet name="Solver Basic" sheetId="40" r:id="rId9"/>
    <sheet name="SOLVER2" sheetId="7" r:id="rId10"/>
    <sheet name="Scenario Summary" sheetId="45" r:id="rId11"/>
    <sheet name="Scenarios" sheetId="8" r:id="rId12"/>
    <sheet name="Connecticut" sheetId="32" r:id="rId13"/>
    <sheet name="Maine" sheetId="33" r:id="rId14"/>
    <sheet name="New Hampshire" sheetId="34" r:id="rId15"/>
    <sheet name="Summary" sheetId="36" r:id="rId16"/>
    <sheet name="Albertson" sheetId="42" r:id="rId17"/>
    <sheet name="Patel" sheetId="43" r:id="rId18"/>
    <sheet name="Brenshaw" sheetId="44" r:id="rId19"/>
    <sheet name="Consolidated" sheetId="41" r:id="rId20"/>
  </sheets>
  <definedNames>
    <definedName name="_xlnm._FilterDatabase" localSheetId="5" hidden="1">'Database Functions'!$B$4:$G$34</definedName>
    <definedName name="_xlnm._FilterDatabase" localSheetId="2" hidden="1">VLOOKUP!$A$9:$I$46</definedName>
    <definedName name="A._Ahrendts">'IF Function'!$B$10:$E$10</definedName>
    <definedName name="AllSales">'IF Function'!$A$5:$E$10</definedName>
    <definedName name="Category">'Database Functions'!$C$5:$C$62</definedName>
    <definedName name="Division">'Database Functions'!$B$5:$B$62</definedName>
    <definedName name="E._Musk">'IF Function'!$B$6:$E$6</definedName>
    <definedName name="February">'Database Functions'!$E$5:$E$62</definedName>
    <definedName name="FebruaryTotals">'IF Function'!$F$5:$F$10</definedName>
    <definedName name="January">'Database Functions'!$D$5:$D$62</definedName>
    <definedName name="M._Mayer">'IF Function'!$B$8:$E$8</definedName>
    <definedName name="March">'Database Functions'!$F$5:$F$62</definedName>
    <definedName name="S._Jobs">'IF Function'!$B$5:$E$5</definedName>
    <definedName name="S._Sandberg">'IF Function'!$B$9:$E$9</definedName>
    <definedName name="solver_adj" localSheetId="8" hidden="1">'Solver Basic'!$B$4:$B$7</definedName>
    <definedName name="solver_adj" localSheetId="9" hidden="1">SOLVER2!$B$4:$E$6</definedName>
    <definedName name="solver_cvg" localSheetId="8" hidden="1">0.0001</definedName>
    <definedName name="solver_cvg" localSheetId="9" hidden="1">0.0001</definedName>
    <definedName name="solver_drv" localSheetId="8" hidden="1">1</definedName>
    <definedName name="solver_drv" localSheetId="9" hidden="1">1</definedName>
    <definedName name="solver_eng" localSheetId="8" hidden="1">1</definedName>
    <definedName name="solver_eng" localSheetId="9" hidden="1">1</definedName>
    <definedName name="solver_est" localSheetId="8" hidden="1">1</definedName>
    <definedName name="solver_est" localSheetId="9" hidden="1">1</definedName>
    <definedName name="solver_itr" localSheetId="8" hidden="1">100</definedName>
    <definedName name="solver_itr" localSheetId="9" hidden="1">100</definedName>
    <definedName name="solver_lhs1" localSheetId="8" hidden="1">'Solver Basic'!$B$4:$B$7</definedName>
    <definedName name="solver_lhs1" localSheetId="9" hidden="1">SOLVER2!$B$4:$E$4</definedName>
    <definedName name="solver_lhs2" localSheetId="8" hidden="1">'Solver Basic'!$B$7</definedName>
    <definedName name="solver_lhs2" localSheetId="9" hidden="1">SOLVER2!$B$4:$E$6</definedName>
    <definedName name="solver_lhs3" localSheetId="8" hidden="1">'Solver Basic'!$B$8</definedName>
    <definedName name="solver_lhs3" localSheetId="9" hidden="1">SOLVER2!$B$5:$E$5</definedName>
    <definedName name="solver_lhs4" localSheetId="8" hidden="1">'Solver Basic'!$B$7</definedName>
    <definedName name="solver_lhs4" localSheetId="9" hidden="1">SOLVER2!$B$6:$E$6</definedName>
    <definedName name="solver_lhs5" localSheetId="8" hidden="1">'Solver Basic'!$B$8</definedName>
    <definedName name="solver_lhs5" localSheetId="9" hidden="1">SOLVER2!$B$7:$E$7</definedName>
    <definedName name="solver_lhs6" localSheetId="8" hidden="1">'Solver Basic'!$B$8</definedName>
    <definedName name="solver_lin" localSheetId="8" hidden="1">2</definedName>
    <definedName name="solver_lin" localSheetId="9" hidden="1">0</definedName>
    <definedName name="solver_mip" localSheetId="8" hidden="1">2147483647</definedName>
    <definedName name="solver_mip" localSheetId="9" hidden="1">2147483647</definedName>
    <definedName name="solver_mni" localSheetId="8" hidden="1">30</definedName>
    <definedName name="solver_mni" localSheetId="9" hidden="1">30</definedName>
    <definedName name="solver_mrt" localSheetId="8" hidden="1">0.075</definedName>
    <definedName name="solver_mrt" localSheetId="9" hidden="1">0.075</definedName>
    <definedName name="solver_msl" localSheetId="8" hidden="1">2</definedName>
    <definedName name="solver_msl" localSheetId="9" hidden="1">2</definedName>
    <definedName name="solver_neg" localSheetId="8" hidden="1">2</definedName>
    <definedName name="solver_neg" localSheetId="9" hidden="1">1</definedName>
    <definedName name="solver_nod" localSheetId="8" hidden="1">2147483647</definedName>
    <definedName name="solver_nod" localSheetId="9" hidden="1">2147483647</definedName>
    <definedName name="solver_num" localSheetId="8" hidden="1">3</definedName>
    <definedName name="solver_num" localSheetId="9" hidden="1">5</definedName>
    <definedName name="solver_nwt" localSheetId="8" hidden="1">1</definedName>
    <definedName name="solver_nwt" localSheetId="9" hidden="1">1</definedName>
    <definedName name="solver_opt" localSheetId="8" hidden="1">'Solver Basic'!$D$8</definedName>
    <definedName name="solver_opt" localSheetId="9" hidden="1">SOLVER2!$H$7</definedName>
    <definedName name="solver_pre" localSheetId="8" hidden="1">0.000001</definedName>
    <definedName name="solver_pre" localSheetId="9" hidden="1">0.000001</definedName>
    <definedName name="solver_rbv" localSheetId="8" hidden="1">1</definedName>
    <definedName name="solver_rbv" localSheetId="9" hidden="1">1</definedName>
    <definedName name="solver_rel1" localSheetId="8" hidden="1">3</definedName>
    <definedName name="solver_rel1" localSheetId="9" hidden="1">1</definedName>
    <definedName name="solver_rel2" localSheetId="8" hidden="1">1</definedName>
    <definedName name="solver_rel2" localSheetId="9" hidden="1">3</definedName>
    <definedName name="solver_rel3" localSheetId="8" hidden="1">2</definedName>
    <definedName name="solver_rel3" localSheetId="9" hidden="1">1</definedName>
    <definedName name="solver_rel4" localSheetId="8" hidden="1">1</definedName>
    <definedName name="solver_rel4" localSheetId="9" hidden="1">1</definedName>
    <definedName name="solver_rel5" localSheetId="8" hidden="1">2</definedName>
    <definedName name="solver_rel5" localSheetId="9" hidden="1">2</definedName>
    <definedName name="solver_rel6" localSheetId="8" hidden="1">2</definedName>
    <definedName name="solver_rhs1" localSheetId="8" hidden="1">50</definedName>
    <definedName name="solver_rhs1" localSheetId="9" hidden="1">92</definedName>
    <definedName name="solver_rhs2" localSheetId="8" hidden="1">100</definedName>
    <definedName name="solver_rhs2" localSheetId="9" hidden="1">20</definedName>
    <definedName name="solver_rhs3" localSheetId="8" hidden="1">400</definedName>
    <definedName name="solver_rhs3" localSheetId="9" hidden="1">45</definedName>
    <definedName name="solver_rhs4" localSheetId="8" hidden="1">80</definedName>
    <definedName name="solver_rhs4" localSheetId="9" hidden="1">55</definedName>
    <definedName name="solver_rhs5" localSheetId="8" hidden="1">350</definedName>
    <definedName name="solver_rhs5" localSheetId="9" hidden="1">SOLVER2!$B$9:$E$9</definedName>
    <definedName name="solver_rhs6" localSheetId="8" hidden="1">350</definedName>
    <definedName name="solver_rlx" localSheetId="8" hidden="1">1</definedName>
    <definedName name="solver_rlx" localSheetId="9" hidden="1">1</definedName>
    <definedName name="solver_rsd" localSheetId="8" hidden="1">0</definedName>
    <definedName name="solver_rsd" localSheetId="9" hidden="1">0</definedName>
    <definedName name="solver_scl" localSheetId="8" hidden="1">2</definedName>
    <definedName name="solver_scl" localSheetId="9" hidden="1">2</definedName>
    <definedName name="solver_sho" localSheetId="8" hidden="1">2</definedName>
    <definedName name="solver_sho" localSheetId="9" hidden="1">2</definedName>
    <definedName name="solver_ssz" localSheetId="8" hidden="1">100</definedName>
    <definedName name="solver_ssz" localSheetId="9" hidden="1">100</definedName>
    <definedName name="solver_tim" localSheetId="8" hidden="1">100</definedName>
    <definedName name="solver_tim" localSheetId="9" hidden="1">100</definedName>
    <definedName name="solver_tol" localSheetId="8" hidden="1">0.05</definedName>
    <definedName name="solver_tol" localSheetId="9" hidden="1">0.05</definedName>
    <definedName name="solver_typ" localSheetId="8" hidden="1">1</definedName>
    <definedName name="solver_typ" localSheetId="9" hidden="1">2</definedName>
    <definedName name="solver_val" localSheetId="8" hidden="1">0</definedName>
    <definedName name="solver_val" localSheetId="9" hidden="1">0</definedName>
    <definedName name="solver_ver" localSheetId="8" hidden="1">3</definedName>
    <definedName name="solver_ver" localSheetId="9" hidden="1">3</definedName>
    <definedName name="Total_Expenses">'Database Functions'!$G$5:$G$62</definedName>
    <definedName name="W._Buffett">'IF Function'!$B$7:$E$7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38" l="1"/>
  <c r="I5" i="38"/>
  <c r="H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5" i="38"/>
  <c r="C1" i="14"/>
  <c r="B14" i="14" s="1"/>
  <c r="C14" i="14" s="1"/>
  <c r="K8" i="31"/>
  <c r="J20" i="31"/>
  <c r="B12" i="3"/>
  <c r="B11" i="3"/>
  <c r="B10" i="3"/>
  <c r="C4" i="37"/>
  <c r="C5" i="37"/>
  <c r="C6" i="37"/>
  <c r="C7" i="37"/>
  <c r="C8" i="37"/>
  <c r="C9" i="37"/>
  <c r="C10" i="37"/>
  <c r="E4" i="1"/>
  <c r="D4" i="1"/>
  <c r="C4" i="1"/>
  <c r="B4" i="1"/>
  <c r="U11" i="1"/>
  <c r="T11" i="1"/>
  <c r="S11" i="1"/>
  <c r="R11" i="1"/>
  <c r="I12" i="4"/>
  <c r="I5" i="4"/>
  <c r="I6" i="4"/>
  <c r="I7" i="4"/>
  <c r="I8" i="4"/>
  <c r="I9" i="4"/>
  <c r="I10" i="4"/>
  <c r="H6" i="4"/>
  <c r="H7" i="4"/>
  <c r="H8" i="4"/>
  <c r="H9" i="4"/>
  <c r="H10" i="4"/>
  <c r="H5" i="4"/>
  <c r="F13" i="4"/>
  <c r="F12" i="4"/>
  <c r="F10" i="4"/>
  <c r="F9" i="4"/>
  <c r="F8" i="4"/>
  <c r="F7" i="4"/>
  <c r="F6" i="4"/>
  <c r="F5" i="4"/>
  <c r="J18" i="13"/>
  <c r="K8" i="13"/>
  <c r="C8" i="13"/>
  <c r="B18" i="13" l="1"/>
  <c r="C6" i="44" l="1"/>
  <c r="C5" i="44"/>
  <c r="C7" i="43"/>
  <c r="C6" i="43"/>
  <c r="C5" i="43"/>
  <c r="C7" i="42"/>
  <c r="C6" i="42"/>
  <c r="C5" i="42"/>
  <c r="D4" i="40"/>
  <c r="D5" i="40"/>
  <c r="D6" i="40"/>
  <c r="D7" i="40"/>
  <c r="B8" i="40"/>
  <c r="B9" i="32"/>
  <c r="C9" i="32"/>
  <c r="D9" i="32"/>
  <c r="E9" i="32"/>
  <c r="B9" i="33"/>
  <c r="C9" i="33"/>
  <c r="D9" i="33"/>
  <c r="E9" i="33"/>
  <c r="B9" i="34"/>
  <c r="C9" i="34"/>
  <c r="D9" i="34"/>
  <c r="E9" i="34"/>
  <c r="B9" i="36"/>
  <c r="C9" i="36"/>
  <c r="D9" i="36"/>
  <c r="E9" i="36"/>
  <c r="G5" i="31"/>
  <c r="G6" i="31"/>
  <c r="G7" i="31"/>
  <c r="G8" i="31"/>
  <c r="G9" i="31"/>
  <c r="J14" i="31" s="1"/>
  <c r="G10" i="31"/>
  <c r="G11" i="31"/>
  <c r="G12" i="31"/>
  <c r="G13" i="31"/>
  <c r="G14" i="31"/>
  <c r="G15" i="31"/>
  <c r="G16" i="31"/>
  <c r="G17" i="31"/>
  <c r="G18" i="31"/>
  <c r="G19" i="31"/>
  <c r="G20" i="31"/>
  <c r="G21" i="31"/>
  <c r="G22" i="31"/>
  <c r="G23" i="31"/>
  <c r="G24" i="31"/>
  <c r="G25" i="31"/>
  <c r="G26" i="31"/>
  <c r="G27" i="31"/>
  <c r="G28" i="31"/>
  <c r="G29" i="31"/>
  <c r="G30" i="31"/>
  <c r="G31" i="31"/>
  <c r="G32" i="31"/>
  <c r="G33" i="31"/>
  <c r="G34" i="31"/>
  <c r="G35" i="31"/>
  <c r="G36" i="31"/>
  <c r="G37" i="31"/>
  <c r="G38" i="31"/>
  <c r="G39" i="31"/>
  <c r="G40" i="31"/>
  <c r="G41" i="31"/>
  <c r="G42" i="31"/>
  <c r="G43" i="31"/>
  <c r="G44" i="31"/>
  <c r="G45" i="31"/>
  <c r="G46" i="31"/>
  <c r="G47" i="31"/>
  <c r="G48" i="31"/>
  <c r="G49" i="31"/>
  <c r="G50" i="31"/>
  <c r="G51" i="31"/>
  <c r="G52" i="31"/>
  <c r="G53" i="31"/>
  <c r="G54" i="31"/>
  <c r="G55" i="31"/>
  <c r="G56" i="31"/>
  <c r="G57" i="31"/>
  <c r="G58" i="31"/>
  <c r="G59" i="31"/>
  <c r="G60" i="31"/>
  <c r="G61" i="31"/>
  <c r="G62" i="31"/>
  <c r="B9" i="14"/>
  <c r="C9" i="14" s="1"/>
  <c r="B8" i="14"/>
  <c r="C8" i="14" s="1"/>
  <c r="B7" i="14"/>
  <c r="C7" i="14" s="1"/>
  <c r="B6" i="14"/>
  <c r="C6" i="14" s="1"/>
  <c r="B5" i="14"/>
  <c r="C5" i="14" s="1"/>
  <c r="D7" i="8"/>
  <c r="E7" i="8" s="1"/>
  <c r="D5" i="8"/>
  <c r="E5" i="8" s="1"/>
  <c r="D6" i="8"/>
  <c r="D4" i="8"/>
  <c r="E4" i="8" s="1"/>
  <c r="F4" i="8" s="1"/>
  <c r="C8" i="8"/>
  <c r="H4" i="7"/>
  <c r="H5" i="7"/>
  <c r="H6" i="7"/>
  <c r="C7" i="7"/>
  <c r="D7" i="7"/>
  <c r="E7" i="7"/>
  <c r="B7" i="7"/>
  <c r="D8" i="40" l="1"/>
  <c r="H7" i="7"/>
  <c r="D8" i="8"/>
  <c r="F7" i="8"/>
  <c r="G7" i="8" s="1"/>
  <c r="F5" i="8"/>
  <c r="G5" i="8" s="1"/>
  <c r="G4" i="8"/>
  <c r="E6" i="8"/>
  <c r="E8" i="8" s="1"/>
  <c r="F6" i="8" l="1"/>
  <c r="F8" i="8" s="1"/>
  <c r="G6" i="8" l="1"/>
  <c r="G8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10-16 Student</author>
  </authors>
  <commentList>
    <comment ref="I1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Department as a whole must have total sales of at least $200,000 AND average $9000 or more per week.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tc={CF93D0EA-C018-41F0-9A15-2659828E0ADF}</author>
  </authors>
  <commentList>
    <comment ref="C4" authorId="0" shapeId="0" xr:uid="{CF93D0EA-C018-41F0-9A15-2659828E0ADF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= 
IF($C$12="Holiday",VLOOKUP(B4,$E$4:$G$10,3,1),VLOOKUP(B4,$E$4:$G$10,2,1))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tc={ED3A9CE6-C8D5-49AA-87FF-DEED9CEC75BB}</author>
    <author>tc={C7A776D6-9091-4E73-82F0-EF8BB9395FFF}</author>
  </authors>
  <commentList>
    <comment ref="C8" authorId="0" shapeId="0" xr:uid="{ED3A9CE6-C8D5-49AA-87FF-DEED9CEC75BB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14.2% interest rate is swapped with each from B9:B15</t>
      </text>
    </comment>
    <comment ref="C17" authorId="1" shapeId="0" xr:uid="{C7A776D6-9091-4E73-82F0-EF8BB9395FFF}">
      <text>
        <t>[Threaded comment]
Your version of Excel allows you to read this threaded comment; however, any edits to it will get removed if the file is opened in a newer version of Excel. Learn more: https://go.microsoft.com/fwlink/?linkid=870924
Comment:
    Row input cell: $C$5 ~ number of months that is replaced;
Column input cell: $C$4 ~ interest rate that is being replaced.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10-16 Student</author>
  </authors>
  <commentList>
    <comment ref="B1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 xml:space="preserve">The client is paying per item. Calculate the highest total cost we could sell the treats for. 
</t>
        </r>
        <r>
          <rPr>
            <b/>
            <u/>
            <sz val="9"/>
            <color indexed="81"/>
            <rFont val="Tahoma"/>
            <family val="2"/>
          </rPr>
          <t>Constraints</t>
        </r>
        <r>
          <rPr>
            <sz val="9"/>
            <color indexed="81"/>
            <rFont val="Tahoma"/>
            <family val="2"/>
          </rPr>
          <t xml:space="preserve">
1. We need 400 desserts.
2. At least 50 of each dessert.
3. We cannot make more than 100 brownies.
</t>
        </r>
      </text>
    </comment>
    <comment ref="D11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client is paying a flat rate for the event. Calculate the lowest cost we can achieve while still meeting the constraints. 
</t>
        </r>
        <r>
          <rPr>
            <b/>
            <u/>
            <sz val="9"/>
            <color indexed="81"/>
            <rFont val="Tahoma"/>
            <family val="2"/>
          </rPr>
          <t>Constraints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1. We need 500 desserts.
2. At least 75 of each dessert.
3. We cannot make more than 150 Cheesecakes.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10-16 Student</author>
  </authors>
  <commentList>
    <comment ref="A1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It's never too soon to prepare for the next holiday season. To optimize shipping costs the following constraints must be put in place:
</t>
        </r>
        <r>
          <rPr>
            <b/>
            <u/>
            <sz val="9"/>
            <color indexed="81"/>
            <rFont val="Tahoma"/>
            <family val="2"/>
          </rPr>
          <t>Constraints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Each plant must produce at least 20 units a quarter to justify remaining open.
2. </t>
        </r>
        <r>
          <rPr>
            <b/>
            <sz val="9"/>
            <color indexed="81"/>
            <rFont val="Tahoma"/>
            <family val="2"/>
          </rPr>
          <t>Charlotte</t>
        </r>
        <r>
          <rPr>
            <sz val="9"/>
            <color indexed="81"/>
            <rFont val="Tahoma"/>
            <family val="2"/>
          </rPr>
          <t xml:space="preserve"> has a maximum capacity of 92 units per quarter; </t>
        </r>
        <r>
          <rPr>
            <b/>
            <sz val="9"/>
            <color indexed="81"/>
            <rFont val="Tahoma"/>
            <family val="2"/>
          </rPr>
          <t>Portland:</t>
        </r>
        <r>
          <rPr>
            <sz val="9"/>
            <color indexed="81"/>
            <rFont val="Tahoma"/>
            <family val="2"/>
          </rPr>
          <t xml:space="preserve"> 45 units max; </t>
        </r>
        <r>
          <rPr>
            <b/>
            <sz val="9"/>
            <color indexed="81"/>
            <rFont val="Tahoma"/>
            <family val="2"/>
          </rPr>
          <t>Quebec:</t>
        </r>
        <r>
          <rPr>
            <sz val="9"/>
            <color indexed="81"/>
            <rFont val="Tahoma"/>
            <family val="2"/>
          </rPr>
          <t xml:space="preserve"> 55 units max. 
3. The plant production must equal the requirements of the warehouse, since there is a short shelf-life.
</t>
        </r>
        <r>
          <rPr>
            <b/>
            <sz val="9"/>
            <color indexed="81"/>
            <rFont val="Tahoma"/>
            <family val="2"/>
          </rPr>
          <t xml:space="preserve">What's the lowest possible cost of shipping we can achieve?
</t>
        </r>
      </text>
    </comment>
  </commentList>
</comments>
</file>

<file path=xl/sharedStrings.xml><?xml version="1.0" encoding="utf-8"?>
<sst xmlns="http://schemas.openxmlformats.org/spreadsheetml/2006/main" count="683" uniqueCount="381">
  <si>
    <t>Pear Company Sales - February 2015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</si>
  <si>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</si>
  <si>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</si>
  <si>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</si>
  <si>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</si>
  <si>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</si>
  <si>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</si>
  <si>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</si>
  <si>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</si>
  <si>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</si>
  <si>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S. Jobs</t>
  </si>
  <si>
    <t>E. Musk</t>
  </si>
  <si>
    <t>W. Buffett</t>
  </si>
  <si>
    <t>M. Mayer</t>
  </si>
  <si>
    <t>S. Sandberg</t>
  </si>
  <si>
    <t>A. Ahrendts</t>
  </si>
  <si>
    <t>Total Sales:</t>
  </si>
  <si>
    <t>Department Bonus of $850 per person</t>
  </si>
  <si>
    <t>Average Sales:</t>
  </si>
  <si>
    <t>Today's Date:</t>
  </si>
  <si>
    <t>Bill Due</t>
  </si>
  <si>
    <t>Days</t>
  </si>
  <si>
    <t>Companies</t>
  </si>
  <si>
    <t>Date:</t>
  </si>
  <si>
    <t>Overdue:</t>
  </si>
  <si>
    <t xml:space="preserve">Pacific Gas &amp; Electric Co. </t>
  </si>
  <si>
    <t>Verizon Wireless</t>
  </si>
  <si>
    <t>Chase Credit Card</t>
  </si>
  <si>
    <t>Comcast</t>
  </si>
  <si>
    <t>Townview Rentals</t>
  </si>
  <si>
    <t>How Old Are You?</t>
  </si>
  <si>
    <t>BIRTHDAY</t>
  </si>
  <si>
    <t>DAYS SINCE BIRTH</t>
  </si>
  <si>
    <t>AGE</t>
  </si>
  <si>
    <t>Employee Lookup</t>
  </si>
  <si>
    <t>Emp ID</t>
  </si>
  <si>
    <t>Last Name</t>
  </si>
  <si>
    <t>First Name</t>
  </si>
  <si>
    <t>Dept</t>
  </si>
  <si>
    <t>Pay Rate</t>
  </si>
  <si>
    <t>Employee Information - Master List</t>
  </si>
  <si>
    <t>E-mail</t>
  </si>
  <si>
    <t>Phone Ext</t>
  </si>
  <si>
    <t>Location</t>
  </si>
  <si>
    <t>Hire Date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</si>
  <si>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</si>
  <si>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</si>
  <si>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</si>
  <si>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</si>
  <si>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</si>
  <si>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</si>
  <si>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</si>
  <si>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</si>
  <si>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</si>
  <si>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</si>
  <si>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</si>
  <si>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</si>
  <si>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</si>
  <si>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</si>
  <si>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</si>
  <si>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</si>
  <si>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</si>
  <si>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</si>
  <si>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</si>
  <si>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</si>
  <si>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</si>
  <si>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</si>
  <si>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</si>
  <si>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</si>
  <si>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</si>
  <si>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</si>
  <si>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</si>
  <si>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</si>
  <si>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</si>
  <si>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</si>
  <si>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</si>
  <si>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</si>
  <si>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</si>
  <si>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</si>
  <si>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</si>
  <si>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</si>
  <si>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</si>
  <si>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</si>
  <si>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</si>
  <si>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</si>
  <si>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</si>
  <si>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</si>
  <si>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</si>
  <si>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</si>
  <si>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</si>
  <si>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</si>
  <si>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</si>
  <si>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</si>
  <si>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</si>
  <si>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</si>
  <si>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</si>
  <si>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</si>
  <si>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</si>
  <si>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</si>
  <si>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</si>
  <si>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Miller</t>
  </si>
  <si>
    <t>Pam</t>
  </si>
  <si>
    <t>pamk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</si>
  <si>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</si>
  <si>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</si>
  <si>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</si>
  <si>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</si>
  <si>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</si>
  <si>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</si>
  <si>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</si>
  <si>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</si>
  <si>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</si>
  <si>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</si>
  <si>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</si>
  <si>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</si>
  <si>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</si>
  <si>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Janet</t>
  </si>
  <si>
    <t>janetm</t>
  </si>
  <si>
    <t>Alstain</t>
  </si>
  <si>
    <t>Isolde</t>
  </si>
  <si>
    <t>isoldea</t>
  </si>
  <si>
    <t>Sammler</t>
  </si>
  <si>
    <t>marks</t>
  </si>
  <si>
    <t>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</si>
  <si>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</si>
  <si>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</si>
  <si>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</si>
  <si>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</si>
  <si>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</si>
  <si>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</si>
  <si>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</si>
  <si>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</si>
  <si>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</si>
  <si>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</si>
  <si>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</si>
  <si>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</si>
  <si>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</si>
  <si>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</si>
  <si>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</si>
  <si>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</si>
  <si>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</si>
  <si>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</si>
  <si>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</si>
  <si>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</si>
  <si>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Larry</t>
  </si>
  <si>
    <t>larryf</t>
  </si>
  <si>
    <t>Judy</t>
  </si>
  <si>
    <t>judyc</t>
  </si>
  <si>
    <t>Chang</t>
  </si>
  <si>
    <t>Jessica</t>
  </si>
  <si>
    <t>jessc</t>
  </si>
  <si>
    <t>Maria</t>
  </si>
  <si>
    <t>mariam</t>
  </si>
  <si>
    <t>Atherly</t>
  </si>
  <si>
    <t>Katherine</t>
  </si>
  <si>
    <t>kathya</t>
  </si>
  <si>
    <t>Bonus Calculation Table</t>
  </si>
  <si>
    <t>Name</t>
  </si>
  <si>
    <t>Sales</t>
  </si>
  <si>
    <t>Bonus</t>
  </si>
  <si>
    <t>Bonus Lookup Table</t>
  </si>
  <si>
    <t>Mickey</t>
  </si>
  <si>
    <t>Holiday</t>
  </si>
  <si>
    <t>Donald</t>
  </si>
  <si>
    <t>Bugs</t>
  </si>
  <si>
    <t>Daffy</t>
  </si>
  <si>
    <t>Elmer</t>
  </si>
  <si>
    <t>Elmo</t>
  </si>
  <si>
    <t>Grover</t>
  </si>
  <si>
    <t>Standard or Holiday Bonus? --&gt;</t>
  </si>
  <si>
    <t>Product Orders</t>
  </si>
  <si>
    <t>Inventory Status Check</t>
  </si>
  <si>
    <t>Enter Product Code:</t>
  </si>
  <si>
    <t>XP200</t>
  </si>
  <si>
    <t>Warehouse 1</t>
  </si>
  <si>
    <t>Warehouse 2</t>
  </si>
  <si>
    <t>Warehouse 3</t>
  </si>
  <si>
    <t>Master Inventory Sheet</t>
  </si>
  <si>
    <t>Product Code:</t>
  </si>
  <si>
    <t>XP100</t>
  </si>
  <si>
    <t>XP300</t>
  </si>
  <si>
    <t>AX10</t>
  </si>
  <si>
    <t>AX25</t>
  </si>
  <si>
    <t>AX50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</si>
  <si>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</si>
  <si>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</si>
  <si>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</si>
  <si>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</si>
  <si>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</si>
  <si>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</si>
  <si>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</si>
  <si>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</si>
  <si>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</si>
  <si>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</si>
  <si>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</si>
  <si>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</si>
  <si>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</si>
  <si>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</si>
  <si>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</si>
  <si>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</si>
  <si>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</si>
  <si>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</si>
  <si>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</si>
  <si>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</si>
  <si>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</si>
  <si>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</si>
  <si>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</si>
  <si>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</si>
  <si>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</si>
  <si>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</si>
  <si>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</si>
  <si>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</si>
  <si>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Full Name:</t>
  </si>
  <si>
    <t>Left</t>
  </si>
  <si>
    <t>Mid</t>
  </si>
  <si>
    <t>Right</t>
  </si>
  <si>
    <t>Nevertheless</t>
  </si>
  <si>
    <t>Sindole</t>
  </si>
  <si>
    <t>Credit Card Payment Plan</t>
  </si>
  <si>
    <t>Current Balance:</t>
  </si>
  <si>
    <t>Interest Rate:</t>
  </si>
  <si>
    <t>Project Payment Period (Months):</t>
  </si>
  <si>
    <t>Alternatives:</t>
  </si>
  <si>
    <t>Practice:</t>
  </si>
  <si>
    <t>Interest Rate</t>
  </si>
  <si>
    <t>Months</t>
  </si>
  <si>
    <t>Pear Bakery &amp; Catering Company</t>
  </si>
  <si>
    <t>Quantity</t>
  </si>
  <si>
    <t>Cost Each</t>
  </si>
  <si>
    <t>Cost Total</t>
  </si>
  <si>
    <t>Cinnamon Buns</t>
  </si>
  <si>
    <t>Cronuts</t>
  </si>
  <si>
    <t>Strawberry Cheesecake</t>
  </si>
  <si>
    <t>White Marble Brownies</t>
  </si>
  <si>
    <t>Total Number</t>
  </si>
  <si>
    <t>Total Cost</t>
  </si>
  <si>
    <t>::Example 1::</t>
  </si>
  <si>
    <t>::Example 2::</t>
  </si>
  <si>
    <t>Pear Company Transportation</t>
  </si>
  <si>
    <t>Shipping Depots</t>
  </si>
  <si>
    <t>Q1</t>
  </si>
  <si>
    <t>Q2</t>
  </si>
  <si>
    <t>Q3</t>
  </si>
  <si>
    <t>Q4</t>
  </si>
  <si>
    <t>Shipping (per unit)</t>
  </si>
  <si>
    <t>Total Cost of Shipping</t>
  </si>
  <si>
    <t>Charlotte</t>
  </si>
  <si>
    <t>Portland</t>
  </si>
  <si>
    <t>Quebec</t>
  </si>
  <si>
    <t>Total Units Produced:</t>
  </si>
  <si>
    <t>Warehouse Demands:</t>
  </si>
  <si>
    <t>::Example::</t>
  </si>
  <si>
    <t>Pear Company Sales Projections</t>
  </si>
  <si>
    <t>Region</t>
  </si>
  <si>
    <t>Yearly Total</t>
  </si>
  <si>
    <t>Totals:</t>
  </si>
  <si>
    <t>Predicted Sales Growth</t>
  </si>
  <si>
    <t>Connecticut Division</t>
  </si>
  <si>
    <t>Item</t>
  </si>
  <si>
    <t>QTR 1</t>
  </si>
  <si>
    <t>QTR 2</t>
  </si>
  <si>
    <t>QTR 3</t>
  </si>
  <si>
    <t>QTR 4</t>
  </si>
  <si>
    <t>Training</t>
  </si>
  <si>
    <t>Misc.</t>
  </si>
  <si>
    <t>Maine Division</t>
  </si>
  <si>
    <t>New Hampshire Division</t>
  </si>
  <si>
    <t>All Division Summary</t>
  </si>
  <si>
    <t>Henry Albertson</t>
  </si>
  <si>
    <t>Product</t>
  </si>
  <si>
    <t>Commission</t>
  </si>
  <si>
    <t>CD Encyclopedia</t>
  </si>
  <si>
    <t>CD Dictionary</t>
  </si>
  <si>
    <t>CD Thesaurus</t>
  </si>
  <si>
    <t>Alan Patel</t>
  </si>
  <si>
    <t>CD Road Atlas</t>
  </si>
  <si>
    <t>Caroline Brenshaw</t>
  </si>
  <si>
    <t>Consolidated Sales Data</t>
  </si>
  <si>
    <t>Insert Consolidated Data below:::</t>
  </si>
  <si>
    <t>Named ranges</t>
  </si>
  <si>
    <t>Formulas &gt; Defined Names &gt; Define Name {Name the cells} [ S._Jobs ~ spaces don't work really well]</t>
  </si>
  <si>
    <t>Scope: you can limit names to a specific worksheet or make them work on the entire workbook</t>
  </si>
  <si>
    <t>Automating the process for the rest of the rows:</t>
  </si>
  <si>
    <t>Select B5:E10 (we include the person's name)&gt;Formulas&gt;Create from Selection (only for a wide range w/ names)&gt;left column</t>
  </si>
  <si>
    <t>#=SUM( + F3 /tab/Use in Formula + paste name)</t>
  </si>
  <si>
    <t>Let's define a name for all the totals &amp; all sales</t>
  </si>
  <si>
    <t>BE CAREFUL NOT TO TAK THE AVERAGE OF THE TOTALS &amp; to use &lt;= w/ monthly goal!</t>
  </si>
  <si>
    <t>Was the goal met?Remember to use " " instead of ' '</t>
  </si>
  <si>
    <t>Remember about $ w/ autofilling when necessary</t>
  </si>
  <si>
    <t>Debugging formulas: Formulas &gt; Formula Auditing &gt; Show Formulas</t>
  </si>
  <si>
    <r>
      <t>Second way of making a function after =: Formulas&gt;Insert Function // f</t>
    </r>
    <r>
      <rPr>
        <sz val="8"/>
        <rFont val="Calibri"/>
        <family val="2"/>
        <scheme val="minor"/>
      </rPr>
      <t>x</t>
    </r>
    <r>
      <rPr>
        <sz val="11"/>
        <rFont val="Calibri"/>
        <family val="2"/>
        <scheme val="minor"/>
      </rPr>
      <t>&gt; select a function (u can check out the description)</t>
    </r>
  </si>
  <si>
    <t>F12&gt;200000 &amp; F13&gt;9000 == AND(F12&gt;200000, F13&gt;9000)</t>
  </si>
  <si>
    <t>VLOOKUP - one of the most important skills sought for Data Management</t>
  </si>
  <si>
    <t>Let's insert funtion instead of jumping into writing the vlookup function</t>
  </si>
  <si>
    <t>If you don't know what an argument means, sleect it in the Function arguments box while using Insert Function</t>
  </si>
  <si>
    <t>F4 ~ automatic reference of a table</t>
  </si>
  <si>
    <t>0 ~ binary equivalernt of false</t>
  </si>
  <si>
    <t>Range_lookup ~logical value: closest match = TRUE/ omitted; exact match = FALSE</t>
  </si>
  <si>
    <r>
      <t>Editing a function in Function Arguments: select a function sell &gt; Formulas &gt; Insert Function or f</t>
    </r>
    <r>
      <rPr>
        <sz val="8"/>
        <rFont val="Calibri"/>
        <family val="2"/>
        <scheme val="minor"/>
      </rPr>
      <t>x</t>
    </r>
  </si>
  <si>
    <t>Reminder: keep in mind that the data base isn't gonna be just for us:</t>
  </si>
  <si>
    <t>#- It will be passed to someone else, possibly with No advanced Excel skills</t>
  </si>
  <si>
    <t>#-Errors has to be named in an understable, user-friendly manner</t>
  </si>
  <si>
    <r>
      <t>Select the cell, insert =iferror, place a cursor on iferror, select f</t>
    </r>
    <r>
      <rPr>
        <sz val="8"/>
        <rFont val="Calibri"/>
        <family val="2"/>
        <scheme val="minor"/>
      </rPr>
      <t>x</t>
    </r>
  </si>
  <si>
    <t>When would we want to use the closest match?</t>
  </si>
  <si>
    <t>Insert Function box</t>
  </si>
  <si>
    <t>If you want to find out what the meaning of an arg is, click the text field in the arguments box &amp; checl the descri[tion</t>
  </si>
  <si>
    <t>Automated bonus calculation table</t>
  </si>
  <si>
    <t>Alternative = IF($C$12="Holiday",VLOOKUP(B4,$E$4:$G$10,3,1),VLOOKUP(B4,$E$4:$G$10,2,1))</t>
  </si>
  <si>
    <t>HLOOKUP - one of the most underutilised functions; the opposite of the vlookup</t>
  </si>
  <si>
    <t>DATABASE FUNCTIONS</t>
  </si>
  <si>
    <t>SUMIF</t>
  </si>
  <si>
    <t>SUMIF =/= SUMIFS</t>
  </si>
  <si>
    <t>ctrl+A ~ lifehack for selecting the entire table</t>
  </si>
  <si>
    <t>Let's create a name name from Selection (Defined Names) (only top rows)</t>
  </si>
  <si>
    <t>While using criteria, instead of typing sth in " ", reference a cell w/ the very name</t>
  </si>
  <si>
    <t>#=SUMIF(C4:C62,I14,G4:G62)</t>
  </si>
  <si>
    <t>#=SUMIF(Category,I14,Total_Expenses)</t>
  </si>
  <si>
    <t>It's better to search for whatever we have in a cell, because it's brings automation into the worksheet</t>
  </si>
  <si>
    <t>AVERAGEIF</t>
  </si>
  <si>
    <t>SUMIFS</t>
  </si>
  <si>
    <t>Criteria_range; criteria</t>
  </si>
  <si>
    <t>It's easier to refer to ranges as names of defined names of columns in the table</t>
  </si>
  <si>
    <t>#/365.25~uwzlgędnienie przestępnych</t>
  </si>
  <si>
    <t>Merging names of separate columns~CONCATENATE</t>
  </si>
  <si>
    <t>MID(),RIGHT(),LEFT()</t>
  </si>
  <si>
    <t xml:space="preserve">https://youtu.be/F4b-GnvRN4k?t=6064 </t>
  </si>
  <si>
    <t>Connecticut?</t>
  </si>
  <si>
    <t>Data&gt;Data Tools&gt;Consolidate</t>
  </si>
  <si>
    <t>Add references from the other sheets into All references</t>
  </si>
  <si>
    <t>ToUse labels in top row &amp; left column</t>
  </si>
  <si>
    <t>Select the entire table to set the place where we want to summarise our data from other spreadsheets</t>
  </si>
  <si>
    <t>More tricky consolidation</t>
  </si>
  <si>
    <t>A5; Data&gt;Data Tools&gt;Consolidate</t>
  </si>
  <si>
    <t>Data&gt;Analysis&gt;Solver</t>
  </si>
  <si>
    <t>Interpretation of the task is crucial</t>
  </si>
  <si>
    <t>Solver tool</t>
  </si>
  <si>
    <t>B4:B7&gt;=50 ~ each value in each row is more than/equal to 50</t>
  </si>
  <si>
    <t>Predicting sales: let's use scenario manager</t>
  </si>
  <si>
    <t>Data&gt;Forecast&gt;What-if Analysis&gt;Scenario Manager</t>
  </si>
  <si>
    <t>$C$14</t>
  </si>
  <si>
    <t>$C$11</t>
  </si>
  <si>
    <t>$C$12</t>
  </si>
  <si>
    <t>$C$13</t>
  </si>
  <si>
    <t>$G$8</t>
  </si>
  <si>
    <t>Southern Expansion</t>
  </si>
  <si>
    <t>Maassive expansion in the Southern region. Mass advertising campaign.</t>
  </si>
  <si>
    <t>New CEO</t>
  </si>
  <si>
    <t>A new CEO makes the entire company more productive</t>
  </si>
  <si>
    <t>Standard</t>
  </si>
  <si>
    <t>Created by Royal Catrin on 30/09/2021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</si>
  <si>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</si>
  <si>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</si>
  <si>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</si>
  <si>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</si>
  <si>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</si>
  <si>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</si>
  <si>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</si>
  <si>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DataTable analysis</t>
  </si>
  <si>
    <t>Data&gt;Forecast&gt;What-if Analysis&gt;Data Table</t>
  </si>
  <si>
    <t>Developer tab can be turned on to build macros</t>
  </si>
  <si>
    <t>Macros are for automation</t>
  </si>
  <si>
    <t>Recording a macro: Developer&gt;Code&gt;Record Macro/bottom left on the status bar</t>
  </si>
  <si>
    <t>User Relative References &amp; record a macro</t>
  </si>
  <si>
    <t>While recording a macro, avoid clicking</t>
  </si>
  <si>
    <t>Running a macro:</t>
  </si>
  <si>
    <t xml:space="preserve">https://youtu.be/F4b-GnvRN4k?t=8581 </t>
  </si>
  <si>
    <t>https://youtu.be/F4b-GnvRN4k?t=8641</t>
  </si>
  <si>
    <t>Recording a macro:</t>
  </si>
  <si>
    <t>https://youtu.be/F4b-GnvRN4k?t=8298</t>
  </si>
  <si>
    <t>Visual Basic (not intuitive, practice required)</t>
  </si>
  <si>
    <t>Developer&gt;Code&gt;Macros&gt;Choose a macro&gt;Step Into</t>
  </si>
  <si>
    <t>Learning by contextual analysis</t>
  </si>
  <si>
    <t># 'Apotrophe ~ commenting a line of code so that it's not run</t>
  </si>
  <si>
    <t>#Sub Macro_Name()</t>
  </si>
  <si>
    <t>#Code</t>
  </si>
  <si>
    <t>#End Sub</t>
  </si>
  <si>
    <t>Remember about using relative references</t>
  </si>
  <si>
    <t>You can set a keyboard shortcut or a quick access button for a macro</t>
  </si>
  <si>
    <t>One other way to use a macro is by using a button in the worksheet</t>
  </si>
  <si>
    <t>Developer&gt;Controls&gt;Insert&gt;Button; You have to draw a button w// a cursor</t>
  </si>
  <si>
    <t>There are endless opportunities w/ macros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</si>
</sst>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$&quot;#,##0.00_);[Red]\(&quot;$&quot;#,##0.0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&quot;$&quot;#,##0"/>
    <numFmt numFmtId="171" formatCode="&quot;$&quot;#,##0.00"/>
    <numFmt numFmtId="172" formatCode="0.0%"/>
    <numFmt numFmtId="173" formatCode="[$-409]mmmm\ yyyy;@"/>
    <numFmt numFmtId="174" formatCode="[$$-409]#,##0.00"/>
    <numFmt numFmtId="175" formatCode="yyyy\-mm\-dd;@"/>
  </numFmts>
  <fonts count="5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1"/>
      <scheme val="maj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mbria"/>
      <family val="1"/>
      <scheme val="major"/>
    </font>
    <font>
      <sz val="11"/>
      <color indexed="8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5"/>
      <color theme="0"/>
      <name val="Cambria"/>
      <family val="1"/>
      <scheme val="maj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mbria"/>
      <family val="1"/>
      <scheme val="major"/>
    </font>
    <font>
      <u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4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b/>
      <u/>
      <sz val="9"/>
      <color indexed="81"/>
      <name val="Tahoma"/>
      <family val="2"/>
    </font>
    <font>
      <sz val="18"/>
      <color theme="3"/>
      <name val="Cambria"/>
      <family val="1"/>
      <scheme val="major"/>
    </font>
    <font>
      <sz val="18"/>
      <color indexed="56"/>
      <name val="Cambria"/>
      <family val="1"/>
      <scheme val="major"/>
    </font>
    <font>
      <sz val="8"/>
      <name val="Calibri"/>
      <family val="2"/>
      <scheme val="minor"/>
    </font>
    <font>
      <u/>
      <sz val="10"/>
      <color theme="10"/>
      <name val="Arial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uble">
        <color rgb="FF3F3F3F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166" fontId="4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6" fillId="0" borderId="0"/>
    <xf numFmtId="9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34" applyNumberFormat="0" applyFill="0" applyAlignment="0" applyProtection="0"/>
    <xf numFmtId="0" fontId="16" fillId="0" borderId="35" applyNumberFormat="0" applyFill="0" applyAlignment="0" applyProtection="0"/>
    <xf numFmtId="0" fontId="17" fillId="0" borderId="36" applyNumberFormat="0" applyFill="0" applyAlignment="0" applyProtection="0"/>
    <xf numFmtId="0" fontId="17" fillId="0" borderId="0" applyNumberFormat="0" applyFill="0" applyBorder="0" applyAlignment="0" applyProtection="0"/>
    <xf numFmtId="0" fontId="18" fillId="5" borderId="37" applyNumberFormat="0" applyAlignment="0" applyProtection="0"/>
    <xf numFmtId="0" fontId="19" fillId="6" borderId="38" applyNumberFormat="0" applyAlignment="0" applyProtection="0"/>
    <xf numFmtId="0" fontId="20" fillId="7" borderId="39" applyNumberFormat="0" applyAlignment="0" applyProtection="0"/>
    <xf numFmtId="0" fontId="21" fillId="0" borderId="0" applyNumberFormat="0" applyFill="0" applyBorder="0" applyAlignment="0" applyProtection="0"/>
    <xf numFmtId="0" fontId="22" fillId="0" borderId="40" applyNumberFormat="0" applyFill="0" applyAlignment="0" applyProtection="0"/>
    <xf numFmtId="0" fontId="23" fillId="8" borderId="0" applyNumberFormat="0" applyBorder="0" applyAlignment="0" applyProtection="0"/>
    <xf numFmtId="0" fontId="3" fillId="9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3" fillId="18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9" fillId="0" borderId="0" applyNumberFormat="0" applyFill="0" applyBorder="0" applyAlignment="0" applyProtection="0"/>
  </cellStyleXfs>
  <cellXfs count="195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170" fontId="4" fillId="0" borderId="0" xfId="1" applyNumberFormat="1"/>
    <xf numFmtId="0" fontId="7" fillId="0" borderId="0" xfId="3"/>
    <xf numFmtId="0" fontId="24" fillId="0" borderId="0" xfId="0" applyFont="1"/>
    <xf numFmtId="0" fontId="28" fillId="0" borderId="0" xfId="0" applyFont="1"/>
    <xf numFmtId="168" fontId="28" fillId="0" borderId="4" xfId="1" applyNumberFormat="1" applyFont="1" applyBorder="1" applyAlignment="1">
      <alignment horizontal="left"/>
    </xf>
    <xf numFmtId="170" fontId="26" fillId="0" borderId="16" xfId="1" applyNumberFormat="1" applyFont="1" applyBorder="1" applyAlignment="1">
      <alignment horizontal="center"/>
    </xf>
    <xf numFmtId="168" fontId="28" fillId="0" borderId="15" xfId="1" applyNumberFormat="1" applyFont="1" applyBorder="1" applyAlignment="1">
      <alignment horizontal="left"/>
    </xf>
    <xf numFmtId="168" fontId="28" fillId="0" borderId="6" xfId="1" applyNumberFormat="1" applyFont="1" applyBorder="1" applyAlignment="1">
      <alignment horizontal="left"/>
    </xf>
    <xf numFmtId="170" fontId="26" fillId="0" borderId="4" xfId="0" applyNumberFormat="1" applyFont="1" applyBorder="1" applyAlignment="1">
      <alignment horizontal="right" vertical="center"/>
    </xf>
    <xf numFmtId="0" fontId="28" fillId="0" borderId="4" xfId="0" applyFont="1" applyBorder="1" applyAlignment="1">
      <alignment horizontal="center" vertical="center"/>
    </xf>
    <xf numFmtId="0" fontId="22" fillId="17" borderId="36" xfId="9" applyFont="1" applyFill="1" applyAlignment="1">
      <alignment horizontal="center"/>
    </xf>
    <xf numFmtId="0" fontId="22" fillId="10" borderId="3" xfId="10" applyFont="1" applyFill="1" applyBorder="1" applyAlignment="1">
      <alignment horizontal="right"/>
    </xf>
    <xf numFmtId="0" fontId="22" fillId="10" borderId="13" xfId="10" applyFont="1" applyFill="1" applyBorder="1" applyAlignment="1">
      <alignment horizontal="right"/>
    </xf>
    <xf numFmtId="0" fontId="22" fillId="10" borderId="5" xfId="10" applyFont="1" applyFill="1" applyBorder="1" applyAlignment="1">
      <alignment horizontal="right"/>
    </xf>
    <xf numFmtId="0" fontId="22" fillId="15" borderId="4" xfId="21" applyFont="1" applyBorder="1" applyAlignment="1">
      <alignment vertical="top" wrapText="1"/>
    </xf>
    <xf numFmtId="0" fontId="16" fillId="0" borderId="35" xfId="8" applyAlignment="1">
      <alignment horizontal="right"/>
    </xf>
    <xf numFmtId="171" fontId="22" fillId="21" borderId="1" xfId="26" applyNumberFormat="1" applyFont="1" applyBorder="1"/>
    <xf numFmtId="169" fontId="19" fillId="6" borderId="38" xfId="12" applyNumberFormat="1" applyAlignment="1">
      <alignment horizontal="center"/>
    </xf>
    <xf numFmtId="170" fontId="19" fillId="6" borderId="38" xfId="12" applyNumberFormat="1" applyAlignment="1">
      <alignment horizontal="center"/>
    </xf>
    <xf numFmtId="0" fontId="19" fillId="6" borderId="38" xfId="12" applyAlignment="1">
      <alignment horizontal="center"/>
    </xf>
    <xf numFmtId="0" fontId="22" fillId="16" borderId="2" xfId="22" applyFont="1" applyBorder="1" applyAlignment="1">
      <alignment horizontal="center"/>
    </xf>
    <xf numFmtId="0" fontId="22" fillId="17" borderId="2" xfId="23" applyFont="1" applyBorder="1" applyAlignment="1">
      <alignment horizontal="center"/>
    </xf>
    <xf numFmtId="0" fontId="20" fillId="12" borderId="7" xfId="19" applyFont="1" applyBorder="1" applyAlignment="1" applyProtection="1">
      <alignment horizontal="center"/>
    </xf>
    <xf numFmtId="0" fontId="20" fillId="12" borderId="8" xfId="19" applyFont="1" applyBorder="1" applyAlignment="1" applyProtection="1">
      <alignment horizontal="center"/>
    </xf>
    <xf numFmtId="3" fontId="3" fillId="17" borderId="4" xfId="23" applyNumberFormat="1" applyFont="1" applyBorder="1" applyAlignment="1">
      <alignment horizontal="center"/>
    </xf>
    <xf numFmtId="0" fontId="26" fillId="0" borderId="0" xfId="0" applyFont="1" applyAlignment="1" applyProtection="1">
      <alignment horizontal="right"/>
    </xf>
    <xf numFmtId="0" fontId="27" fillId="2" borderId="4" xfId="0" applyFont="1" applyFill="1" applyBorder="1" applyAlignment="1">
      <alignment horizontal="center"/>
    </xf>
    <xf numFmtId="0" fontId="33" fillId="0" borderId="0" xfId="0" applyFont="1" applyBorder="1" applyAlignment="1" applyProtection="1">
      <alignment horizontal="left"/>
    </xf>
    <xf numFmtId="1" fontId="3" fillId="13" borderId="14" xfId="20" applyNumberFormat="1" applyBorder="1" applyAlignment="1">
      <alignment horizontal="center"/>
    </xf>
    <xf numFmtId="0" fontId="17" fillId="0" borderId="4" xfId="10" applyBorder="1" applyAlignment="1" applyProtection="1">
      <alignment horizontal="left"/>
    </xf>
    <xf numFmtId="0" fontId="28" fillId="0" borderId="4" xfId="0" applyFont="1" applyBorder="1" applyAlignment="1">
      <alignment horizontal="center"/>
    </xf>
    <xf numFmtId="0" fontId="34" fillId="0" borderId="4" xfId="4" applyFont="1" applyFill="1" applyBorder="1" applyAlignment="1">
      <alignment horizontal="center" vertical="center" wrapText="1"/>
    </xf>
    <xf numFmtId="15" fontId="34" fillId="0" borderId="4" xfId="4" applyNumberFormat="1" applyFont="1" applyFill="1" applyBorder="1" applyAlignment="1">
      <alignment horizontal="center" vertical="center" wrapText="1"/>
    </xf>
    <xf numFmtId="166" fontId="28" fillId="0" borderId="4" xfId="1" applyFont="1" applyBorder="1"/>
    <xf numFmtId="0" fontId="28" fillId="0" borderId="0" xfId="0" applyFont="1" applyFill="1"/>
    <xf numFmtId="0" fontId="28" fillId="0" borderId="4" xfId="0" applyFont="1" applyFill="1" applyBorder="1" applyAlignment="1">
      <alignment horizontal="center"/>
    </xf>
    <xf numFmtId="0" fontId="22" fillId="11" borderId="4" xfId="18" applyFont="1" applyBorder="1" applyAlignment="1">
      <alignment horizontal="center" vertical="center"/>
    </xf>
    <xf numFmtId="0" fontId="18" fillId="5" borderId="37" xfId="11" applyAlignment="1">
      <alignment horizontal="center"/>
    </xf>
    <xf numFmtId="166" fontId="19" fillId="6" borderId="38" xfId="12" applyNumberFormat="1" applyAlignment="1">
      <alignment horizontal="center"/>
    </xf>
    <xf numFmtId="0" fontId="36" fillId="5" borderId="37" xfId="11" applyFont="1" applyAlignment="1">
      <alignment horizontal="center" vertical="center" wrapText="1"/>
    </xf>
    <xf numFmtId="0" fontId="28" fillId="0" borderId="8" xfId="0" applyFont="1" applyBorder="1"/>
    <xf numFmtId="0" fontId="28" fillId="0" borderId="12" xfId="0" applyFont="1" applyBorder="1" applyAlignment="1">
      <alignment horizontal="right"/>
    </xf>
    <xf numFmtId="0" fontId="28" fillId="0" borderId="12" xfId="0" applyFont="1" applyBorder="1"/>
    <xf numFmtId="0" fontId="28" fillId="0" borderId="14" xfId="0" applyFont="1" applyBorder="1" applyAlignment="1">
      <alignment horizontal="center"/>
    </xf>
    <xf numFmtId="0" fontId="28" fillId="0" borderId="4" xfId="0" applyFont="1" applyBorder="1" applyAlignment="1">
      <alignment horizontal="right"/>
    </xf>
    <xf numFmtId="0" fontId="28" fillId="0" borderId="0" xfId="0" applyFont="1" applyBorder="1" applyAlignment="1">
      <alignment horizontal="right"/>
    </xf>
    <xf numFmtId="0" fontId="37" fillId="8" borderId="1" xfId="16" applyFont="1" applyBorder="1" applyAlignment="1">
      <alignment horizontal="center"/>
    </xf>
    <xf numFmtId="0" fontId="20" fillId="7" borderId="39" xfId="13"/>
    <xf numFmtId="0" fontId="18" fillId="5" borderId="37" xfId="11"/>
    <xf numFmtId="0" fontId="28" fillId="0" borderId="0" xfId="0" applyFont="1" applyBorder="1"/>
    <xf numFmtId="0" fontId="22" fillId="20" borderId="4" xfId="25" applyFont="1" applyBorder="1" applyAlignment="1">
      <alignment horizontal="right"/>
    </xf>
    <xf numFmtId="0" fontId="36" fillId="5" borderId="37" xfId="11" applyFont="1" applyAlignment="1">
      <alignment horizontal="center"/>
    </xf>
    <xf numFmtId="0" fontId="26" fillId="0" borderId="4" xfId="0" applyFont="1" applyFill="1" applyBorder="1" applyAlignment="1">
      <alignment horizontal="center"/>
    </xf>
    <xf numFmtId="0" fontId="28" fillId="0" borderId="0" xfId="0" applyFont="1" applyAlignment="1">
      <alignment horizontal="right"/>
    </xf>
    <xf numFmtId="0" fontId="26" fillId="0" borderId="0" xfId="0" applyFont="1" applyAlignment="1">
      <alignment horizontal="right"/>
    </xf>
    <xf numFmtId="0" fontId="26" fillId="0" borderId="0" xfId="0" applyFont="1" applyBorder="1" applyAlignment="1">
      <alignment horizontal="center"/>
    </xf>
    <xf numFmtId="166" fontId="26" fillId="0" borderId="0" xfId="1" applyFont="1" applyBorder="1" applyAlignment="1">
      <alignment horizontal="center"/>
    </xf>
    <xf numFmtId="165" fontId="39" fillId="16" borderId="4" xfId="22" applyNumberFormat="1" applyFont="1" applyBorder="1" applyAlignment="1">
      <alignment horizontal="center"/>
    </xf>
    <xf numFmtId="0" fontId="39" fillId="16" borderId="4" xfId="22" applyFont="1" applyBorder="1" applyAlignment="1">
      <alignment horizontal="center"/>
    </xf>
    <xf numFmtId="166" fontId="3" fillId="23" borderId="4" xfId="28" applyNumberFormat="1" applyFont="1" applyBorder="1" applyAlignment="1">
      <alignment horizontal="left"/>
    </xf>
    <xf numFmtId="167" fontId="3" fillId="23" borderId="4" xfId="28" applyNumberFormat="1" applyFont="1" applyBorder="1" applyAlignment="1">
      <alignment horizontal="left"/>
    </xf>
    <xf numFmtId="166" fontId="3" fillId="13" borderId="4" xfId="20" applyNumberFormat="1" applyBorder="1" applyAlignment="1"/>
    <xf numFmtId="166" fontId="3" fillId="0" borderId="4" xfId="1" applyFont="1" applyFill="1" applyBorder="1" applyAlignment="1"/>
    <xf numFmtId="165" fontId="31" fillId="8" borderId="4" xfId="16" applyNumberFormat="1" applyFont="1" applyBorder="1" applyAlignment="1">
      <alignment horizontal="center"/>
    </xf>
    <xf numFmtId="0" fontId="41" fillId="3" borderId="26" xfId="0" applyFont="1" applyFill="1" applyBorder="1"/>
    <xf numFmtId="0" fontId="28" fillId="3" borderId="27" xfId="0" applyFont="1" applyFill="1" applyBorder="1"/>
    <xf numFmtId="0" fontId="28" fillId="3" borderId="28" xfId="0" applyFont="1" applyFill="1" applyBorder="1"/>
    <xf numFmtId="0" fontId="41" fillId="3" borderId="26" xfId="0" applyFont="1" applyFill="1" applyBorder="1" applyAlignment="1"/>
    <xf numFmtId="0" fontId="41" fillId="3" borderId="27" xfId="0" applyFont="1" applyFill="1" applyBorder="1" applyAlignment="1"/>
    <xf numFmtId="0" fontId="41" fillId="3" borderId="28" xfId="0" applyFont="1" applyFill="1" applyBorder="1" applyAlignment="1"/>
    <xf numFmtId="0" fontId="28" fillId="3" borderId="29" xfId="0" applyFont="1" applyFill="1" applyBorder="1"/>
    <xf numFmtId="0" fontId="28" fillId="3" borderId="0" xfId="0" applyFont="1" applyFill="1" applyBorder="1"/>
    <xf numFmtId="0" fontId="28" fillId="3" borderId="30" xfId="0" applyFont="1" applyFill="1" applyBorder="1"/>
    <xf numFmtId="0" fontId="28" fillId="3" borderId="30" xfId="0" applyFont="1" applyFill="1" applyBorder="1" applyAlignment="1">
      <alignment horizontal="center"/>
    </xf>
    <xf numFmtId="0" fontId="42" fillId="3" borderId="4" xfId="0" applyFont="1" applyFill="1" applyBorder="1"/>
    <xf numFmtId="0" fontId="28" fillId="3" borderId="31" xfId="0" applyFont="1" applyFill="1" applyBorder="1"/>
    <xf numFmtId="0" fontId="28" fillId="3" borderId="32" xfId="0" applyFont="1" applyFill="1" applyBorder="1"/>
    <xf numFmtId="0" fontId="28" fillId="3" borderId="33" xfId="0" applyFont="1" applyFill="1" applyBorder="1"/>
    <xf numFmtId="0" fontId="34" fillId="4" borderId="4" xfId="4" applyFont="1" applyFill="1" applyBorder="1" applyAlignment="1">
      <alignment horizontal="center" vertical="center" wrapText="1"/>
    </xf>
    <xf numFmtId="0" fontId="31" fillId="8" borderId="4" xfId="16" applyFont="1" applyBorder="1" applyAlignment="1">
      <alignment horizontal="center" vertical="center"/>
    </xf>
    <xf numFmtId="0" fontId="31" fillId="22" borderId="29" xfId="27" applyFont="1" applyBorder="1" applyAlignment="1">
      <alignment horizontal="center"/>
    </xf>
    <xf numFmtId="0" fontId="31" fillId="22" borderId="0" xfId="27" applyFont="1" applyBorder="1" applyAlignment="1">
      <alignment horizontal="center"/>
    </xf>
    <xf numFmtId="0" fontId="31" fillId="22" borderId="30" xfId="27" applyFont="1" applyBorder="1" applyAlignment="1">
      <alignment horizontal="center"/>
    </xf>
    <xf numFmtId="0" fontId="31" fillId="12" borderId="4" xfId="19" applyFont="1" applyBorder="1" applyAlignment="1">
      <alignment horizontal="center" vertical="center"/>
    </xf>
    <xf numFmtId="0" fontId="15" fillId="3" borderId="34" xfId="7" applyFill="1" applyAlignment="1">
      <alignment horizontal="center"/>
    </xf>
    <xf numFmtId="0" fontId="20" fillId="8" borderId="4" xfId="16" applyFont="1" applyBorder="1" applyAlignment="1">
      <alignment horizontal="right"/>
    </xf>
    <xf numFmtId="0" fontId="20" fillId="8" borderId="4" xfId="16" applyFont="1" applyBorder="1" applyAlignment="1">
      <alignment horizontal="right" wrapText="1"/>
    </xf>
    <xf numFmtId="164" fontId="28" fillId="0" borderId="0" xfId="0" applyNumberFormat="1" applyFont="1"/>
    <xf numFmtId="10" fontId="26" fillId="0" borderId="4" xfId="5" applyNumberFormat="1" applyFont="1" applyFill="1" applyBorder="1" applyAlignment="1">
      <alignment horizontal="center"/>
    </xf>
    <xf numFmtId="1" fontId="26" fillId="0" borderId="4" xfId="5" applyNumberFormat="1" applyFont="1" applyFill="1" applyBorder="1" applyAlignment="1">
      <alignment horizontal="center"/>
    </xf>
    <xf numFmtId="0" fontId="28" fillId="0" borderId="0" xfId="0" applyFont="1" applyAlignment="1">
      <alignment horizontal="centerContinuous"/>
    </xf>
    <xf numFmtId="1" fontId="26" fillId="0" borderId="0" xfId="5" applyNumberFormat="1" applyFont="1" applyFill="1" applyBorder="1" applyAlignment="1">
      <alignment horizontal="center"/>
    </xf>
    <xf numFmtId="164" fontId="28" fillId="0" borderId="0" xfId="0" applyNumberFormat="1" applyFont="1" applyFill="1" applyBorder="1" applyAlignment="1"/>
    <xf numFmtId="1" fontId="26" fillId="0" borderId="9" xfId="5" applyNumberFormat="1" applyFont="1" applyFill="1" applyBorder="1" applyAlignment="1">
      <alignment horizontal="center"/>
    </xf>
    <xf numFmtId="170" fontId="3" fillId="5" borderId="37" xfId="11" applyNumberFormat="1" applyFont="1" applyAlignment="1"/>
    <xf numFmtId="0" fontId="3" fillId="5" borderId="37" xfId="11" applyFont="1" applyAlignment="1">
      <alignment vertical="center"/>
    </xf>
    <xf numFmtId="0" fontId="15" fillId="0" borderId="34" xfId="7"/>
    <xf numFmtId="164" fontId="19" fillId="6" borderId="38" xfId="12" applyNumberFormat="1" applyAlignment="1">
      <alignment horizontal="center"/>
    </xf>
    <xf numFmtId="164" fontId="19" fillId="6" borderId="38" xfId="12" applyNumberFormat="1" applyAlignment="1"/>
    <xf numFmtId="172" fontId="3" fillId="5" borderId="37" xfId="11" applyNumberFormat="1" applyFont="1" applyAlignment="1"/>
    <xf numFmtId="0" fontId="43" fillId="0" borderId="0" xfId="14" applyFont="1" applyBorder="1" applyAlignment="1">
      <alignment vertical="center" textRotation="90"/>
    </xf>
    <xf numFmtId="0" fontId="28" fillId="0" borderId="22" xfId="0" applyFont="1" applyFill="1" applyBorder="1" applyAlignment="1">
      <alignment horizontal="left" indent="5"/>
    </xf>
    <xf numFmtId="0" fontId="28" fillId="0" borderId="18" xfId="0" applyFont="1" applyFill="1" applyBorder="1"/>
    <xf numFmtId="0" fontId="15" fillId="9" borderId="34" xfId="7" applyFill="1" applyAlignment="1">
      <alignment horizontal="center" vertical="center"/>
    </xf>
    <xf numFmtId="0" fontId="32" fillId="8" borderId="18" xfId="16" applyFont="1" applyBorder="1" applyAlignment="1">
      <alignment horizontal="right"/>
    </xf>
    <xf numFmtId="171" fontId="26" fillId="0" borderId="19" xfId="1" applyNumberFormat="1" applyFont="1" applyFill="1" applyBorder="1" applyAlignment="1">
      <alignment horizontal="center"/>
    </xf>
    <xf numFmtId="171" fontId="26" fillId="0" borderId="20" xfId="1" applyNumberFormat="1" applyFont="1" applyFill="1" applyBorder="1" applyAlignment="1">
      <alignment horizontal="center"/>
    </xf>
    <xf numFmtId="171" fontId="26" fillId="0" borderId="21" xfId="1" applyNumberFormat="1" applyFont="1" applyFill="1" applyBorder="1" applyAlignment="1">
      <alignment horizontal="center"/>
    </xf>
    <xf numFmtId="166" fontId="19" fillId="6" borderId="38" xfId="12" applyNumberFormat="1"/>
    <xf numFmtId="0" fontId="44" fillId="0" borderId="0" xfId="14" applyFont="1" applyFill="1" applyAlignment="1">
      <alignment horizontal="center"/>
    </xf>
    <xf numFmtId="0" fontId="15" fillId="0" borderId="34" xfId="7" applyFill="1" applyAlignment="1">
      <alignment horizontal="center"/>
    </xf>
    <xf numFmtId="1" fontId="28" fillId="0" borderId="0" xfId="0" applyNumberFormat="1" applyFont="1" applyAlignment="1"/>
    <xf numFmtId="1" fontId="28" fillId="0" borderId="0" xfId="0" applyNumberFormat="1" applyFont="1" applyFill="1" applyAlignment="1"/>
    <xf numFmtId="1" fontId="28" fillId="0" borderId="4" xfId="0" applyNumberFormat="1" applyFont="1" applyFill="1" applyBorder="1" applyAlignment="1">
      <alignment horizontal="center"/>
    </xf>
    <xf numFmtId="1" fontId="28" fillId="0" borderId="4" xfId="1" applyNumberFormat="1" applyFont="1" applyFill="1" applyBorder="1" applyAlignment="1">
      <alignment horizontal="center"/>
    </xf>
    <xf numFmtId="0" fontId="31" fillId="8" borderId="4" xfId="16" applyFont="1" applyBorder="1" applyAlignment="1">
      <alignment horizontal="center"/>
    </xf>
    <xf numFmtId="1" fontId="31" fillId="11" borderId="4" xfId="18" applyNumberFormat="1" applyFont="1" applyBorder="1" applyAlignment="1">
      <alignment horizontal="right"/>
    </xf>
    <xf numFmtId="0" fontId="4" fillId="0" borderId="0" xfId="0" applyFont="1"/>
    <xf numFmtId="166" fontId="19" fillId="6" borderId="43" xfId="12" applyNumberFormat="1" applyBorder="1"/>
    <xf numFmtId="1" fontId="3" fillId="9" borderId="4" xfId="17" applyNumberFormat="1" applyBorder="1" applyAlignment="1">
      <alignment horizontal="center"/>
    </xf>
    <xf numFmtId="166" fontId="19" fillId="6" borderId="15" xfId="12" applyNumberFormat="1" applyBorder="1"/>
    <xf numFmtId="166" fontId="19" fillId="6" borderId="1" xfId="12" applyNumberFormat="1" applyBorder="1" applyAlignment="1"/>
    <xf numFmtId="1" fontId="3" fillId="24" borderId="4" xfId="29" applyNumberFormat="1" applyBorder="1" applyAlignment="1">
      <alignment horizontal="center"/>
    </xf>
    <xf numFmtId="1" fontId="39" fillId="23" borderId="10" xfId="28" applyNumberFormat="1" applyFont="1" applyBorder="1" applyAlignment="1">
      <alignment horizontal="center"/>
    </xf>
    <xf numFmtId="1" fontId="39" fillId="23" borderId="11" xfId="28" applyNumberFormat="1" applyFont="1" applyBorder="1" applyAlignment="1">
      <alignment horizontal="center"/>
    </xf>
    <xf numFmtId="1" fontId="39" fillId="9" borderId="4" xfId="17" applyNumberFormat="1" applyFont="1" applyBorder="1" applyAlignment="1">
      <alignment horizontal="right"/>
    </xf>
    <xf numFmtId="1" fontId="39" fillId="24" borderId="4" xfId="29" applyNumberFormat="1" applyFont="1" applyBorder="1" applyAlignment="1">
      <alignment horizontal="right"/>
    </xf>
    <xf numFmtId="171" fontId="26" fillId="0" borderId="4" xfId="1" applyNumberFormat="1" applyFont="1" applyFill="1" applyBorder="1" applyAlignment="1">
      <alignment horizontal="center"/>
    </xf>
    <xf numFmtId="1" fontId="15" fillId="0" borderId="34" xfId="7" applyNumberFormat="1" applyAlignment="1">
      <alignment horizontal="center"/>
    </xf>
    <xf numFmtId="0" fontId="3" fillId="0" borderId="0" xfId="0" applyFont="1" applyFill="1"/>
    <xf numFmtId="0" fontId="31" fillId="11" borderId="4" xfId="18" applyFont="1" applyBorder="1" applyAlignment="1">
      <alignment horizontal="center"/>
    </xf>
    <xf numFmtId="0" fontId="22" fillId="0" borderId="40" xfId="15" applyFill="1" applyAlignment="1">
      <alignment horizontal="right"/>
    </xf>
    <xf numFmtId="164" fontId="22" fillId="0" borderId="40" xfId="15" applyNumberFormat="1" applyFill="1" applyAlignment="1"/>
    <xf numFmtId="10" fontId="18" fillId="5" borderId="37" xfId="11" applyNumberFormat="1" applyAlignment="1">
      <alignment horizontal="center"/>
    </xf>
    <xf numFmtId="164" fontId="18" fillId="5" borderId="37" xfId="11" applyNumberFormat="1" applyAlignment="1"/>
    <xf numFmtId="0" fontId="4" fillId="0" borderId="0" xfId="3" applyFont="1"/>
    <xf numFmtId="0" fontId="16" fillId="0" borderId="35" xfId="8" applyAlignment="1">
      <alignment horizontal="center"/>
    </xf>
    <xf numFmtId="171" fontId="0" fillId="0" borderId="0" xfId="2" applyNumberFormat="1" applyFont="1"/>
    <xf numFmtId="171" fontId="7" fillId="0" borderId="0" xfId="3" applyNumberFormat="1"/>
    <xf numFmtId="1" fontId="29" fillId="0" borderId="0" xfId="6" applyNumberFormat="1" applyFont="1" applyAlignment="1">
      <alignment horizontal="center" vertical="center"/>
    </xf>
    <xf numFmtId="0" fontId="31" fillId="8" borderId="35" xfId="16" applyFont="1" applyBorder="1" applyAlignment="1">
      <alignment horizontal="center"/>
    </xf>
    <xf numFmtId="0" fontId="28" fillId="0" borderId="0" xfId="0" applyFont="1" applyAlignment="1">
      <alignment wrapText="1"/>
    </xf>
    <xf numFmtId="174" fontId="19" fillId="6" borderId="38" xfId="12" applyNumberFormat="1" applyAlignment="1">
      <alignment horizontal="center"/>
    </xf>
    <xf numFmtId="175" fontId="3" fillId="23" borderId="14" xfId="28" applyNumberFormat="1" applyBorder="1" applyAlignment="1">
      <alignment horizontal="center" vertical="center"/>
    </xf>
    <xf numFmtId="0" fontId="3" fillId="17" borderId="4" xfId="23" applyNumberFormat="1" applyFont="1" applyBorder="1" applyAlignment="1">
      <alignment horizontal="center"/>
    </xf>
    <xf numFmtId="175" fontId="3" fillId="17" borderId="4" xfId="23" applyNumberFormat="1" applyBorder="1" applyAlignment="1">
      <alignment horizontal="center"/>
    </xf>
    <xf numFmtId="175" fontId="2" fillId="17" borderId="4" xfId="23" applyNumberFormat="1" applyFont="1" applyBorder="1" applyAlignment="1">
      <alignment horizontal="center"/>
    </xf>
    <xf numFmtId="0" fontId="29" fillId="0" borderId="23" xfId="6" applyFont="1" applyBorder="1" applyAlignment="1">
      <alignment horizontal="center"/>
    </xf>
    <xf numFmtId="0" fontId="22" fillId="15" borderId="4" xfId="21" applyFont="1" applyBorder="1" applyAlignment="1">
      <alignment horizontal="center" vertical="center"/>
    </xf>
    <xf numFmtId="0" fontId="30" fillId="18" borderId="4" xfId="24" applyFont="1" applyBorder="1" applyAlignment="1">
      <alignment horizontal="center"/>
    </xf>
    <xf numFmtId="0" fontId="35" fillId="8" borderId="34" xfId="7" applyFont="1" applyFill="1" applyAlignment="1">
      <alignment horizontal="center" vertical="center"/>
    </xf>
    <xf numFmtId="0" fontId="35" fillId="8" borderId="0" xfId="7" applyFont="1" applyFill="1" applyBorder="1" applyAlignment="1">
      <alignment horizontal="center" vertical="center"/>
    </xf>
    <xf numFmtId="0" fontId="37" fillId="12" borderId="24" xfId="19" applyFont="1" applyBorder="1" applyAlignment="1">
      <alignment horizontal="center"/>
    </xf>
    <xf numFmtId="0" fontId="37" fillId="12" borderId="25" xfId="19" applyFont="1" applyBorder="1" applyAlignment="1">
      <alignment horizontal="center"/>
    </xf>
    <xf numFmtId="0" fontId="37" fillId="12" borderId="17" xfId="19" applyFont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5" fillId="0" borderId="41" xfId="0" applyFont="1" applyFill="1" applyBorder="1" applyAlignment="1">
      <alignment horizontal="center"/>
    </xf>
    <xf numFmtId="0" fontId="29" fillId="0" borderId="0" xfId="6" applyFont="1" applyAlignment="1">
      <alignment horizontal="center"/>
    </xf>
    <xf numFmtId="0" fontId="32" fillId="19" borderId="35" xfId="8" applyFont="1" applyFill="1" applyAlignment="1">
      <alignment horizontal="center" vertical="center"/>
    </xf>
    <xf numFmtId="0" fontId="38" fillId="12" borderId="42" xfId="6" applyFont="1" applyFill="1" applyBorder="1" applyAlignment="1">
      <alignment horizontal="center"/>
    </xf>
    <xf numFmtId="0" fontId="38" fillId="12" borderId="0" xfId="6" applyFont="1" applyFill="1" applyBorder="1" applyAlignment="1">
      <alignment horizontal="center"/>
    </xf>
    <xf numFmtId="0" fontId="40" fillId="14" borderId="24" xfId="6" applyFont="1" applyFill="1" applyBorder="1" applyAlignment="1">
      <alignment horizontal="center" vertical="center"/>
    </xf>
    <xf numFmtId="0" fontId="40" fillId="14" borderId="25" xfId="6" applyFont="1" applyFill="1" applyBorder="1" applyAlignment="1">
      <alignment horizontal="center" vertical="center"/>
    </xf>
    <xf numFmtId="0" fontId="40" fillId="14" borderId="17" xfId="6" applyFont="1" applyFill="1" applyBorder="1" applyAlignment="1">
      <alignment horizontal="center" vertical="center"/>
    </xf>
    <xf numFmtId="0" fontId="43" fillId="0" borderId="30" xfId="14" applyFont="1" applyBorder="1" applyAlignment="1">
      <alignment horizontal="center" vertical="center" textRotation="90"/>
    </xf>
    <xf numFmtId="0" fontId="43" fillId="0" borderId="32" xfId="14" applyFont="1" applyBorder="1" applyAlignment="1">
      <alignment horizontal="center"/>
    </xf>
    <xf numFmtId="0" fontId="14" fillId="0" borderId="0" xfId="6" applyAlignment="1">
      <alignment horizontal="center"/>
    </xf>
    <xf numFmtId="1" fontId="29" fillId="0" borderId="0" xfId="6" applyNumberFormat="1" applyFont="1" applyAlignment="1">
      <alignment horizontal="center" vertical="center"/>
    </xf>
    <xf numFmtId="0" fontId="31" fillId="8" borderId="35" xfId="16" applyFont="1" applyBorder="1" applyAlignment="1">
      <alignment horizontal="center"/>
    </xf>
    <xf numFmtId="0" fontId="29" fillId="0" borderId="0" xfId="6" applyFont="1" applyFill="1" applyAlignment="1">
      <alignment horizontal="center"/>
    </xf>
    <xf numFmtId="0" fontId="5" fillId="0" borderId="0" xfId="0" applyFont="1" applyAlignment="1">
      <alignment horizontal="center"/>
    </xf>
    <xf numFmtId="173" fontId="8" fillId="0" borderId="0" xfId="3" applyNumberFormat="1" applyFont="1" applyAlignment="1">
      <alignment horizontal="center"/>
    </xf>
    <xf numFmtId="0" fontId="46" fillId="0" borderId="0" xfId="6" applyFont="1" applyAlignment="1">
      <alignment horizontal="center"/>
    </xf>
    <xf numFmtId="0" fontId="47" fillId="0" borderId="0" xfId="6" applyFont="1" applyAlignment="1">
      <alignment horizontal="center"/>
    </xf>
    <xf numFmtId="0" fontId="49" fillId="0" borderId="0" xfId="30"/>
    <xf numFmtId="171" fontId="0" fillId="0" borderId="0" xfId="0" applyNumberFormat="1"/>
    <xf numFmtId="0" fontId="1" fillId="0" borderId="0" xfId="0" applyFont="1" applyFill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164" fontId="0" fillId="0" borderId="45" xfId="0" applyNumberFormat="1" applyFill="1" applyBorder="1" applyAlignment="1"/>
    <xf numFmtId="0" fontId="50" fillId="25" borderId="32" xfId="0" applyFont="1" applyFill="1" applyBorder="1" applyAlignment="1">
      <alignment horizontal="left"/>
    </xf>
    <xf numFmtId="0" fontId="50" fillId="25" borderId="44" xfId="0" applyFont="1" applyFill="1" applyBorder="1" applyAlignment="1">
      <alignment horizontal="left"/>
    </xf>
    <xf numFmtId="0" fontId="0" fillId="0" borderId="46" xfId="0" applyFill="1" applyBorder="1" applyAlignment="1"/>
    <xf numFmtId="0" fontId="51" fillId="26" borderId="0" xfId="0" applyFont="1" applyFill="1" applyBorder="1" applyAlignment="1">
      <alignment horizontal="left"/>
    </xf>
    <xf numFmtId="0" fontId="52" fillId="26" borderId="46" xfId="0" applyFont="1" applyFill="1" applyBorder="1" applyAlignment="1">
      <alignment horizontal="left"/>
    </xf>
    <xf numFmtId="0" fontId="51" fillId="26" borderId="45" xfId="0" applyFont="1" applyFill="1" applyBorder="1" applyAlignment="1">
      <alignment horizontal="left"/>
    </xf>
    <xf numFmtId="0" fontId="53" fillId="25" borderId="44" xfId="0" applyFont="1" applyFill="1" applyBorder="1" applyAlignment="1">
      <alignment horizontal="right"/>
    </xf>
    <xf numFmtId="0" fontId="53" fillId="25" borderId="32" xfId="0" applyFont="1" applyFill="1" applyBorder="1" applyAlignment="1">
      <alignment horizontal="right"/>
    </xf>
    <xf numFmtId="10" fontId="0" fillId="27" borderId="0" xfId="0" applyNumberFormat="1" applyFill="1" applyBorder="1" applyAlignment="1"/>
    <xf numFmtId="0" fontId="9" fillId="0" borderId="0" xfId="0" applyFont="1" applyFill="1" applyBorder="1" applyAlignment="1">
      <alignment vertical="top" wrapText="1"/>
    </xf>
    <xf numFmtId="0" fontId="28" fillId="0" borderId="0" xfId="0" quotePrefix="1" applyFont="1"/>
  </cellXfs>
  <cellStyles count="31">
    <cellStyle name="20% - Accent1" xfId="17" builtinId="30"/>
    <cellStyle name="20% - Accent2" xfId="20" builtinId="34"/>
    <cellStyle name="20% - Accent3" xfId="21" builtinId="38"/>
    <cellStyle name="20% - Accent4" xfId="23" builtinId="42"/>
    <cellStyle name="20% - Accent5" xfId="25" builtinId="46"/>
    <cellStyle name="20% - Accent6" xfId="28" builtinId="50"/>
    <cellStyle name="40% - Accent3" xfId="22" builtinId="39"/>
    <cellStyle name="40% - Accent5" xfId="26" builtinId="47"/>
    <cellStyle name="40% - Accent6" xfId="29" builtinId="51"/>
    <cellStyle name="60% - Accent1" xfId="18" builtinId="32"/>
    <cellStyle name="60% - Accent4" xfId="24" builtinId="44"/>
    <cellStyle name="Accent1" xfId="16" builtinId="29"/>
    <cellStyle name="Accent2" xfId="19" builtinId="33"/>
    <cellStyle name="Accent6" xfId="27" builtinId="49"/>
    <cellStyle name="Check Cell" xfId="13" builtinId="23"/>
    <cellStyle name="Currency" xfId="1" builtinId="4"/>
    <cellStyle name="Currency 2" xfId="2" xr:uid="{00000000-0005-0000-0000-000010000000}"/>
    <cellStyle name="Explanatory Text" xfId="14" builtinId="53"/>
    <cellStyle name="Heading 1" xfId="7" builtinId="16"/>
    <cellStyle name="Heading 2" xfId="8" builtinId="17"/>
    <cellStyle name="Heading 3" xfId="9" builtinId="18"/>
    <cellStyle name="Heading 4" xfId="10" builtinId="19"/>
    <cellStyle name="Hyperlink" xfId="30" builtinId="8"/>
    <cellStyle name="Input" xfId="11" builtinId="20"/>
    <cellStyle name="Normal" xfId="0" builtinId="0"/>
    <cellStyle name="Normal 2" xfId="3" xr:uid="{00000000-0005-0000-0000-000018000000}"/>
    <cellStyle name="Normal_Sheet1_1" xfId="4" xr:uid="{00000000-0005-0000-0000-000019000000}"/>
    <cellStyle name="Output" xfId="12" builtinId="21"/>
    <cellStyle name="Percent" xfId="5" builtinId="5"/>
    <cellStyle name="Title" xfId="6" builtinId="15"/>
    <cellStyle name="Total" xfId="15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67730</xdr:colOff>
      <xdr:row>3</xdr:row>
      <xdr:rowOff>124882</xdr:rowOff>
    </xdr:from>
    <xdr:to>
      <xdr:col>9</xdr:col>
      <xdr:colOff>986363</xdr:colOff>
      <xdr:row>5</xdr:row>
      <xdr:rowOff>99059</xdr:rowOff>
    </xdr:to>
    <xdr:sp macro="" textlink="">
      <xdr:nvSpPr>
        <xdr:cNvPr id="14338" name="Text 1">
          <a:extLst>
            <a:ext uri="{FF2B5EF4-FFF2-40B4-BE49-F238E27FC236}">
              <a16:creationId xmlns:a16="http://schemas.microsoft.com/office/drawing/2014/main" id="{00000000-0008-0000-0500-000002380000}"/>
            </a:ext>
          </a:extLst>
        </xdr:cNvPr>
        <xdr:cNvSpPr txBox="1">
          <a:spLocks noChangeArrowheads="1"/>
        </xdr:cNvSpPr>
      </xdr:nvSpPr>
      <xdr:spPr bwMode="auto">
        <a:xfrm>
          <a:off x="6766980" y="812799"/>
          <a:ext cx="1828800" cy="3657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</a:t>
          </a:r>
        </a:p>
      </xdr:txBody>
    </xdr:sp>
    <xdr:clientData/>
  </xdr:twoCellAnchor>
  <xdr:twoCellAnchor>
    <xdr:from>
      <xdr:col>8</xdr:col>
      <xdr:colOff>67731</xdr:colOff>
      <xdr:row>9</xdr:row>
      <xdr:rowOff>116417</xdr:rowOff>
    </xdr:from>
    <xdr:to>
      <xdr:col>9</xdr:col>
      <xdr:colOff>986364</xdr:colOff>
      <xdr:row>11</xdr:row>
      <xdr:rowOff>122343</xdr:rowOff>
    </xdr:to>
    <xdr:sp macro="" textlink="">
      <xdr:nvSpPr>
        <xdr:cNvPr id="14341" name="Text 1">
          <a:extLst>
            <a:ext uri="{FF2B5EF4-FFF2-40B4-BE49-F238E27FC236}">
              <a16:creationId xmlns:a16="http://schemas.microsoft.com/office/drawing/2014/main" id="{00000000-0008-0000-0500-000005380000}"/>
            </a:ext>
          </a:extLst>
        </xdr:cNvPr>
        <xdr:cNvSpPr txBox="1">
          <a:spLocks noChangeArrowheads="1"/>
        </xdr:cNvSpPr>
      </xdr:nvSpPr>
      <xdr:spPr bwMode="auto">
        <a:xfrm>
          <a:off x="6766981" y="1873250"/>
          <a:ext cx="1828800" cy="3657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</a:t>
          </a:r>
        </a:p>
      </xdr:txBody>
    </xdr:sp>
    <xdr:clientData/>
  </xdr:twoCellAnchor>
  <xdr:twoCellAnchor>
    <xdr:from>
      <xdr:col>8</xdr:col>
      <xdr:colOff>88900</xdr:colOff>
      <xdr:row>15</xdr:row>
      <xdr:rowOff>116416</xdr:rowOff>
    </xdr:from>
    <xdr:to>
      <xdr:col>9</xdr:col>
      <xdr:colOff>1007533</xdr:colOff>
      <xdr:row>17</xdr:row>
      <xdr:rowOff>101176</xdr:rowOff>
    </xdr:to>
    <xdr:sp macro="" textlink="">
      <xdr:nvSpPr>
        <xdr:cNvPr id="14344" name="Text 1">
          <a:extLst>
            <a:ext uri="{FF2B5EF4-FFF2-40B4-BE49-F238E27FC236}">
              <a16:creationId xmlns:a16="http://schemas.microsoft.com/office/drawing/2014/main" id="{00000000-0008-0000-0500-000008380000}"/>
            </a:ext>
          </a:extLst>
        </xdr:cNvPr>
        <xdr:cNvSpPr txBox="1">
          <a:spLocks noChangeArrowheads="1"/>
        </xdr:cNvSpPr>
      </xdr:nvSpPr>
      <xdr:spPr bwMode="auto">
        <a:xfrm>
          <a:off x="6788150" y="3005666"/>
          <a:ext cx="1828800" cy="3657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rzysztof Koleśnikowski" id="{822F5859-9DC5-4F28-AC49-304F6CC762D2}" userId="Krzysztof Koleśnikows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4" dT="2021-09-30T12:18:02.78" personId="{822F5859-9DC5-4F28-AC49-304F6CC762D2}" id="{CF93D0EA-C018-41F0-9A15-2659828E0ADF}">
    <text>Alternative = 
IF($C$12="Holiday",VLOOKUP(B4,$E$4:$G$10,3,1),VLOOKUP(B4,$E$4:$G$10,2,1))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8" dT="2021-09-30T15:07:12.51" personId="{822F5859-9DC5-4F28-AC49-304F6CC762D2}" id="{ED3A9CE6-C8D5-49AA-87FF-DEED9CEC75BB}">
    <text>14.2% interest rate is swapped with each from B9:B15</text>
  </threadedComment>
  <threadedComment ref="C17" dT="2021-09-30T15:10:26.95" personId="{822F5859-9DC5-4F28-AC49-304F6CC762D2}" id="{C7A776D6-9091-4E73-82F0-EF8BB9395FFF}">
    <text>Row input cell: $C$5 ~ number of months that is replaced;
Column input cell: $C$4 ~ interest rate that is being replaced.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F4b-GnvRN4k?t=8298" TargetMode="External"/><Relationship Id="rId2" Type="http://schemas.openxmlformats.org/officeDocument/2006/relationships/hyperlink" Target="https://youtu.be/F4b-GnvRN4k?t=8641" TargetMode="External"/><Relationship Id="rId1" Type="http://schemas.openxmlformats.org/officeDocument/2006/relationships/hyperlink" Target="https://youtu.be/F4b-GnvRN4k?t=8581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F4b-GnvRN4k?t=6064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5"/>
  <sheetViews>
    <sheetView workbookViewId="0">
      <selection activeCell="L16" sqref="L16"/>
    </sheetView>
  </sheetViews>
  <sheetFormatPr defaultColWidth="9.109375" defaultRowHeight="14.4" x14ac:dyDescent="0.3"/>
  <cols>
    <col min="1" max="1" width="14.5546875" style="7" bestFit="1" customWidth="1"/>
    <col min="2" max="2" width="8.44140625" style="7" bestFit="1" customWidth="1"/>
    <col min="3" max="4" width="9" style="7" bestFit="1" customWidth="1"/>
    <col min="5" max="5" width="9.33203125" style="7" customWidth="1"/>
    <col min="6" max="6" width="8.5546875" style="7" bestFit="1" customWidth="1"/>
    <col min="7" max="7" width="1" style="7" customWidth="1"/>
    <col min="8" max="8" width="20" style="7" customWidth="1"/>
    <col min="9" max="9" width="14.88671875" style="7" bestFit="1" customWidth="1"/>
    <col min="10" max="11" width="9.109375" style="7"/>
    <col min="12" max="12" width="111.33203125" style="7" bestFit="1" customWidth="1"/>
    <col min="13" max="16384" width="9.109375" style="7"/>
  </cols>
  <sheetData>
    <row r="1" spans="1:12" ht="15" thickBot="1" x14ac:dyDescent="0.35"/>
    <row r="2" spans="1:12" ht="23.4" thickBot="1" x14ac:dyDescent="0.45">
      <c r="A2" s="151" t="s">
        <v>0</v>
      </c>
      <c r="B2" s="151"/>
      <c r="C2" s="151"/>
      <c r="D2" s="151"/>
      <c r="E2" s="151"/>
      <c r="F2" s="151"/>
      <c r="H2" s="19" t="s">
        <v>1</v>
      </c>
      <c r="I2" s="20">
        <v>34000</v>
      </c>
    </row>
    <row r="3" spans="1:12" ht="15.6" thickTop="1" thickBot="1" x14ac:dyDescent="0.35">
      <c r="L3" s="7" t="s">
        <v>279</v>
      </c>
    </row>
    <row r="4" spans="1:12" ht="15" thickBot="1" x14ac:dyDescent="0.35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H4" s="25" t="s">
        <v>8</v>
      </c>
      <c r="I4" s="24" t="s">
        <v>9</v>
      </c>
      <c r="L4" s="7" t="s">
        <v>280</v>
      </c>
    </row>
    <row r="5" spans="1:12" x14ac:dyDescent="0.3">
      <c r="A5" s="15" t="s">
        <v>10</v>
      </c>
      <c r="B5" s="8">
        <v>9550</v>
      </c>
      <c r="C5" s="8">
        <v>9230</v>
      </c>
      <c r="D5" s="8">
        <v>8500</v>
      </c>
      <c r="E5" s="8">
        <v>8965</v>
      </c>
      <c r="F5" s="9">
        <f>SUM(S._Jobs)</f>
        <v>36245</v>
      </c>
      <c r="H5" s="21" t="str">
        <f>IF(F5&gt;=I$2,"Yes","No")</f>
        <v>Yes</v>
      </c>
      <c r="I5" s="22">
        <f>IF(H5="Yes",F5*2%,0)</f>
        <v>724.9</v>
      </c>
      <c r="L5" s="7" t="s">
        <v>281</v>
      </c>
    </row>
    <row r="6" spans="1:12" x14ac:dyDescent="0.3">
      <c r="A6" s="15" t="s">
        <v>11</v>
      </c>
      <c r="B6" s="8">
        <v>5975</v>
      </c>
      <c r="C6" s="8">
        <v>6900</v>
      </c>
      <c r="D6" s="8">
        <v>8500</v>
      </c>
      <c r="E6" s="8">
        <v>10100</v>
      </c>
      <c r="F6" s="9">
        <f>SUM(E._Musk)</f>
        <v>31475</v>
      </c>
      <c r="H6" s="21" t="str">
        <f t="shared" ref="H6:H10" si="0">IF(F6&gt;=I$2,"Yes","No")</f>
        <v>No</v>
      </c>
      <c r="I6" s="22">
        <f t="shared" ref="I6:I10" si="1">IF(H6="Yes",F6*2%,0)</f>
        <v>0</v>
      </c>
      <c r="L6" s="7" t="s">
        <v>284</v>
      </c>
    </row>
    <row r="7" spans="1:12" x14ac:dyDescent="0.3">
      <c r="A7" s="15" t="s">
        <v>12</v>
      </c>
      <c r="B7" s="8">
        <v>7825</v>
      </c>
      <c r="C7" s="8">
        <v>8580</v>
      </c>
      <c r="D7" s="8">
        <v>9910</v>
      </c>
      <c r="E7" s="8">
        <v>7512</v>
      </c>
      <c r="F7" s="9">
        <f>SUM(W._Buffett)</f>
        <v>33827</v>
      </c>
      <c r="H7" s="21" t="str">
        <f t="shared" si="0"/>
        <v>No</v>
      </c>
      <c r="I7" s="22">
        <f t="shared" si="1"/>
        <v>0</v>
      </c>
      <c r="L7" s="7" t="s">
        <v>282</v>
      </c>
    </row>
    <row r="8" spans="1:12" x14ac:dyDescent="0.3">
      <c r="A8" s="15" t="s">
        <v>13</v>
      </c>
      <c r="B8" s="8">
        <v>9560</v>
      </c>
      <c r="C8" s="8">
        <v>10150</v>
      </c>
      <c r="D8" s="8">
        <v>11200</v>
      </c>
      <c r="E8" s="8">
        <v>9795</v>
      </c>
      <c r="F8" s="9">
        <f>SUM(M._Mayer)</f>
        <v>40705</v>
      </c>
      <c r="H8" s="21" t="str">
        <f t="shared" si="0"/>
        <v>Yes</v>
      </c>
      <c r="I8" s="22">
        <f t="shared" si="1"/>
        <v>814.1</v>
      </c>
      <c r="L8" s="7" t="s">
        <v>283</v>
      </c>
    </row>
    <row r="9" spans="1:12" x14ac:dyDescent="0.3">
      <c r="A9" s="16" t="s">
        <v>14</v>
      </c>
      <c r="B9" s="10">
        <v>8800</v>
      </c>
      <c r="C9" s="10">
        <v>7645</v>
      </c>
      <c r="D9" s="10">
        <v>9250</v>
      </c>
      <c r="E9" s="10">
        <v>8304</v>
      </c>
      <c r="F9" s="9">
        <f>SUM(S._Sandberg)</f>
        <v>33999</v>
      </c>
      <c r="H9" s="21" t="str">
        <f t="shared" si="0"/>
        <v>No</v>
      </c>
      <c r="I9" s="22">
        <f t="shared" si="1"/>
        <v>0</v>
      </c>
      <c r="L9" s="7" t="s">
        <v>285</v>
      </c>
    </row>
    <row r="10" spans="1:12" ht="15" thickBot="1" x14ac:dyDescent="0.35">
      <c r="A10" s="17" t="s">
        <v>15</v>
      </c>
      <c r="B10" s="11">
        <v>7892</v>
      </c>
      <c r="C10" s="11">
        <v>9695</v>
      </c>
      <c r="D10" s="11">
        <v>9520</v>
      </c>
      <c r="E10" s="11">
        <v>10252</v>
      </c>
      <c r="F10" s="9">
        <f>SUM(A._Ahrendts)</f>
        <v>37359</v>
      </c>
      <c r="H10" s="21" t="str">
        <f t="shared" si="0"/>
        <v>Yes</v>
      </c>
      <c r="I10" s="22">
        <f t="shared" si="1"/>
        <v>747.18000000000006</v>
      </c>
      <c r="L10" s="7" t="s">
        <v>286</v>
      </c>
    </row>
    <row r="11" spans="1:12" x14ac:dyDescent="0.3">
      <c r="L11" s="7" t="s">
        <v>290</v>
      </c>
    </row>
    <row r="12" spans="1:12" ht="28.5" customHeight="1" x14ac:dyDescent="0.3">
      <c r="D12" s="152" t="s">
        <v>16</v>
      </c>
      <c r="E12" s="152"/>
      <c r="F12" s="12">
        <f>SUM(FebruaryTotals)</f>
        <v>213610</v>
      </c>
      <c r="H12" s="18" t="s">
        <v>17</v>
      </c>
      <c r="I12" s="13" t="str">
        <f>IF(AND(F12&gt;200000, F13&gt;9000),"Yes","No")</f>
        <v>No</v>
      </c>
      <c r="L12" s="7" t="s">
        <v>287</v>
      </c>
    </row>
    <row r="13" spans="1:12" ht="29.25" customHeight="1" x14ac:dyDescent="0.3">
      <c r="D13" s="152" t="s">
        <v>18</v>
      </c>
      <c r="E13" s="152"/>
      <c r="F13" s="12">
        <f>AVERAGE(AllSales)</f>
        <v>8900.4166666666661</v>
      </c>
      <c r="L13" s="7" t="s">
        <v>288</v>
      </c>
    </row>
    <row r="14" spans="1:12" x14ac:dyDescent="0.3">
      <c r="L14" s="7" t="s">
        <v>289</v>
      </c>
    </row>
    <row r="15" spans="1:12" x14ac:dyDescent="0.3">
      <c r="L15" s="7" t="s">
        <v>291</v>
      </c>
    </row>
  </sheetData>
  <mergeCells count="3">
    <mergeCell ref="A2:F2"/>
    <mergeCell ref="D12:E12"/>
    <mergeCell ref="D13:E13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F14"/>
  <sheetViews>
    <sheetView workbookViewId="0">
      <selection activeCell="F3" sqref="F3"/>
    </sheetView>
  </sheetViews>
  <sheetFormatPr defaultColWidth="9.109375" defaultRowHeight="14.4" x14ac:dyDescent="0.3"/>
  <cols>
    <col min="1" max="1" width="23.44140625" style="7" bestFit="1" customWidth="1"/>
    <col min="2" max="2" width="20.5546875" style="7" customWidth="1"/>
    <col min="3" max="3" width="18.6640625" style="7" customWidth="1"/>
    <col min="4" max="5" width="9.109375" style="7"/>
    <col min="6" max="6" width="34.44140625" style="7" bestFit="1" customWidth="1"/>
    <col min="7" max="16384" width="9.109375" style="7"/>
  </cols>
  <sheetData>
    <row r="1" spans="1:6" x14ac:dyDescent="0.3">
      <c r="B1" s="29" t="s">
        <v>19</v>
      </c>
      <c r="C1" s="149">
        <f ca="1">TODAY()</f>
        <v>44469</v>
      </c>
    </row>
    <row r="2" spans="1:6" ht="15" thickBot="1" x14ac:dyDescent="0.35">
      <c r="F2" s="7" t="s">
        <v>322</v>
      </c>
    </row>
    <row r="3" spans="1:6" x14ac:dyDescent="0.3">
      <c r="B3" s="26" t="s">
        <v>20</v>
      </c>
      <c r="C3" s="26" t="s">
        <v>21</v>
      </c>
    </row>
    <row r="4" spans="1:6" ht="18" thickBot="1" x14ac:dyDescent="0.35">
      <c r="A4" s="31" t="s">
        <v>22</v>
      </c>
      <c r="B4" s="27" t="s">
        <v>23</v>
      </c>
      <c r="C4" s="27" t="s">
        <v>24</v>
      </c>
    </row>
    <row r="5" spans="1:6" x14ac:dyDescent="0.3">
      <c r="A5" s="33" t="s">
        <v>25</v>
      </c>
      <c r="B5" s="147">
        <f ca="1">TODAY()-10</f>
        <v>44459</v>
      </c>
      <c r="C5" s="32">
        <f ca="1">$C$1-B5</f>
        <v>10</v>
      </c>
    </row>
    <row r="6" spans="1:6" x14ac:dyDescent="0.3">
      <c r="A6" s="33" t="s">
        <v>26</v>
      </c>
      <c r="B6" s="147">
        <f ca="1">TODAY()-15</f>
        <v>44454</v>
      </c>
      <c r="C6" s="32">
        <f t="shared" ref="C6:C9" ca="1" si="0">$C$1-B6</f>
        <v>15</v>
      </c>
    </row>
    <row r="7" spans="1:6" x14ac:dyDescent="0.3">
      <c r="A7" s="33" t="s">
        <v>27</v>
      </c>
      <c r="B7" s="147">
        <f ca="1">TODAY()-32</f>
        <v>44437</v>
      </c>
      <c r="C7" s="32">
        <f t="shared" ca="1" si="0"/>
        <v>32</v>
      </c>
    </row>
    <row r="8" spans="1:6" x14ac:dyDescent="0.3">
      <c r="A8" s="33" t="s">
        <v>28</v>
      </c>
      <c r="B8" s="147">
        <f ca="1">TODAY()-45</f>
        <v>44424</v>
      </c>
      <c r="C8" s="32">
        <f t="shared" ca="1" si="0"/>
        <v>45</v>
      </c>
    </row>
    <row r="9" spans="1:6" x14ac:dyDescent="0.3">
      <c r="A9" s="33" t="s">
        <v>29</v>
      </c>
      <c r="B9" s="147">
        <f ca="1">TODAY()-3</f>
        <v>44466</v>
      </c>
      <c r="C9" s="32">
        <f t="shared" ca="1" si="0"/>
        <v>3</v>
      </c>
    </row>
    <row r="12" spans="1:6" ht="21" x14ac:dyDescent="0.4">
      <c r="A12" s="153" t="s">
        <v>30</v>
      </c>
      <c r="B12" s="153"/>
      <c r="C12" s="153"/>
    </row>
    <row r="13" spans="1:6" x14ac:dyDescent="0.3">
      <c r="A13" s="30" t="s">
        <v>31</v>
      </c>
      <c r="B13" s="30" t="s">
        <v>32</v>
      </c>
      <c r="C13" s="30" t="s">
        <v>33</v>
      </c>
    </row>
    <row r="14" spans="1:6" x14ac:dyDescent="0.3">
      <c r="A14" s="150">
        <v>37125</v>
      </c>
      <c r="B14" s="148">
        <f ca="1">C1-A14</f>
        <v>7344</v>
      </c>
      <c r="C14" s="28">
        <f ca="1">B14/365.25</f>
        <v>20.106776180698152</v>
      </c>
    </row>
  </sheetData>
  <mergeCells count="1">
    <mergeCell ref="A12:C12"/>
  </mergeCells>
  <phoneticPr fontId="0" type="noConversion"/>
  <printOptions horizontalCentered="1" headings="1" gridLines="1" gridLinesSet="0"/>
  <pageMargins left="0.75" right="0.75" top="1" bottom="1" header="0.5" footer="0.5"/>
  <pageSetup orientation="landscape" horizontalDpi="4294967292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U46"/>
  <sheetViews>
    <sheetView topLeftCell="A3" workbookViewId="0">
      <selection activeCell="F38" sqref="F38"/>
    </sheetView>
  </sheetViews>
  <sheetFormatPr defaultColWidth="9.109375" defaultRowHeight="14.4" x14ac:dyDescent="0.3"/>
  <cols>
    <col min="1" max="1" width="9.5546875" style="7" customWidth="1"/>
    <col min="2" max="2" width="13.33203125" style="7" customWidth="1"/>
    <col min="3" max="3" width="14.88671875" style="7" customWidth="1"/>
    <col min="4" max="4" width="9.109375" style="7"/>
    <col min="5" max="5" width="11.33203125" style="7" customWidth="1"/>
    <col min="6" max="6" width="10.44140625" style="7" bestFit="1" customWidth="1"/>
    <col min="7" max="7" width="11.109375" style="7" customWidth="1"/>
    <col min="8" max="8" width="10.109375" style="7" bestFit="1" customWidth="1"/>
    <col min="9" max="9" width="9.33203125" style="7" bestFit="1" customWidth="1"/>
    <col min="10" max="15" width="9.109375" style="7"/>
    <col min="16" max="16" width="98.88671875" style="7" bestFit="1" customWidth="1"/>
    <col min="17" max="16384" width="9.109375" style="7"/>
  </cols>
  <sheetData>
    <row r="1" spans="1:21" ht="15" thickBot="1" x14ac:dyDescent="0.35">
      <c r="A1" s="154" t="s">
        <v>34</v>
      </c>
      <c r="B1" s="154"/>
      <c r="C1" s="154"/>
      <c r="D1" s="154"/>
      <c r="E1" s="154"/>
      <c r="P1" s="7" t="s">
        <v>292</v>
      </c>
    </row>
    <row r="2" spans="1:21" ht="15.6" thickTop="1" thickBot="1" x14ac:dyDescent="0.35">
      <c r="A2" s="154"/>
      <c r="B2" s="154"/>
      <c r="C2" s="154"/>
      <c r="D2" s="154"/>
      <c r="E2" s="154"/>
      <c r="P2" s="7" t="s">
        <v>293</v>
      </c>
    </row>
    <row r="3" spans="1:21" ht="15" thickTop="1" x14ac:dyDescent="0.3">
      <c r="A3" s="40" t="s">
        <v>35</v>
      </c>
      <c r="B3" s="40" t="s">
        <v>36</v>
      </c>
      <c r="C3" s="40" t="s">
        <v>37</v>
      </c>
      <c r="D3" s="40" t="s">
        <v>38</v>
      </c>
      <c r="E3" s="40" t="s">
        <v>39</v>
      </c>
      <c r="P3" s="7" t="s">
        <v>294</v>
      </c>
    </row>
    <row r="4" spans="1:21" x14ac:dyDescent="0.3">
      <c r="A4" s="43">
        <v>1075</v>
      </c>
      <c r="B4" s="7" t="str">
        <f>IFERROR(VLOOKUP($A$4,$A$9:$I$46,2,0),"Unavailable")</f>
        <v>Kane</v>
      </c>
      <c r="C4" s="7" t="str">
        <f>IFERROR(VLOOKUP($A$4,$A$9:$I$46,3,0),"")</f>
        <v>Sheryl</v>
      </c>
      <c r="D4" s="7" t="str">
        <f>IFERROR(VLOOKUP($A$4,$A$9:$I$46,4,0),"No data")</f>
        <v>AD</v>
      </c>
      <c r="E4" s="7">
        <f>IFERROR(VLOOKUP($A$4,$A$9:$I$46,9,0),"No data")</f>
        <v>11.25</v>
      </c>
      <c r="P4" s="7" t="s">
        <v>295</v>
      </c>
    </row>
    <row r="5" spans="1:21" x14ac:dyDescent="0.3">
      <c r="P5" s="7" t="s">
        <v>296</v>
      </c>
    </row>
    <row r="6" spans="1:21" x14ac:dyDescent="0.3">
      <c r="P6" s="7" t="s">
        <v>297</v>
      </c>
    </row>
    <row r="7" spans="1:21" ht="15.75" customHeight="1" x14ac:dyDescent="0.3">
      <c r="A7" s="155" t="s">
        <v>40</v>
      </c>
      <c r="B7" s="155"/>
      <c r="C7" s="155"/>
      <c r="D7" s="155"/>
      <c r="E7" s="155"/>
      <c r="F7" s="155"/>
      <c r="G7" s="155"/>
      <c r="H7" s="155"/>
      <c r="I7" s="155"/>
      <c r="P7" s="7" t="s">
        <v>298</v>
      </c>
    </row>
    <row r="8" spans="1:21" ht="16.5" customHeight="1" thickBot="1" x14ac:dyDescent="0.35">
      <c r="A8" s="154"/>
      <c r="B8" s="154"/>
      <c r="C8" s="154"/>
      <c r="D8" s="154"/>
      <c r="E8" s="154"/>
      <c r="F8" s="154"/>
      <c r="G8" s="154"/>
      <c r="H8" s="154"/>
      <c r="I8" s="154"/>
      <c r="P8" s="7" t="s">
        <v>299</v>
      </c>
      <c r="Q8" s="154" t="s">
        <v>34</v>
      </c>
      <c r="R8" s="154"/>
      <c r="S8" s="154"/>
      <c r="T8" s="154"/>
      <c r="U8" s="154"/>
    </row>
    <row r="9" spans="1:21" ht="15.6" thickTop="1" thickBot="1" x14ac:dyDescent="0.35">
      <c r="A9" s="40" t="s">
        <v>35</v>
      </c>
      <c r="B9" s="40" t="s">
        <v>36</v>
      </c>
      <c r="C9" s="40" t="s">
        <v>37</v>
      </c>
      <c r="D9" s="40" t="s">
        <v>38</v>
      </c>
      <c r="E9" s="40" t="s">
        <v>41</v>
      </c>
      <c r="F9" s="40" t="s">
        <v>42</v>
      </c>
      <c r="G9" s="40" t="s">
        <v>43</v>
      </c>
      <c r="H9" s="40" t="s">
        <v>44</v>
      </c>
      <c r="I9" s="40" t="s">
        <v>39</v>
      </c>
      <c r="P9" s="7" t="s">
        <v>300</v>
      </c>
      <c r="Q9" s="154"/>
      <c r="R9" s="154"/>
      <c r="S9" s="154"/>
      <c r="T9" s="154"/>
      <c r="U9" s="154"/>
    </row>
    <row r="10" spans="1:21" ht="15" thickTop="1" x14ac:dyDescent="0.3">
      <c r="A10" s="35">
        <v>1054</v>
      </c>
      <c r="B10" s="35" t="s">
        <v>45</v>
      </c>
      <c r="C10" s="35" t="s">
        <v>46</v>
      </c>
      <c r="D10" s="35" t="s">
        <v>47</v>
      </c>
      <c r="E10" s="35" t="s">
        <v>48</v>
      </c>
      <c r="F10" s="35">
        <v>148</v>
      </c>
      <c r="G10" s="35" t="s">
        <v>49</v>
      </c>
      <c r="H10" s="36">
        <v>38092.25</v>
      </c>
      <c r="I10" s="37">
        <v>11.25</v>
      </c>
      <c r="P10" s="7" t="s">
        <v>301</v>
      </c>
      <c r="Q10" s="40" t="s">
        <v>35</v>
      </c>
      <c r="R10" s="40" t="s">
        <v>36</v>
      </c>
      <c r="S10" s="40" t="s">
        <v>37</v>
      </c>
      <c r="T10" s="40" t="s">
        <v>38</v>
      </c>
      <c r="U10" s="40" t="s">
        <v>39</v>
      </c>
    </row>
    <row r="11" spans="1:21" ht="15" customHeight="1" x14ac:dyDescent="0.3">
      <c r="A11" s="35">
        <v>1056</v>
      </c>
      <c r="B11" s="35" t="s">
        <v>50</v>
      </c>
      <c r="C11" s="35" t="s">
        <v>51</v>
      </c>
      <c r="D11" s="35" t="s">
        <v>47</v>
      </c>
      <c r="E11" s="35" t="s">
        <v>52</v>
      </c>
      <c r="F11" s="35">
        <v>121</v>
      </c>
      <c r="G11" s="35" t="s">
        <v>49</v>
      </c>
      <c r="H11" s="36">
        <v>33901.25</v>
      </c>
      <c r="I11" s="37">
        <v>12.25</v>
      </c>
      <c r="P11" s="7" t="s">
        <v>302</v>
      </c>
      <c r="Q11" s="43">
        <v>1055</v>
      </c>
      <c r="R11" s="7" t="str">
        <f>VLOOKUP($A$4,$A$9:$I$46,2,0)</f>
        <v>Kane</v>
      </c>
      <c r="S11" s="7" t="str">
        <f>VLOOKUP($A$4,$A$9:$I$46,3,0)</f>
        <v>Sheryl</v>
      </c>
      <c r="T11" s="7" t="str">
        <f>VLOOKUP($A$4,$A$9:$I$46,4,0)</f>
        <v>AD</v>
      </c>
      <c r="U11" s="7">
        <f>VLOOKUP($A$4,$A$9:$I$46,9,0)</f>
        <v>11.25</v>
      </c>
    </row>
    <row r="12" spans="1:21" ht="15.6" customHeight="1" x14ac:dyDescent="0.3">
      <c r="A12" s="35">
        <v>1067</v>
      </c>
      <c r="B12" s="35" t="s">
        <v>53</v>
      </c>
      <c r="C12" s="35" t="s">
        <v>54</v>
      </c>
      <c r="D12" s="35" t="s">
        <v>47</v>
      </c>
      <c r="E12" s="35" t="s">
        <v>55</v>
      </c>
      <c r="F12" s="35">
        <v>123</v>
      </c>
      <c r="G12" s="35" t="s">
        <v>49</v>
      </c>
      <c r="H12" s="36">
        <v>36788.25</v>
      </c>
      <c r="I12" s="37">
        <v>14.55</v>
      </c>
    </row>
    <row r="13" spans="1:21" x14ac:dyDescent="0.3">
      <c r="A13" s="35">
        <v>1075</v>
      </c>
      <c r="B13" s="35" t="s">
        <v>56</v>
      </c>
      <c r="C13" s="35" t="s">
        <v>57</v>
      </c>
      <c r="D13" s="35" t="s">
        <v>58</v>
      </c>
      <c r="E13" s="35" t="s">
        <v>59</v>
      </c>
      <c r="F13" s="35">
        <v>126</v>
      </c>
      <c r="G13" s="35" t="s">
        <v>60</v>
      </c>
      <c r="H13" s="36">
        <v>38571.25</v>
      </c>
      <c r="I13" s="37">
        <v>11.25</v>
      </c>
    </row>
    <row r="14" spans="1:21" x14ac:dyDescent="0.3">
      <c r="A14" s="35">
        <v>1078</v>
      </c>
      <c r="B14" s="35" t="s">
        <v>61</v>
      </c>
      <c r="C14" s="35" t="s">
        <v>62</v>
      </c>
      <c r="D14" s="35" t="s">
        <v>63</v>
      </c>
      <c r="E14" s="35" t="s">
        <v>64</v>
      </c>
      <c r="F14" s="35">
        <v>101</v>
      </c>
      <c r="G14" s="35" t="s">
        <v>60</v>
      </c>
      <c r="H14" s="36">
        <v>36251.25</v>
      </c>
      <c r="I14" s="37">
        <v>10.199999999999999</v>
      </c>
    </row>
    <row r="15" spans="1:21" x14ac:dyDescent="0.3">
      <c r="A15" s="35">
        <v>1152</v>
      </c>
      <c r="B15" s="35" t="s">
        <v>65</v>
      </c>
      <c r="C15" s="35" t="s">
        <v>66</v>
      </c>
      <c r="D15" s="35" t="s">
        <v>58</v>
      </c>
      <c r="E15" s="35" t="s">
        <v>67</v>
      </c>
      <c r="F15" s="35">
        <v>118</v>
      </c>
      <c r="G15" s="35" t="s">
        <v>60</v>
      </c>
      <c r="H15" s="36">
        <v>37642.25</v>
      </c>
      <c r="I15" s="37">
        <v>12.25</v>
      </c>
    </row>
    <row r="16" spans="1:21" x14ac:dyDescent="0.3">
      <c r="A16" s="35">
        <v>1196</v>
      </c>
      <c r="B16" s="35" t="s">
        <v>68</v>
      </c>
      <c r="C16" s="35" t="s">
        <v>69</v>
      </c>
      <c r="D16" s="35" t="s">
        <v>70</v>
      </c>
      <c r="E16" s="35" t="s">
        <v>71</v>
      </c>
      <c r="F16" s="35">
        <v>289</v>
      </c>
      <c r="G16" s="35" t="s">
        <v>72</v>
      </c>
      <c r="H16" s="36">
        <v>40634.25</v>
      </c>
      <c r="I16" s="37">
        <v>9.9499999999999993</v>
      </c>
    </row>
    <row r="17" spans="1:9" x14ac:dyDescent="0.3">
      <c r="A17" s="35">
        <v>1284</v>
      </c>
      <c r="B17" s="35" t="s">
        <v>73</v>
      </c>
      <c r="C17" s="35" t="s">
        <v>74</v>
      </c>
      <c r="D17" s="35" t="s">
        <v>75</v>
      </c>
      <c r="E17" s="35" t="s">
        <v>76</v>
      </c>
      <c r="F17" s="35">
        <v>124</v>
      </c>
      <c r="G17" s="35" t="s">
        <v>49</v>
      </c>
      <c r="H17" s="36">
        <v>35799.25</v>
      </c>
      <c r="I17" s="37">
        <v>12.3</v>
      </c>
    </row>
    <row r="18" spans="1:9" x14ac:dyDescent="0.3">
      <c r="A18" s="35">
        <v>1290</v>
      </c>
      <c r="B18" s="35" t="s">
        <v>77</v>
      </c>
      <c r="C18" s="35" t="s">
        <v>78</v>
      </c>
      <c r="D18" s="35" t="s">
        <v>58</v>
      </c>
      <c r="E18" s="35" t="s">
        <v>79</v>
      </c>
      <c r="F18" s="35">
        <v>113</v>
      </c>
      <c r="G18" s="35" t="s">
        <v>60</v>
      </c>
      <c r="H18" s="36">
        <v>35798.25</v>
      </c>
      <c r="I18" s="37">
        <v>13.25</v>
      </c>
    </row>
    <row r="19" spans="1:9" x14ac:dyDescent="0.3">
      <c r="A19" s="35">
        <v>1293</v>
      </c>
      <c r="B19" s="35" t="s">
        <v>80</v>
      </c>
      <c r="C19" s="35" t="s">
        <v>81</v>
      </c>
      <c r="D19" s="35" t="s">
        <v>70</v>
      </c>
      <c r="E19" s="35" t="s">
        <v>82</v>
      </c>
      <c r="F19" s="35">
        <v>205</v>
      </c>
      <c r="G19" s="35" t="s">
        <v>72</v>
      </c>
      <c r="H19" s="36">
        <v>35687.25</v>
      </c>
      <c r="I19" s="37">
        <v>10.199999999999999</v>
      </c>
    </row>
    <row r="20" spans="1:9" x14ac:dyDescent="0.3">
      <c r="A20" s="35">
        <v>1299</v>
      </c>
      <c r="B20" s="35" t="s">
        <v>83</v>
      </c>
      <c r="C20" s="35" t="s">
        <v>84</v>
      </c>
      <c r="D20" s="35" t="s">
        <v>85</v>
      </c>
      <c r="E20" s="35" t="s">
        <v>86</v>
      </c>
      <c r="F20" s="35">
        <v>127</v>
      </c>
      <c r="G20" s="35" t="s">
        <v>49</v>
      </c>
      <c r="H20" s="36">
        <v>37611.25</v>
      </c>
      <c r="I20" s="37">
        <v>12.2</v>
      </c>
    </row>
    <row r="21" spans="1:9" x14ac:dyDescent="0.3">
      <c r="A21" s="35">
        <v>1302</v>
      </c>
      <c r="B21" s="35" t="s">
        <v>45</v>
      </c>
      <c r="C21" s="35" t="s">
        <v>87</v>
      </c>
      <c r="D21" s="35" t="s">
        <v>75</v>
      </c>
      <c r="E21" s="35" t="s">
        <v>88</v>
      </c>
      <c r="F21" s="35">
        <v>139</v>
      </c>
      <c r="G21" s="35" t="s">
        <v>49</v>
      </c>
      <c r="H21" s="36">
        <v>35648.25</v>
      </c>
      <c r="I21" s="37">
        <v>14.25</v>
      </c>
    </row>
    <row r="22" spans="1:9" x14ac:dyDescent="0.3">
      <c r="A22" s="35">
        <v>1310</v>
      </c>
      <c r="B22" s="35" t="s">
        <v>45</v>
      </c>
      <c r="C22" s="35" t="s">
        <v>89</v>
      </c>
      <c r="D22" s="35" t="s">
        <v>85</v>
      </c>
      <c r="E22" s="35" t="s">
        <v>90</v>
      </c>
      <c r="F22" s="35">
        <v>137</v>
      </c>
      <c r="G22" s="35" t="s">
        <v>49</v>
      </c>
      <c r="H22" s="36">
        <v>36437.25</v>
      </c>
      <c r="I22" s="37">
        <v>11.5</v>
      </c>
    </row>
    <row r="23" spans="1:9" x14ac:dyDescent="0.3">
      <c r="A23" s="35">
        <v>1329</v>
      </c>
      <c r="B23" s="35" t="s">
        <v>91</v>
      </c>
      <c r="C23" s="35" t="s">
        <v>92</v>
      </c>
      <c r="D23" s="35" t="s">
        <v>63</v>
      </c>
      <c r="E23" s="35" t="s">
        <v>93</v>
      </c>
      <c r="F23" s="35">
        <v>151</v>
      </c>
      <c r="G23" s="35" t="s">
        <v>60</v>
      </c>
      <c r="H23" s="36">
        <v>37309.25</v>
      </c>
      <c r="I23" s="37">
        <v>10.35</v>
      </c>
    </row>
    <row r="24" spans="1:9" x14ac:dyDescent="0.3">
      <c r="A24" s="35">
        <v>1333</v>
      </c>
      <c r="B24" s="35" t="s">
        <v>94</v>
      </c>
      <c r="C24" s="35" t="s">
        <v>95</v>
      </c>
      <c r="D24" s="35" t="s">
        <v>70</v>
      </c>
      <c r="E24" s="35" t="s">
        <v>96</v>
      </c>
      <c r="F24" s="35">
        <v>122</v>
      </c>
      <c r="G24" s="35" t="s">
        <v>72</v>
      </c>
      <c r="H24" s="36">
        <v>37727.25</v>
      </c>
      <c r="I24" s="37">
        <v>10.15</v>
      </c>
    </row>
    <row r="25" spans="1:9" x14ac:dyDescent="0.3">
      <c r="A25" s="35">
        <v>1368</v>
      </c>
      <c r="B25" s="35" t="s">
        <v>97</v>
      </c>
      <c r="C25" s="35" t="s">
        <v>98</v>
      </c>
      <c r="D25" s="35" t="s">
        <v>58</v>
      </c>
      <c r="E25" s="35" t="s">
        <v>99</v>
      </c>
      <c r="F25" s="35">
        <v>132</v>
      </c>
      <c r="G25" s="35" t="s">
        <v>60</v>
      </c>
      <c r="H25" s="36">
        <v>35134.25</v>
      </c>
      <c r="I25" s="37">
        <v>12.25</v>
      </c>
    </row>
    <row r="26" spans="1:9" x14ac:dyDescent="0.3">
      <c r="A26" s="35">
        <v>1509</v>
      </c>
      <c r="B26" s="35" t="s">
        <v>100</v>
      </c>
      <c r="C26" s="35" t="s">
        <v>101</v>
      </c>
      <c r="D26" s="35" t="s">
        <v>47</v>
      </c>
      <c r="E26" s="35" t="s">
        <v>102</v>
      </c>
      <c r="F26" s="35">
        <v>135</v>
      </c>
      <c r="G26" s="35" t="s">
        <v>49</v>
      </c>
      <c r="H26" s="36">
        <v>35965.25</v>
      </c>
      <c r="I26" s="37">
        <v>13.25</v>
      </c>
    </row>
    <row r="27" spans="1:9" x14ac:dyDescent="0.3">
      <c r="A27" s="35">
        <v>1516</v>
      </c>
      <c r="B27" s="35" t="s">
        <v>45</v>
      </c>
      <c r="C27" s="35" t="s">
        <v>103</v>
      </c>
      <c r="D27" s="35" t="s">
        <v>63</v>
      </c>
      <c r="E27" s="35" t="s">
        <v>104</v>
      </c>
      <c r="F27" s="35">
        <v>105</v>
      </c>
      <c r="G27" s="35" t="s">
        <v>60</v>
      </c>
      <c r="H27" s="36">
        <v>35860.25</v>
      </c>
      <c r="I27" s="37">
        <v>9.5</v>
      </c>
    </row>
    <row r="28" spans="1:9" x14ac:dyDescent="0.3">
      <c r="A28" s="35">
        <v>1529</v>
      </c>
      <c r="B28" s="35" t="s">
        <v>105</v>
      </c>
      <c r="C28" s="35" t="s">
        <v>106</v>
      </c>
      <c r="D28" s="35" t="s">
        <v>75</v>
      </c>
      <c r="E28" s="35" t="s">
        <v>107</v>
      </c>
      <c r="F28" s="35">
        <v>129</v>
      </c>
      <c r="G28" s="35" t="s">
        <v>49</v>
      </c>
      <c r="H28" s="36">
        <v>36553.25</v>
      </c>
      <c r="I28" s="37">
        <v>11.3</v>
      </c>
    </row>
    <row r="29" spans="1:9" x14ac:dyDescent="0.3">
      <c r="A29" s="35">
        <v>1656</v>
      </c>
      <c r="B29" s="35" t="s">
        <v>108</v>
      </c>
      <c r="C29" s="35" t="s">
        <v>109</v>
      </c>
      <c r="D29" s="35" t="s">
        <v>85</v>
      </c>
      <c r="E29" s="35" t="s">
        <v>110</v>
      </c>
      <c r="F29" s="35">
        <v>149</v>
      </c>
      <c r="G29" s="35" t="s">
        <v>49</v>
      </c>
      <c r="H29" s="36">
        <v>36873.25</v>
      </c>
      <c r="I29" s="37">
        <v>12.35</v>
      </c>
    </row>
    <row r="30" spans="1:9" x14ac:dyDescent="0.3">
      <c r="A30" s="35">
        <v>1672</v>
      </c>
      <c r="B30" s="35" t="s">
        <v>111</v>
      </c>
      <c r="C30" s="35" t="s">
        <v>112</v>
      </c>
      <c r="D30" s="35" t="s">
        <v>85</v>
      </c>
      <c r="E30" s="35" t="s">
        <v>113</v>
      </c>
      <c r="F30" s="35">
        <v>114</v>
      </c>
      <c r="G30" s="35" t="s">
        <v>49</v>
      </c>
      <c r="H30" s="36">
        <v>37727.25</v>
      </c>
      <c r="I30" s="37">
        <v>11.9</v>
      </c>
    </row>
    <row r="31" spans="1:9" x14ac:dyDescent="0.3">
      <c r="A31" s="35">
        <v>1673</v>
      </c>
      <c r="B31" s="35" t="s">
        <v>114</v>
      </c>
      <c r="C31" s="35" t="s">
        <v>74</v>
      </c>
      <c r="D31" s="35" t="s">
        <v>58</v>
      </c>
      <c r="E31" s="35" t="s">
        <v>115</v>
      </c>
      <c r="F31" s="35">
        <v>112</v>
      </c>
      <c r="G31" s="35" t="s">
        <v>60</v>
      </c>
      <c r="H31" s="36">
        <v>38436.25</v>
      </c>
      <c r="I31" s="37">
        <v>11.85</v>
      </c>
    </row>
    <row r="32" spans="1:9" x14ac:dyDescent="0.3">
      <c r="A32" s="35">
        <v>1676</v>
      </c>
      <c r="B32" s="35" t="s">
        <v>100</v>
      </c>
      <c r="C32" s="35" t="s">
        <v>116</v>
      </c>
      <c r="D32" s="35" t="s">
        <v>75</v>
      </c>
      <c r="E32" s="35" t="s">
        <v>117</v>
      </c>
      <c r="F32" s="35">
        <v>115</v>
      </c>
      <c r="G32" s="35" t="s">
        <v>49</v>
      </c>
      <c r="H32" s="36">
        <v>34633.25</v>
      </c>
      <c r="I32" s="37">
        <v>10.75</v>
      </c>
    </row>
    <row r="33" spans="1:13" x14ac:dyDescent="0.3">
      <c r="A33" s="35">
        <v>1721</v>
      </c>
      <c r="B33" s="35" t="s">
        <v>118</v>
      </c>
      <c r="C33" s="35" t="s">
        <v>119</v>
      </c>
      <c r="D33" s="35" t="s">
        <v>70</v>
      </c>
      <c r="E33" s="35" t="s">
        <v>120</v>
      </c>
      <c r="F33" s="35">
        <v>102</v>
      </c>
      <c r="G33" s="35" t="s">
        <v>72</v>
      </c>
      <c r="H33" s="36">
        <v>37839.25</v>
      </c>
      <c r="I33" s="37">
        <v>9.75</v>
      </c>
    </row>
    <row r="34" spans="1:13" x14ac:dyDescent="0.3">
      <c r="A34" s="35">
        <v>1723</v>
      </c>
      <c r="B34" s="35" t="s">
        <v>121</v>
      </c>
      <c r="C34" s="35" t="s">
        <v>66</v>
      </c>
      <c r="D34" s="35" t="s">
        <v>75</v>
      </c>
      <c r="E34" s="35" t="s">
        <v>122</v>
      </c>
      <c r="F34" s="35">
        <v>145</v>
      </c>
      <c r="G34" s="35" t="s">
        <v>49</v>
      </c>
      <c r="H34" s="36">
        <v>33279.25</v>
      </c>
      <c r="I34" s="37">
        <v>13.95</v>
      </c>
      <c r="M34" s="7" t="s">
        <v>123</v>
      </c>
    </row>
    <row r="35" spans="1:13" x14ac:dyDescent="0.3">
      <c r="A35" s="35">
        <v>1758</v>
      </c>
      <c r="B35" s="35" t="s">
        <v>124</v>
      </c>
      <c r="C35" s="35" t="s">
        <v>125</v>
      </c>
      <c r="D35" s="35" t="s">
        <v>63</v>
      </c>
      <c r="E35" s="35" t="s">
        <v>126</v>
      </c>
      <c r="F35" s="35">
        <v>107</v>
      </c>
      <c r="G35" s="35" t="s">
        <v>60</v>
      </c>
      <c r="H35" s="36">
        <v>34776.25</v>
      </c>
      <c r="I35" s="37">
        <v>11.2</v>
      </c>
    </row>
    <row r="36" spans="1:13" x14ac:dyDescent="0.3">
      <c r="A36" s="35">
        <v>1792</v>
      </c>
      <c r="B36" s="35" t="s">
        <v>127</v>
      </c>
      <c r="C36" s="35" t="s">
        <v>128</v>
      </c>
      <c r="D36" s="35" t="s">
        <v>47</v>
      </c>
      <c r="E36" s="35" t="s">
        <v>129</v>
      </c>
      <c r="F36" s="35">
        <v>111</v>
      </c>
      <c r="G36" s="35" t="s">
        <v>49</v>
      </c>
      <c r="H36" s="36">
        <v>37979.25</v>
      </c>
      <c r="I36" s="37">
        <v>10.3</v>
      </c>
    </row>
    <row r="37" spans="1:13" x14ac:dyDescent="0.3">
      <c r="A37" s="35">
        <v>1814</v>
      </c>
      <c r="B37" s="35" t="s">
        <v>130</v>
      </c>
      <c r="C37" s="35" t="s">
        <v>131</v>
      </c>
      <c r="D37" s="35" t="s">
        <v>70</v>
      </c>
      <c r="E37" s="35" t="s">
        <v>132</v>
      </c>
      <c r="F37" s="35">
        <v>103</v>
      </c>
      <c r="G37" s="35" t="s">
        <v>72</v>
      </c>
      <c r="H37" s="36">
        <v>37319.25</v>
      </c>
      <c r="I37" s="37">
        <v>12.25</v>
      </c>
    </row>
    <row r="38" spans="1:13" x14ac:dyDescent="0.3">
      <c r="A38" s="35">
        <v>1908</v>
      </c>
      <c r="B38" s="35" t="s">
        <v>133</v>
      </c>
      <c r="C38" s="35" t="s">
        <v>134</v>
      </c>
      <c r="D38" s="35" t="s">
        <v>47</v>
      </c>
      <c r="E38" s="35" t="s">
        <v>135</v>
      </c>
      <c r="F38" s="35">
        <v>152</v>
      </c>
      <c r="G38" s="35" t="s">
        <v>49</v>
      </c>
      <c r="H38" s="36">
        <v>35565.25</v>
      </c>
      <c r="I38" s="37">
        <v>10.25</v>
      </c>
    </row>
    <row r="39" spans="1:13" x14ac:dyDescent="0.3">
      <c r="A39" s="35">
        <v>1931</v>
      </c>
      <c r="B39" s="35" t="s">
        <v>100</v>
      </c>
      <c r="C39" s="35" t="s">
        <v>136</v>
      </c>
      <c r="D39" s="35" t="s">
        <v>63</v>
      </c>
      <c r="E39" s="35" t="s">
        <v>137</v>
      </c>
      <c r="F39" s="35">
        <v>110</v>
      </c>
      <c r="G39" s="35" t="s">
        <v>60</v>
      </c>
      <c r="H39" s="36">
        <v>37427.25</v>
      </c>
      <c r="I39" s="37">
        <v>9.85</v>
      </c>
    </row>
    <row r="40" spans="1:13" x14ac:dyDescent="0.3">
      <c r="A40" s="35">
        <v>1960</v>
      </c>
      <c r="B40" s="35" t="s">
        <v>138</v>
      </c>
      <c r="C40" s="35" t="s">
        <v>139</v>
      </c>
      <c r="D40" s="35" t="s">
        <v>85</v>
      </c>
      <c r="E40" s="35" t="s">
        <v>140</v>
      </c>
      <c r="F40" s="35">
        <v>150</v>
      </c>
      <c r="G40" s="35" t="s">
        <v>49</v>
      </c>
      <c r="H40" s="36">
        <v>36477.25</v>
      </c>
      <c r="I40" s="37">
        <v>11.65</v>
      </c>
    </row>
    <row r="41" spans="1:13" x14ac:dyDescent="0.3">
      <c r="A41" s="35">
        <v>1964</v>
      </c>
      <c r="B41" s="35" t="s">
        <v>141</v>
      </c>
      <c r="C41" s="35" t="s">
        <v>142</v>
      </c>
      <c r="D41" s="35" t="s">
        <v>63</v>
      </c>
      <c r="E41" s="35" t="s">
        <v>143</v>
      </c>
      <c r="F41" s="35">
        <v>108</v>
      </c>
      <c r="G41" s="35" t="s">
        <v>60</v>
      </c>
      <c r="H41" s="36">
        <v>38307.25</v>
      </c>
      <c r="I41" s="37">
        <v>9.25</v>
      </c>
    </row>
    <row r="42" spans="1:13" x14ac:dyDescent="0.3">
      <c r="A42" s="35">
        <v>1975</v>
      </c>
      <c r="B42" s="35" t="s">
        <v>45</v>
      </c>
      <c r="C42" s="35" t="s">
        <v>144</v>
      </c>
      <c r="D42" s="35" t="s">
        <v>63</v>
      </c>
      <c r="E42" s="35" t="s">
        <v>145</v>
      </c>
      <c r="F42" s="35">
        <v>125</v>
      </c>
      <c r="G42" s="35" t="s">
        <v>60</v>
      </c>
      <c r="H42" s="36">
        <v>39873.25</v>
      </c>
      <c r="I42" s="37">
        <v>9.25</v>
      </c>
    </row>
    <row r="43" spans="1:13" x14ac:dyDescent="0.3">
      <c r="A43" s="35">
        <v>1983</v>
      </c>
      <c r="B43" s="35" t="s">
        <v>141</v>
      </c>
      <c r="C43" s="35" t="s">
        <v>146</v>
      </c>
      <c r="D43" s="35" t="s">
        <v>47</v>
      </c>
      <c r="E43" s="35" t="s">
        <v>147</v>
      </c>
      <c r="F43" s="35">
        <v>154</v>
      </c>
      <c r="G43" s="35" t="s">
        <v>49</v>
      </c>
      <c r="H43" s="36">
        <v>40357.25</v>
      </c>
      <c r="I43" s="37">
        <v>11</v>
      </c>
    </row>
    <row r="44" spans="1:13" x14ac:dyDescent="0.3">
      <c r="A44" s="35">
        <v>1990</v>
      </c>
      <c r="B44" s="35" t="s">
        <v>148</v>
      </c>
      <c r="C44" s="35" t="s">
        <v>149</v>
      </c>
      <c r="D44" s="35" t="s">
        <v>85</v>
      </c>
      <c r="E44" s="35" t="s">
        <v>150</v>
      </c>
      <c r="F44" s="35">
        <v>198</v>
      </c>
      <c r="G44" s="35" t="s">
        <v>49</v>
      </c>
      <c r="H44" s="36">
        <v>40588.25</v>
      </c>
      <c r="I44" s="37">
        <v>10.95</v>
      </c>
    </row>
    <row r="45" spans="1:13" x14ac:dyDescent="0.3">
      <c r="A45" s="35">
        <v>1995</v>
      </c>
      <c r="B45" s="35" t="s">
        <v>100</v>
      </c>
      <c r="C45" s="35" t="s">
        <v>151</v>
      </c>
      <c r="D45" s="35" t="s">
        <v>47</v>
      </c>
      <c r="E45" s="35" t="s">
        <v>152</v>
      </c>
      <c r="F45" s="35">
        <v>198</v>
      </c>
      <c r="G45" s="35" t="s">
        <v>49</v>
      </c>
      <c r="H45" s="36">
        <v>40603.25</v>
      </c>
      <c r="I45" s="37">
        <v>11.75</v>
      </c>
    </row>
    <row r="46" spans="1:13" x14ac:dyDescent="0.3">
      <c r="A46" s="35">
        <v>2006</v>
      </c>
      <c r="B46" s="35" t="s">
        <v>153</v>
      </c>
      <c r="C46" s="35" t="s">
        <v>154</v>
      </c>
      <c r="D46" s="35" t="s">
        <v>70</v>
      </c>
      <c r="E46" s="35" t="s">
        <v>155</v>
      </c>
      <c r="F46" s="35">
        <v>428</v>
      </c>
      <c r="G46" s="35" t="s">
        <v>72</v>
      </c>
      <c r="H46" s="36">
        <v>40729.25</v>
      </c>
      <c r="I46" s="37">
        <v>10.15</v>
      </c>
    </row>
  </sheetData>
  <mergeCells count="3">
    <mergeCell ref="A1:E2"/>
    <mergeCell ref="A7:I8"/>
    <mergeCell ref="Q8:U9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>
      <selection activeCell="C4" sqref="C4"/>
    </sheetView>
  </sheetViews>
  <sheetFormatPr defaultColWidth="9.109375" defaultRowHeight="14.4" x14ac:dyDescent="0.3"/>
  <cols>
    <col min="1" max="3" width="17" style="7" customWidth="1"/>
    <col min="4" max="4" width="9.109375" style="7"/>
    <col min="5" max="5" width="13.33203125" style="7" customWidth="1"/>
    <col min="6" max="6" width="14.33203125" style="7" customWidth="1"/>
    <col min="7" max="7" width="13.6640625" style="7" customWidth="1"/>
    <col min="8" max="10" width="9.109375" style="7"/>
    <col min="11" max="11" width="9.109375" style="7" customWidth="1"/>
    <col min="12" max="12" width="103.44140625" style="7" bestFit="1" customWidth="1"/>
    <col min="13" max="16384" width="9.109375" style="7"/>
  </cols>
  <sheetData>
    <row r="1" spans="1:12" ht="22.8" x14ac:dyDescent="0.4">
      <c r="A1" s="161" t="s">
        <v>156</v>
      </c>
      <c r="B1" s="161"/>
      <c r="C1" s="161"/>
      <c r="D1" s="161"/>
      <c r="E1" s="161"/>
      <c r="F1" s="161"/>
      <c r="G1" s="161"/>
    </row>
    <row r="2" spans="1:12" ht="15" thickBot="1" x14ac:dyDescent="0.35">
      <c r="L2" s="7" t="s">
        <v>297</v>
      </c>
    </row>
    <row r="3" spans="1:12" ht="19.8" thickBot="1" x14ac:dyDescent="0.4">
      <c r="A3" s="50" t="s">
        <v>157</v>
      </c>
      <c r="B3" s="50" t="s">
        <v>158</v>
      </c>
      <c r="C3" s="50" t="s">
        <v>159</v>
      </c>
      <c r="E3" s="156" t="s">
        <v>160</v>
      </c>
      <c r="F3" s="157"/>
      <c r="G3" s="158"/>
      <c r="L3" s="7" t="s">
        <v>303</v>
      </c>
    </row>
    <row r="4" spans="1:12" ht="15" thickBot="1" x14ac:dyDescent="0.35">
      <c r="A4" s="44" t="s">
        <v>161</v>
      </c>
      <c r="B4" s="45">
        <v>1200</v>
      </c>
      <c r="C4" s="46">
        <f>VLOOKUP(B4,$E$4:$G$10,IF($C$12="Standard",2,3))</f>
        <v>20</v>
      </c>
      <c r="E4" s="47" t="s">
        <v>158</v>
      </c>
      <c r="F4" s="34" t="s">
        <v>159</v>
      </c>
      <c r="G4" s="34" t="s">
        <v>162</v>
      </c>
      <c r="L4" s="7" t="s">
        <v>304</v>
      </c>
    </row>
    <row r="5" spans="1:12" ht="15" thickBot="1" x14ac:dyDescent="0.35">
      <c r="A5" s="44" t="s">
        <v>163</v>
      </c>
      <c r="B5" s="45">
        <v>1300</v>
      </c>
      <c r="C5" s="46">
        <f>VLOOKUP(B5,$E$4:$G$10,IF($C$12="Standard",2,3))</f>
        <v>20</v>
      </c>
      <c r="E5" s="48">
        <v>0</v>
      </c>
      <c r="F5" s="48">
        <v>0</v>
      </c>
      <c r="G5" s="48">
        <v>0</v>
      </c>
      <c r="L5" s="7" t="s">
        <v>305</v>
      </c>
    </row>
    <row r="6" spans="1:12" ht="15" thickBot="1" x14ac:dyDescent="0.35">
      <c r="A6" s="44" t="s">
        <v>164</v>
      </c>
      <c r="B6" s="45">
        <v>2500</v>
      </c>
      <c r="C6" s="46">
        <f t="shared" ref="C6:C10" si="0">VLOOKUP(B6,$E$4:$G$10,IF($C$12="Standard",2,3))</f>
        <v>150</v>
      </c>
      <c r="E6" s="48">
        <v>1000</v>
      </c>
      <c r="F6" s="48">
        <v>10</v>
      </c>
      <c r="G6" s="48">
        <v>20</v>
      </c>
      <c r="L6" s="145" t="s">
        <v>307</v>
      </c>
    </row>
    <row r="7" spans="1:12" ht="15" thickBot="1" x14ac:dyDescent="0.35">
      <c r="A7" s="44" t="s">
        <v>165</v>
      </c>
      <c r="B7" s="45">
        <v>850</v>
      </c>
      <c r="C7" s="46">
        <f t="shared" si="0"/>
        <v>0</v>
      </c>
      <c r="E7" s="48">
        <v>1500</v>
      </c>
      <c r="F7" s="48">
        <v>30</v>
      </c>
      <c r="G7" s="48">
        <v>50</v>
      </c>
      <c r="L7" s="7" t="s">
        <v>306</v>
      </c>
    </row>
    <row r="8" spans="1:12" ht="15" thickBot="1" x14ac:dyDescent="0.35">
      <c r="A8" s="44" t="s">
        <v>166</v>
      </c>
      <c r="B8" s="45">
        <v>3250</v>
      </c>
      <c r="C8" s="46">
        <f t="shared" si="0"/>
        <v>250</v>
      </c>
      <c r="E8" s="48">
        <v>2000</v>
      </c>
      <c r="F8" s="48">
        <v>85</v>
      </c>
      <c r="G8" s="48">
        <v>100</v>
      </c>
    </row>
    <row r="9" spans="1:12" ht="15" thickBot="1" x14ac:dyDescent="0.35">
      <c r="A9" s="44" t="s">
        <v>167</v>
      </c>
      <c r="B9" s="45">
        <v>1100</v>
      </c>
      <c r="C9" s="46">
        <f t="shared" si="0"/>
        <v>20</v>
      </c>
      <c r="E9" s="48">
        <v>2500</v>
      </c>
      <c r="F9" s="48">
        <v>125</v>
      </c>
      <c r="G9" s="48">
        <v>150</v>
      </c>
    </row>
    <row r="10" spans="1:12" ht="15" thickBot="1" x14ac:dyDescent="0.35">
      <c r="A10" s="44" t="s">
        <v>168</v>
      </c>
      <c r="B10" s="45">
        <v>4520</v>
      </c>
      <c r="C10" s="46">
        <f t="shared" si="0"/>
        <v>250</v>
      </c>
      <c r="E10" s="48">
        <v>3000</v>
      </c>
      <c r="F10" s="48">
        <v>200</v>
      </c>
      <c r="G10" s="48">
        <v>250</v>
      </c>
    </row>
    <row r="11" spans="1:12" ht="15" thickBot="1" x14ac:dyDescent="0.35">
      <c r="A11" s="53"/>
      <c r="B11" s="53"/>
      <c r="C11" s="53"/>
    </row>
    <row r="12" spans="1:12" ht="16.8" thickTop="1" thickBot="1" x14ac:dyDescent="0.35">
      <c r="A12" s="159" t="s">
        <v>169</v>
      </c>
      <c r="B12" s="160"/>
      <c r="C12" s="51" t="s">
        <v>162</v>
      </c>
    </row>
    <row r="13" spans="1:12" ht="15" customHeight="1" thickTop="1" x14ac:dyDescent="0.3">
      <c r="E13" s="49"/>
    </row>
  </sheetData>
  <mergeCells count="3">
    <mergeCell ref="E3:G3"/>
    <mergeCell ref="A12:B12"/>
    <mergeCell ref="A1:G1"/>
  </mergeCells>
  <phoneticPr fontId="9" type="noConversion"/>
  <dataValidations count="1">
    <dataValidation type="list" allowBlank="1" showInputMessage="1" showErrorMessage="1" errorTitle="Invalid Entry" error="Please select either &quot;Standard&quot; or &quot;Holiday&quot; from the provided drop down menu. " sqref="C12" xr:uid="{00000000-0002-0000-0300-000000000000}">
      <formula1>"Standard, Holiday"</formula1>
    </dataValidation>
  </dataValidations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2:K18"/>
  <sheetViews>
    <sheetView topLeftCell="A3" workbookViewId="0">
      <selection activeCell="H40" sqref="H40"/>
    </sheetView>
  </sheetViews>
  <sheetFormatPr defaultColWidth="9.109375" defaultRowHeight="13.8" x14ac:dyDescent="0.3"/>
  <cols>
    <col min="1" max="1" width="19.44140625" style="6" bestFit="1" customWidth="1"/>
    <col min="2" max="7" width="10.33203125" style="6" customWidth="1"/>
    <col min="8" max="10" width="9.109375" style="6"/>
    <col min="11" max="11" width="64.6640625" style="6" bestFit="1" customWidth="1"/>
    <col min="12" max="16384" width="9.109375" style="6"/>
  </cols>
  <sheetData>
    <row r="2" spans="1:11" x14ac:dyDescent="0.3">
      <c r="K2" s="6" t="s">
        <v>308</v>
      </c>
    </row>
    <row r="6" spans="1:11" ht="23.4" x14ac:dyDescent="0.45">
      <c r="A6" s="163" t="s">
        <v>170</v>
      </c>
      <c r="B6" s="164"/>
      <c r="C6" s="164"/>
      <c r="D6" s="164"/>
      <c r="E6" s="164"/>
      <c r="F6" s="164"/>
      <c r="G6" s="164"/>
    </row>
    <row r="8" spans="1:11" ht="22.5" customHeight="1" thickBot="1" x14ac:dyDescent="0.35">
      <c r="A8" s="162" t="s">
        <v>171</v>
      </c>
      <c r="B8" s="162"/>
    </row>
    <row r="9" spans="1:11" ht="15" thickTop="1" x14ac:dyDescent="0.3">
      <c r="A9" s="54" t="s">
        <v>172</v>
      </c>
      <c r="B9" s="55" t="s">
        <v>179</v>
      </c>
    </row>
    <row r="10" spans="1:11" ht="14.4" x14ac:dyDescent="0.3">
      <c r="A10" s="54" t="s">
        <v>174</v>
      </c>
      <c r="B10" s="23">
        <f>HLOOKUP($B$9,$A$15:$G$18,2,0)</f>
        <v>120</v>
      </c>
    </row>
    <row r="11" spans="1:11" ht="14.4" x14ac:dyDescent="0.3">
      <c r="A11" s="54" t="s">
        <v>175</v>
      </c>
      <c r="B11" s="23">
        <f>HLOOKUP($B$9,$A$15:$G$18,3,0)</f>
        <v>55</v>
      </c>
    </row>
    <row r="12" spans="1:11" ht="14.4" x14ac:dyDescent="0.3">
      <c r="A12" s="54" t="s">
        <v>176</v>
      </c>
      <c r="B12" s="23">
        <f>HLOOKUP($B$9,$A$15:$G$18,4,0)</f>
        <v>70</v>
      </c>
    </row>
    <row r="14" spans="1:11" ht="18.600000000000001" thickBot="1" x14ac:dyDescent="0.35">
      <c r="A14" s="162" t="s">
        <v>177</v>
      </c>
      <c r="B14" s="162"/>
      <c r="C14" s="162"/>
      <c r="D14" s="162"/>
      <c r="E14" s="162"/>
      <c r="F14" s="162"/>
      <c r="G14" s="162"/>
    </row>
    <row r="15" spans="1:11" ht="15" thickTop="1" x14ac:dyDescent="0.3">
      <c r="A15" s="54" t="s">
        <v>178</v>
      </c>
      <c r="B15" s="23" t="s">
        <v>179</v>
      </c>
      <c r="C15" s="56" t="s">
        <v>173</v>
      </c>
      <c r="D15" s="23" t="s">
        <v>180</v>
      </c>
      <c r="E15" s="56" t="s">
        <v>181</v>
      </c>
      <c r="F15" s="23" t="s">
        <v>182</v>
      </c>
      <c r="G15" s="56" t="s">
        <v>183</v>
      </c>
    </row>
    <row r="16" spans="1:11" ht="14.4" x14ac:dyDescent="0.3">
      <c r="A16" s="54" t="s">
        <v>174</v>
      </c>
      <c r="B16" s="23">
        <v>120</v>
      </c>
      <c r="C16" s="39">
        <v>150</v>
      </c>
      <c r="D16" s="23">
        <v>135</v>
      </c>
      <c r="E16" s="39">
        <v>90</v>
      </c>
      <c r="F16" s="23">
        <v>95</v>
      </c>
      <c r="G16" s="39">
        <v>140</v>
      </c>
    </row>
    <row r="17" spans="1:7" ht="14.4" x14ac:dyDescent="0.3">
      <c r="A17" s="54" t="s">
        <v>175</v>
      </c>
      <c r="B17" s="23">
        <v>55</v>
      </c>
      <c r="C17" s="39">
        <v>110</v>
      </c>
      <c r="D17" s="23">
        <v>75</v>
      </c>
      <c r="E17" s="39">
        <v>95</v>
      </c>
      <c r="F17" s="23">
        <v>75</v>
      </c>
      <c r="G17" s="39">
        <v>55</v>
      </c>
    </row>
    <row r="18" spans="1:7" ht="14.4" x14ac:dyDescent="0.3">
      <c r="A18" s="54" t="s">
        <v>176</v>
      </c>
      <c r="B18" s="23">
        <v>70</v>
      </c>
      <c r="C18" s="39">
        <v>115</v>
      </c>
      <c r="D18" s="23">
        <v>65</v>
      </c>
      <c r="E18" s="39">
        <v>55</v>
      </c>
      <c r="F18" s="23">
        <v>85</v>
      </c>
      <c r="G18" s="39">
        <v>65</v>
      </c>
    </row>
  </sheetData>
  <mergeCells count="3">
    <mergeCell ref="A8:B8"/>
    <mergeCell ref="A14:G14"/>
    <mergeCell ref="A6:G6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9"/>
  <dimension ref="A1:N62"/>
  <sheetViews>
    <sheetView zoomScaleNormal="100" workbookViewId="0">
      <selection activeCell="L43" sqref="L43"/>
    </sheetView>
  </sheetViews>
  <sheetFormatPr defaultColWidth="9.109375" defaultRowHeight="14.4" x14ac:dyDescent="0.3"/>
  <cols>
    <col min="1" max="1" width="1.109375" style="7" customWidth="1"/>
    <col min="2" max="2" width="9.44140625" style="7" customWidth="1"/>
    <col min="3" max="3" width="18.6640625" style="57" customWidth="1"/>
    <col min="4" max="4" width="14.44140625" style="57" customWidth="1"/>
    <col min="5" max="6" width="14.44140625" style="7" customWidth="1"/>
    <col min="7" max="7" width="16.109375" style="7" customWidth="1"/>
    <col min="8" max="8" width="3.44140625" style="7" customWidth="1"/>
    <col min="9" max="9" width="13.5546875" style="7" customWidth="1"/>
    <col min="10" max="10" width="15.6640625" style="7" bestFit="1" customWidth="1"/>
    <col min="11" max="11" width="15.33203125" style="7" customWidth="1"/>
    <col min="12" max="12" width="14.44140625" style="7" bestFit="1" customWidth="1"/>
    <col min="13" max="13" width="9.109375" style="7"/>
    <col min="14" max="14" width="90.21875" style="7" bestFit="1" customWidth="1"/>
    <col min="15" max="16384" width="9.109375" style="7"/>
  </cols>
  <sheetData>
    <row r="1" spans="1:14" ht="15" thickBot="1" x14ac:dyDescent="0.35"/>
    <row r="2" spans="1:14" ht="23.4" thickBot="1" x14ac:dyDescent="0.35">
      <c r="B2" s="165" t="s">
        <v>184</v>
      </c>
      <c r="C2" s="166"/>
      <c r="D2" s="166"/>
      <c r="E2" s="166"/>
      <c r="F2" s="166"/>
      <c r="G2" s="167"/>
      <c r="N2" s="7" t="s">
        <v>309</v>
      </c>
    </row>
    <row r="3" spans="1:14" x14ac:dyDescent="0.3">
      <c r="N3" s="7" t="s">
        <v>311</v>
      </c>
    </row>
    <row r="4" spans="1:14" ht="15.6" x14ac:dyDescent="0.3">
      <c r="B4" s="61" t="s">
        <v>185</v>
      </c>
      <c r="C4" s="61" t="s">
        <v>186</v>
      </c>
      <c r="D4" s="61" t="s">
        <v>187</v>
      </c>
      <c r="E4" s="61" t="s">
        <v>188</v>
      </c>
      <c r="F4" s="61" t="s">
        <v>189</v>
      </c>
      <c r="G4" s="62" t="s">
        <v>190</v>
      </c>
      <c r="N4" s="7" t="s">
        <v>312</v>
      </c>
    </row>
    <row r="5" spans="1:14" x14ac:dyDescent="0.3">
      <c r="A5" s="58"/>
      <c r="B5" s="63" t="s">
        <v>191</v>
      </c>
      <c r="C5" s="64" t="s">
        <v>192</v>
      </c>
      <c r="D5" s="66">
        <v>800</v>
      </c>
      <c r="E5" s="66">
        <v>650</v>
      </c>
      <c r="F5" s="66">
        <v>700</v>
      </c>
      <c r="G5" s="65">
        <f t="shared" ref="G5:G36" si="0">SUM(D5:F5)</f>
        <v>2150</v>
      </c>
      <c r="N5" s="7" t="s">
        <v>313</v>
      </c>
    </row>
    <row r="6" spans="1:14" ht="13.5" customHeight="1" x14ac:dyDescent="0.3">
      <c r="A6" s="58"/>
      <c r="B6" s="63" t="s">
        <v>191</v>
      </c>
      <c r="C6" s="64" t="s">
        <v>193</v>
      </c>
      <c r="D6" s="66">
        <v>900</v>
      </c>
      <c r="E6" s="66">
        <v>850</v>
      </c>
      <c r="F6" s="66">
        <v>850</v>
      </c>
      <c r="G6" s="65">
        <f t="shared" si="0"/>
        <v>2600</v>
      </c>
      <c r="J6" s="59"/>
      <c r="K6" s="59"/>
      <c r="L6" s="60"/>
      <c r="N6" s="7" t="s">
        <v>315</v>
      </c>
    </row>
    <row r="7" spans="1:14" ht="13.5" customHeight="1" x14ac:dyDescent="0.3">
      <c r="A7" s="58"/>
      <c r="B7" s="63" t="s">
        <v>191</v>
      </c>
      <c r="C7" s="64" t="s">
        <v>194</v>
      </c>
      <c r="D7" s="66">
        <v>4850</v>
      </c>
      <c r="E7" s="66">
        <v>3200</v>
      </c>
      <c r="F7" s="66">
        <v>1155</v>
      </c>
      <c r="G7" s="65">
        <f t="shared" si="0"/>
        <v>9205</v>
      </c>
      <c r="I7" s="67" t="s">
        <v>185</v>
      </c>
      <c r="J7" s="67" t="s">
        <v>186</v>
      </c>
      <c r="K7" s="67" t="s">
        <v>190</v>
      </c>
      <c r="L7" s="60"/>
      <c r="N7" s="7" t="s">
        <v>316</v>
      </c>
    </row>
    <row r="8" spans="1:14" ht="13.5" customHeight="1" x14ac:dyDescent="0.3">
      <c r="A8" s="58"/>
      <c r="B8" s="63" t="s">
        <v>191</v>
      </c>
      <c r="C8" s="64" t="s">
        <v>195</v>
      </c>
      <c r="D8" s="66">
        <v>1250</v>
      </c>
      <c r="E8" s="66">
        <v>1250</v>
      </c>
      <c r="F8" s="66">
        <v>1250</v>
      </c>
      <c r="G8" s="65">
        <f t="shared" si="0"/>
        <v>3750</v>
      </c>
      <c r="I8" s="41" t="s">
        <v>209</v>
      </c>
      <c r="J8" s="41" t="s">
        <v>196</v>
      </c>
      <c r="K8" s="42">
        <f>SUMIFS(Total_Expenses,Division,I8,Category,J8)</f>
        <v>3750</v>
      </c>
      <c r="L8" s="60" t="s">
        <v>319</v>
      </c>
      <c r="N8" s="7" t="s">
        <v>314</v>
      </c>
    </row>
    <row r="9" spans="1:14" ht="13.5" customHeight="1" x14ac:dyDescent="0.3">
      <c r="A9" s="58"/>
      <c r="B9" s="63" t="s">
        <v>191</v>
      </c>
      <c r="C9" s="64" t="s">
        <v>196</v>
      </c>
      <c r="D9" s="66">
        <v>2025</v>
      </c>
      <c r="E9" s="66">
        <v>2200</v>
      </c>
      <c r="F9" s="66">
        <v>1650</v>
      </c>
      <c r="G9" s="65">
        <f t="shared" si="0"/>
        <v>5875</v>
      </c>
      <c r="L9" s="60"/>
      <c r="N9" s="7" t="s">
        <v>317</v>
      </c>
    </row>
    <row r="10" spans="1:14" ht="13.5" customHeight="1" x14ac:dyDescent="0.3">
      <c r="A10" s="58"/>
      <c r="B10" s="63" t="s">
        <v>191</v>
      </c>
      <c r="C10" s="64" t="s">
        <v>197</v>
      </c>
      <c r="D10" s="66">
        <v>1350</v>
      </c>
      <c r="E10" s="66">
        <v>1500</v>
      </c>
      <c r="F10" s="66">
        <v>1700</v>
      </c>
      <c r="G10" s="65">
        <f t="shared" si="0"/>
        <v>4550</v>
      </c>
      <c r="N10" s="7" t="s">
        <v>320</v>
      </c>
    </row>
    <row r="11" spans="1:14" x14ac:dyDescent="0.3">
      <c r="A11" s="58"/>
      <c r="B11" s="63" t="s">
        <v>191</v>
      </c>
      <c r="C11" s="64" t="s">
        <v>198</v>
      </c>
      <c r="D11" s="66">
        <v>3300</v>
      </c>
      <c r="E11" s="66">
        <v>3500</v>
      </c>
      <c r="F11" s="66">
        <v>3700</v>
      </c>
      <c r="G11" s="65">
        <f t="shared" si="0"/>
        <v>10500</v>
      </c>
      <c r="N11" s="7" t="s">
        <v>321</v>
      </c>
    </row>
    <row r="12" spans="1:14" x14ac:dyDescent="0.3">
      <c r="A12" s="58"/>
      <c r="B12" s="63" t="s">
        <v>191</v>
      </c>
      <c r="C12" s="64" t="s">
        <v>199</v>
      </c>
      <c r="D12" s="66">
        <v>3825</v>
      </c>
      <c r="E12" s="66">
        <v>3725</v>
      </c>
      <c r="F12" s="66">
        <v>3750</v>
      </c>
      <c r="G12" s="65">
        <f t="shared" si="0"/>
        <v>11300</v>
      </c>
    </row>
    <row r="13" spans="1:14" ht="15.6" x14ac:dyDescent="0.3">
      <c r="A13" s="58"/>
      <c r="B13" s="63" t="s">
        <v>191</v>
      </c>
      <c r="C13" s="64" t="s">
        <v>200</v>
      </c>
      <c r="D13" s="66">
        <v>8900</v>
      </c>
      <c r="E13" s="66">
        <v>10315</v>
      </c>
      <c r="F13" s="66">
        <v>5250</v>
      </c>
      <c r="G13" s="65">
        <f t="shared" si="0"/>
        <v>24465</v>
      </c>
      <c r="I13" s="67" t="s">
        <v>186</v>
      </c>
      <c r="J13" s="67" t="s">
        <v>201</v>
      </c>
    </row>
    <row r="14" spans="1:14" x14ac:dyDescent="0.3">
      <c r="A14" s="58"/>
      <c r="B14" s="63" t="s">
        <v>191</v>
      </c>
      <c r="C14" s="64" t="s">
        <v>202</v>
      </c>
      <c r="D14" s="66">
        <v>6250</v>
      </c>
      <c r="E14" s="66">
        <v>6000</v>
      </c>
      <c r="F14" s="66">
        <v>6500</v>
      </c>
      <c r="G14" s="65">
        <f t="shared" si="0"/>
        <v>18750</v>
      </c>
      <c r="I14" s="41" t="s">
        <v>198</v>
      </c>
      <c r="J14" s="146">
        <f>SUMIF(Category,I14,Total_Expenses)</f>
        <v>25275</v>
      </c>
      <c r="K14" s="7" t="s">
        <v>310</v>
      </c>
    </row>
    <row r="15" spans="1:14" x14ac:dyDescent="0.3">
      <c r="A15" s="58"/>
      <c r="B15" s="63" t="s">
        <v>191</v>
      </c>
      <c r="C15" s="64" t="s">
        <v>203</v>
      </c>
      <c r="D15" s="66">
        <v>8000</v>
      </c>
      <c r="E15" s="66">
        <v>8000</v>
      </c>
      <c r="F15" s="66">
        <v>8000</v>
      </c>
      <c r="G15" s="65">
        <f t="shared" si="0"/>
        <v>24000</v>
      </c>
    </row>
    <row r="16" spans="1:14" x14ac:dyDescent="0.3">
      <c r="A16" s="58"/>
      <c r="B16" s="63" t="s">
        <v>191</v>
      </c>
      <c r="C16" s="64" t="s">
        <v>204</v>
      </c>
      <c r="D16" s="66">
        <v>11500</v>
      </c>
      <c r="E16" s="66">
        <v>12500</v>
      </c>
      <c r="F16" s="66">
        <v>12500</v>
      </c>
      <c r="G16" s="65">
        <f t="shared" si="0"/>
        <v>36500</v>
      </c>
    </row>
    <row r="17" spans="1:11" x14ac:dyDescent="0.3">
      <c r="A17" s="58"/>
      <c r="B17" s="63" t="s">
        <v>191</v>
      </c>
      <c r="C17" s="64" t="s">
        <v>205</v>
      </c>
      <c r="D17" s="66">
        <v>12250</v>
      </c>
      <c r="E17" s="66">
        <v>12250</v>
      </c>
      <c r="F17" s="66">
        <v>12750</v>
      </c>
      <c r="G17" s="65">
        <f t="shared" si="0"/>
        <v>37250</v>
      </c>
    </row>
    <row r="18" spans="1:11" x14ac:dyDescent="0.3">
      <c r="A18" s="58"/>
      <c r="B18" s="63" t="s">
        <v>191</v>
      </c>
      <c r="C18" s="64" t="s">
        <v>206</v>
      </c>
      <c r="D18" s="66">
        <v>25000</v>
      </c>
      <c r="E18" s="66">
        <v>24000</v>
      </c>
      <c r="F18" s="66">
        <v>26390</v>
      </c>
      <c r="G18" s="65">
        <f t="shared" si="0"/>
        <v>75390</v>
      </c>
    </row>
    <row r="19" spans="1:11" ht="15.6" x14ac:dyDescent="0.3">
      <c r="A19" s="58"/>
      <c r="B19" s="64" t="s">
        <v>207</v>
      </c>
      <c r="C19" s="64" t="s">
        <v>192</v>
      </c>
      <c r="D19" s="66">
        <v>800</v>
      </c>
      <c r="E19" s="66">
        <v>950</v>
      </c>
      <c r="F19" s="66">
        <v>750</v>
      </c>
      <c r="G19" s="65">
        <f t="shared" si="0"/>
        <v>2500</v>
      </c>
      <c r="I19" s="67" t="s">
        <v>186</v>
      </c>
      <c r="J19" s="67" t="s">
        <v>208</v>
      </c>
    </row>
    <row r="20" spans="1:11" x14ac:dyDescent="0.3">
      <c r="B20" s="64" t="s">
        <v>207</v>
      </c>
      <c r="C20" s="64" t="s">
        <v>195</v>
      </c>
      <c r="D20" s="66">
        <v>850</v>
      </c>
      <c r="E20" s="66">
        <v>750</v>
      </c>
      <c r="F20" s="66">
        <v>800</v>
      </c>
      <c r="G20" s="65">
        <f t="shared" si="0"/>
        <v>2400</v>
      </c>
      <c r="I20" s="41" t="s">
        <v>195</v>
      </c>
      <c r="J20" s="146">
        <f>AVERAGEIF(Category,I20,Total_Expenses)</f>
        <v>3706.25</v>
      </c>
      <c r="K20" s="7" t="s">
        <v>318</v>
      </c>
    </row>
    <row r="21" spans="1:11" x14ac:dyDescent="0.3">
      <c r="B21" s="64" t="s">
        <v>207</v>
      </c>
      <c r="C21" s="64" t="s">
        <v>197</v>
      </c>
      <c r="D21" s="66">
        <v>940</v>
      </c>
      <c r="E21" s="66">
        <v>950</v>
      </c>
      <c r="F21" s="66">
        <v>820</v>
      </c>
      <c r="G21" s="65">
        <f t="shared" si="0"/>
        <v>2710</v>
      </c>
    </row>
    <row r="22" spans="1:11" x14ac:dyDescent="0.3">
      <c r="B22" s="64" t="s">
        <v>207</v>
      </c>
      <c r="C22" s="64" t="s">
        <v>193</v>
      </c>
      <c r="D22" s="66">
        <v>980</v>
      </c>
      <c r="E22" s="66">
        <v>850</v>
      </c>
      <c r="F22" s="66">
        <v>950</v>
      </c>
      <c r="G22" s="65">
        <f t="shared" si="0"/>
        <v>2780</v>
      </c>
    </row>
    <row r="23" spans="1:11" x14ac:dyDescent="0.3">
      <c r="B23" s="64" t="s">
        <v>207</v>
      </c>
      <c r="C23" s="64" t="s">
        <v>200</v>
      </c>
      <c r="D23" s="66">
        <v>1250</v>
      </c>
      <c r="E23" s="66">
        <v>1250</v>
      </c>
      <c r="F23" s="66">
        <v>1250</v>
      </c>
      <c r="G23" s="65">
        <f t="shared" si="0"/>
        <v>3750</v>
      </c>
    </row>
    <row r="24" spans="1:11" x14ac:dyDescent="0.3">
      <c r="B24" s="64" t="s">
        <v>207</v>
      </c>
      <c r="C24" s="64" t="s">
        <v>196</v>
      </c>
      <c r="D24" s="66">
        <v>1150</v>
      </c>
      <c r="E24" s="66">
        <v>1255</v>
      </c>
      <c r="F24" s="66">
        <v>1400</v>
      </c>
      <c r="G24" s="65">
        <f t="shared" si="0"/>
        <v>3805</v>
      </c>
    </row>
    <row r="25" spans="1:11" x14ac:dyDescent="0.3">
      <c r="B25" s="64" t="s">
        <v>207</v>
      </c>
      <c r="C25" s="64" t="s">
        <v>198</v>
      </c>
      <c r="D25" s="66">
        <v>2410</v>
      </c>
      <c r="E25" s="66">
        <v>1850</v>
      </c>
      <c r="F25" s="66">
        <v>2390</v>
      </c>
      <c r="G25" s="65">
        <f t="shared" si="0"/>
        <v>6650</v>
      </c>
    </row>
    <row r="26" spans="1:11" x14ac:dyDescent="0.3">
      <c r="B26" s="64" t="s">
        <v>207</v>
      </c>
      <c r="C26" s="64" t="s">
        <v>199</v>
      </c>
      <c r="D26" s="66">
        <v>3200</v>
      </c>
      <c r="E26" s="66">
        <v>3760</v>
      </c>
      <c r="F26" s="66">
        <v>3750</v>
      </c>
      <c r="G26" s="65">
        <f t="shared" si="0"/>
        <v>10710</v>
      </c>
    </row>
    <row r="27" spans="1:11" x14ac:dyDescent="0.3">
      <c r="B27" s="64" t="s">
        <v>207</v>
      </c>
      <c r="C27" s="64" t="s">
        <v>194</v>
      </c>
      <c r="D27" s="66">
        <v>5000</v>
      </c>
      <c r="E27" s="66">
        <v>4800</v>
      </c>
      <c r="F27" s="66">
        <v>4500</v>
      </c>
      <c r="G27" s="65">
        <f t="shared" si="0"/>
        <v>14300</v>
      </c>
    </row>
    <row r="28" spans="1:11" x14ac:dyDescent="0.3">
      <c r="B28" s="64" t="s">
        <v>207</v>
      </c>
      <c r="C28" s="64" t="s">
        <v>202</v>
      </c>
      <c r="D28" s="66">
        <v>5250</v>
      </c>
      <c r="E28" s="66">
        <v>8990</v>
      </c>
      <c r="F28" s="66">
        <v>5515</v>
      </c>
      <c r="G28" s="65">
        <f t="shared" si="0"/>
        <v>19755</v>
      </c>
    </row>
    <row r="29" spans="1:11" x14ac:dyDescent="0.3">
      <c r="B29" s="64" t="s">
        <v>207</v>
      </c>
      <c r="C29" s="64" t="s">
        <v>203</v>
      </c>
      <c r="D29" s="66">
        <v>6020</v>
      </c>
      <c r="E29" s="66">
        <v>6020</v>
      </c>
      <c r="F29" s="66">
        <v>6020</v>
      </c>
      <c r="G29" s="65">
        <f t="shared" si="0"/>
        <v>18060</v>
      </c>
    </row>
    <row r="30" spans="1:11" x14ac:dyDescent="0.3">
      <c r="B30" s="64" t="s">
        <v>207</v>
      </c>
      <c r="C30" s="64" t="s">
        <v>204</v>
      </c>
      <c r="D30" s="66">
        <v>12940</v>
      </c>
      <c r="E30" s="66">
        <v>11300</v>
      </c>
      <c r="F30" s="66">
        <v>11500</v>
      </c>
      <c r="G30" s="65">
        <f t="shared" si="0"/>
        <v>35740</v>
      </c>
    </row>
    <row r="31" spans="1:11" x14ac:dyDescent="0.3">
      <c r="B31" s="64" t="s">
        <v>207</v>
      </c>
      <c r="C31" s="64" t="s">
        <v>205</v>
      </c>
      <c r="D31" s="66">
        <v>14250</v>
      </c>
      <c r="E31" s="66">
        <v>15250</v>
      </c>
      <c r="F31" s="66">
        <v>12050</v>
      </c>
      <c r="G31" s="65">
        <f t="shared" si="0"/>
        <v>41550</v>
      </c>
    </row>
    <row r="32" spans="1:11" x14ac:dyDescent="0.3">
      <c r="B32" s="64" t="s">
        <v>207</v>
      </c>
      <c r="C32" s="64" t="s">
        <v>206</v>
      </c>
      <c r="D32" s="66">
        <v>25700</v>
      </c>
      <c r="E32" s="66">
        <v>24200</v>
      </c>
      <c r="F32" s="66">
        <v>26930</v>
      </c>
      <c r="G32" s="65">
        <f t="shared" si="0"/>
        <v>76830</v>
      </c>
    </row>
    <row r="33" spans="2:7" x14ac:dyDescent="0.3">
      <c r="B33" s="64" t="s">
        <v>209</v>
      </c>
      <c r="C33" s="64" t="s">
        <v>195</v>
      </c>
      <c r="D33" s="66">
        <v>2140</v>
      </c>
      <c r="E33" s="66">
        <v>2310</v>
      </c>
      <c r="F33" s="66">
        <v>2000</v>
      </c>
      <c r="G33" s="65">
        <f t="shared" si="0"/>
        <v>6450</v>
      </c>
    </row>
    <row r="34" spans="2:7" x14ac:dyDescent="0.3">
      <c r="B34" s="64" t="s">
        <v>209</v>
      </c>
      <c r="C34" s="64" t="s">
        <v>192</v>
      </c>
      <c r="D34" s="66">
        <v>730</v>
      </c>
      <c r="E34" s="66">
        <v>525</v>
      </c>
      <c r="F34" s="66">
        <v>430</v>
      </c>
      <c r="G34" s="65">
        <f t="shared" si="0"/>
        <v>1685</v>
      </c>
    </row>
    <row r="35" spans="2:7" x14ac:dyDescent="0.3">
      <c r="B35" s="64" t="s">
        <v>209</v>
      </c>
      <c r="C35" s="64" t="s">
        <v>193</v>
      </c>
      <c r="D35" s="66">
        <v>700</v>
      </c>
      <c r="E35" s="66">
        <v>750</v>
      </c>
      <c r="F35" s="66">
        <v>750</v>
      </c>
      <c r="G35" s="65">
        <f t="shared" si="0"/>
        <v>2200</v>
      </c>
    </row>
    <row r="36" spans="2:7" x14ac:dyDescent="0.3">
      <c r="B36" s="64" t="s">
        <v>209</v>
      </c>
      <c r="C36" s="64" t="s">
        <v>197</v>
      </c>
      <c r="D36" s="66">
        <v>2000</v>
      </c>
      <c r="E36" s="66">
        <v>950</v>
      </c>
      <c r="F36" s="66">
        <v>800</v>
      </c>
      <c r="G36" s="65">
        <f t="shared" si="0"/>
        <v>3750</v>
      </c>
    </row>
    <row r="37" spans="2:7" x14ac:dyDescent="0.3">
      <c r="B37" s="64" t="s">
        <v>209</v>
      </c>
      <c r="C37" s="64" t="s">
        <v>198</v>
      </c>
      <c r="D37" s="66">
        <v>745</v>
      </c>
      <c r="E37" s="66">
        <v>780</v>
      </c>
      <c r="F37" s="66">
        <v>900</v>
      </c>
      <c r="G37" s="65">
        <f t="shared" ref="G37:G62" si="1">SUM(D37:F37)</f>
        <v>2425</v>
      </c>
    </row>
    <row r="38" spans="2:7" x14ac:dyDescent="0.3">
      <c r="B38" s="64" t="s">
        <v>209</v>
      </c>
      <c r="C38" s="64" t="s">
        <v>196</v>
      </c>
      <c r="D38" s="66">
        <v>1150</v>
      </c>
      <c r="E38" s="66">
        <v>1200</v>
      </c>
      <c r="F38" s="66">
        <v>1400</v>
      </c>
      <c r="G38" s="65">
        <f t="shared" si="1"/>
        <v>3750</v>
      </c>
    </row>
    <row r="39" spans="2:7" x14ac:dyDescent="0.3">
      <c r="B39" s="64" t="s">
        <v>209</v>
      </c>
      <c r="C39" s="64" t="s">
        <v>194</v>
      </c>
      <c r="D39" s="66">
        <v>2780</v>
      </c>
      <c r="E39" s="66">
        <v>3590</v>
      </c>
      <c r="F39" s="66">
        <v>2300</v>
      </c>
      <c r="G39" s="65">
        <f t="shared" si="1"/>
        <v>8670</v>
      </c>
    </row>
    <row r="40" spans="2:7" x14ac:dyDescent="0.3">
      <c r="B40" s="64" t="s">
        <v>209</v>
      </c>
      <c r="C40" s="64" t="s">
        <v>200</v>
      </c>
      <c r="D40" s="66">
        <v>3490</v>
      </c>
      <c r="E40" s="66">
        <v>32840</v>
      </c>
      <c r="F40" s="66">
        <v>3070</v>
      </c>
      <c r="G40" s="65">
        <f t="shared" si="1"/>
        <v>39400</v>
      </c>
    </row>
    <row r="41" spans="2:7" x14ac:dyDescent="0.3">
      <c r="B41" s="64" t="s">
        <v>209</v>
      </c>
      <c r="C41" s="64" t="s">
        <v>203</v>
      </c>
      <c r="D41" s="66">
        <v>4700</v>
      </c>
      <c r="E41" s="66">
        <v>4700</v>
      </c>
      <c r="F41" s="66">
        <v>4700</v>
      </c>
      <c r="G41" s="65">
        <f t="shared" si="1"/>
        <v>14100</v>
      </c>
    </row>
    <row r="42" spans="2:7" x14ac:dyDescent="0.3">
      <c r="B42" s="64" t="s">
        <v>209</v>
      </c>
      <c r="C42" s="64" t="s">
        <v>202</v>
      </c>
      <c r="D42" s="66">
        <v>5250</v>
      </c>
      <c r="E42" s="66">
        <v>5000</v>
      </c>
      <c r="F42" s="66">
        <v>5500</v>
      </c>
      <c r="G42" s="65">
        <f t="shared" si="1"/>
        <v>15750</v>
      </c>
    </row>
    <row r="43" spans="2:7" x14ac:dyDescent="0.3">
      <c r="B43" s="64" t="s">
        <v>209</v>
      </c>
      <c r="C43" s="64" t="s">
        <v>199</v>
      </c>
      <c r="D43" s="66">
        <v>6980</v>
      </c>
      <c r="E43" s="66">
        <v>6310</v>
      </c>
      <c r="F43" s="66">
        <v>6375</v>
      </c>
      <c r="G43" s="65">
        <f t="shared" si="1"/>
        <v>19665</v>
      </c>
    </row>
    <row r="44" spans="2:7" x14ac:dyDescent="0.3">
      <c r="B44" s="64" t="s">
        <v>209</v>
      </c>
      <c r="C44" s="64" t="s">
        <v>205</v>
      </c>
      <c r="D44" s="66">
        <v>11250</v>
      </c>
      <c r="E44" s="66">
        <v>11250</v>
      </c>
      <c r="F44" s="66">
        <v>11750</v>
      </c>
      <c r="G44" s="65">
        <f t="shared" si="1"/>
        <v>34250</v>
      </c>
    </row>
    <row r="45" spans="2:7" x14ac:dyDescent="0.3">
      <c r="B45" s="64" t="s">
        <v>209</v>
      </c>
      <c r="C45" s="64" t="s">
        <v>204</v>
      </c>
      <c r="D45" s="66">
        <v>24500</v>
      </c>
      <c r="E45" s="66">
        <v>23500</v>
      </c>
      <c r="F45" s="66">
        <v>24500</v>
      </c>
      <c r="G45" s="65">
        <f t="shared" si="1"/>
        <v>72500</v>
      </c>
    </row>
    <row r="46" spans="2:7" x14ac:dyDescent="0.3">
      <c r="B46" s="64" t="s">
        <v>209</v>
      </c>
      <c r="C46" s="64" t="s">
        <v>210</v>
      </c>
      <c r="D46" s="66">
        <v>56900</v>
      </c>
      <c r="E46" s="66">
        <v>62800</v>
      </c>
      <c r="F46" s="66">
        <v>60870</v>
      </c>
      <c r="G46" s="65">
        <f t="shared" si="1"/>
        <v>180570</v>
      </c>
    </row>
    <row r="47" spans="2:7" x14ac:dyDescent="0.3">
      <c r="B47" s="64" t="s">
        <v>209</v>
      </c>
      <c r="C47" s="64" t="s">
        <v>206</v>
      </c>
      <c r="D47" s="66">
        <v>24290</v>
      </c>
      <c r="E47" s="66">
        <v>24050</v>
      </c>
      <c r="F47" s="66">
        <v>26600</v>
      </c>
      <c r="G47" s="65">
        <f t="shared" si="1"/>
        <v>74940</v>
      </c>
    </row>
    <row r="48" spans="2:7" x14ac:dyDescent="0.3">
      <c r="B48" s="64" t="s">
        <v>211</v>
      </c>
      <c r="C48" s="64" t="s">
        <v>195</v>
      </c>
      <c r="D48" s="66">
        <v>775</v>
      </c>
      <c r="E48" s="66">
        <v>750</v>
      </c>
      <c r="F48" s="66">
        <v>700</v>
      </c>
      <c r="G48" s="65">
        <f t="shared" si="1"/>
        <v>2225</v>
      </c>
    </row>
    <row r="49" spans="2:7" x14ac:dyDescent="0.3">
      <c r="B49" s="64" t="s">
        <v>211</v>
      </c>
      <c r="C49" s="64" t="s">
        <v>193</v>
      </c>
      <c r="D49" s="66">
        <v>700</v>
      </c>
      <c r="E49" s="66">
        <v>750</v>
      </c>
      <c r="F49" s="66">
        <v>750</v>
      </c>
      <c r="G49" s="65">
        <f t="shared" si="1"/>
        <v>2200</v>
      </c>
    </row>
    <row r="50" spans="2:7" x14ac:dyDescent="0.3">
      <c r="B50" s="64" t="s">
        <v>211</v>
      </c>
      <c r="C50" s="64" t="s">
        <v>192</v>
      </c>
      <c r="D50" s="66">
        <v>300</v>
      </c>
      <c r="E50" s="66">
        <v>100</v>
      </c>
      <c r="F50" s="66">
        <v>150</v>
      </c>
      <c r="G50" s="65">
        <f t="shared" si="1"/>
        <v>550</v>
      </c>
    </row>
    <row r="51" spans="2:7" x14ac:dyDescent="0.3">
      <c r="B51" s="64" t="s">
        <v>211</v>
      </c>
      <c r="C51" s="64" t="s">
        <v>198</v>
      </c>
      <c r="D51" s="66">
        <v>2000</v>
      </c>
      <c r="E51" s="66">
        <v>1800</v>
      </c>
      <c r="F51" s="66">
        <v>1900</v>
      </c>
      <c r="G51" s="65">
        <f t="shared" si="1"/>
        <v>5700</v>
      </c>
    </row>
    <row r="52" spans="2:7" x14ac:dyDescent="0.3">
      <c r="B52" s="64" t="s">
        <v>211</v>
      </c>
      <c r="C52" s="64" t="s">
        <v>197</v>
      </c>
      <c r="D52" s="66">
        <v>2000</v>
      </c>
      <c r="E52" s="66">
        <v>950</v>
      </c>
      <c r="F52" s="66">
        <v>800</v>
      </c>
      <c r="G52" s="65">
        <f t="shared" si="1"/>
        <v>3750</v>
      </c>
    </row>
    <row r="53" spans="2:7" x14ac:dyDescent="0.3">
      <c r="B53" s="64" t="s">
        <v>211</v>
      </c>
      <c r="C53" s="64" t="s">
        <v>200</v>
      </c>
      <c r="D53" s="66">
        <v>1250</v>
      </c>
      <c r="E53" s="66">
        <v>1250</v>
      </c>
      <c r="F53" s="66">
        <v>1250</v>
      </c>
      <c r="G53" s="65">
        <f t="shared" si="1"/>
        <v>3750</v>
      </c>
    </row>
    <row r="54" spans="2:7" x14ac:dyDescent="0.3">
      <c r="B54" s="64" t="s">
        <v>211</v>
      </c>
      <c r="C54" s="64" t="s">
        <v>196</v>
      </c>
      <c r="D54" s="66">
        <v>1150</v>
      </c>
      <c r="E54" s="66">
        <v>1200</v>
      </c>
      <c r="F54" s="66">
        <v>1435</v>
      </c>
      <c r="G54" s="65">
        <f t="shared" si="1"/>
        <v>3785</v>
      </c>
    </row>
    <row r="55" spans="2:7" x14ac:dyDescent="0.3">
      <c r="B55" s="64" t="s">
        <v>211</v>
      </c>
      <c r="C55" s="64" t="s">
        <v>199</v>
      </c>
      <c r="D55" s="66">
        <v>3800</v>
      </c>
      <c r="E55" s="66">
        <v>3700</v>
      </c>
      <c r="F55" s="66">
        <v>3750</v>
      </c>
      <c r="G55" s="65">
        <f t="shared" si="1"/>
        <v>11250</v>
      </c>
    </row>
    <row r="56" spans="2:7" x14ac:dyDescent="0.3">
      <c r="B56" s="64" t="s">
        <v>211</v>
      </c>
      <c r="C56" s="64" t="s">
        <v>194</v>
      </c>
      <c r="D56" s="66">
        <v>5000</v>
      </c>
      <c r="E56" s="66">
        <v>4800</v>
      </c>
      <c r="F56" s="66">
        <v>4545</v>
      </c>
      <c r="G56" s="65">
        <f t="shared" si="1"/>
        <v>14345</v>
      </c>
    </row>
    <row r="57" spans="2:7" x14ac:dyDescent="0.3">
      <c r="B57" s="64" t="s">
        <v>211</v>
      </c>
      <c r="C57" s="64" t="s">
        <v>203</v>
      </c>
      <c r="D57" s="66">
        <v>5000</v>
      </c>
      <c r="E57" s="66">
        <v>5000</v>
      </c>
      <c r="F57" s="66">
        <v>5000</v>
      </c>
      <c r="G57" s="65">
        <f t="shared" si="1"/>
        <v>15000</v>
      </c>
    </row>
    <row r="58" spans="2:7" x14ac:dyDescent="0.3">
      <c r="B58" s="64" t="s">
        <v>211</v>
      </c>
      <c r="C58" s="64" t="s">
        <v>202</v>
      </c>
      <c r="D58" s="66">
        <v>5250</v>
      </c>
      <c r="E58" s="66">
        <v>5335</v>
      </c>
      <c r="F58" s="66">
        <v>5500</v>
      </c>
      <c r="G58" s="65">
        <f t="shared" si="1"/>
        <v>16085</v>
      </c>
    </row>
    <row r="59" spans="2:7" x14ac:dyDescent="0.3">
      <c r="B59" s="64" t="s">
        <v>211</v>
      </c>
      <c r="C59" s="64" t="s">
        <v>205</v>
      </c>
      <c r="D59" s="66">
        <v>10250</v>
      </c>
      <c r="E59" s="66">
        <v>10250</v>
      </c>
      <c r="F59" s="66">
        <v>10750</v>
      </c>
      <c r="G59" s="65">
        <f t="shared" si="1"/>
        <v>31250</v>
      </c>
    </row>
    <row r="60" spans="2:7" x14ac:dyDescent="0.3">
      <c r="B60" s="64" t="s">
        <v>211</v>
      </c>
      <c r="C60" s="64" t="s">
        <v>204</v>
      </c>
      <c r="D60" s="66">
        <v>14500</v>
      </c>
      <c r="E60" s="66">
        <v>13500</v>
      </c>
      <c r="F60" s="66">
        <v>15500</v>
      </c>
      <c r="G60" s="65">
        <f t="shared" si="1"/>
        <v>43500</v>
      </c>
    </row>
    <row r="61" spans="2:7" x14ac:dyDescent="0.3">
      <c r="B61" s="64" t="s">
        <v>211</v>
      </c>
      <c r="C61" s="64" t="s">
        <v>210</v>
      </c>
      <c r="D61" s="66">
        <v>72000</v>
      </c>
      <c r="E61" s="66">
        <v>70000</v>
      </c>
      <c r="F61" s="66">
        <v>70000</v>
      </c>
      <c r="G61" s="65">
        <f t="shared" si="1"/>
        <v>212000</v>
      </c>
    </row>
    <row r="62" spans="2:7" x14ac:dyDescent="0.3">
      <c r="B62" s="64" t="s">
        <v>211</v>
      </c>
      <c r="C62" s="64" t="s">
        <v>206</v>
      </c>
      <c r="D62" s="66">
        <v>25000</v>
      </c>
      <c r="E62" s="66">
        <v>24000</v>
      </c>
      <c r="F62" s="66">
        <v>26000</v>
      </c>
      <c r="G62" s="65">
        <f t="shared" si="1"/>
        <v>75000</v>
      </c>
    </row>
  </sheetData>
  <mergeCells count="1">
    <mergeCell ref="B2:G2"/>
  </mergeCells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2:L21"/>
  <sheetViews>
    <sheetView workbookViewId="0">
      <selection activeCell="J6" sqref="J6"/>
    </sheetView>
  </sheetViews>
  <sheetFormatPr defaultColWidth="9.109375" defaultRowHeight="14.4" x14ac:dyDescent="0.3"/>
  <cols>
    <col min="1" max="1" width="5.44140625" style="7" customWidth="1"/>
    <col min="2" max="2" width="12" style="7" customWidth="1"/>
    <col min="3" max="3" width="13.5546875" style="7" customWidth="1"/>
    <col min="4" max="4" width="3.109375" style="7" customWidth="1"/>
    <col min="5" max="5" width="22.5546875" style="7" bestFit="1" customWidth="1"/>
    <col min="6" max="6" width="5.109375" style="7" customWidth="1"/>
    <col min="7" max="8" width="9.109375" style="7"/>
    <col min="9" max="9" width="16.88671875" style="7" bestFit="1" customWidth="1"/>
    <col min="10" max="11" width="9.109375" style="7"/>
    <col min="12" max="12" width="46.88671875" style="7" bestFit="1" customWidth="1"/>
    <col min="13" max="16384" width="9.109375" style="7"/>
  </cols>
  <sheetData>
    <row r="2" spans="1:12" x14ac:dyDescent="0.3">
      <c r="A2" s="68"/>
      <c r="B2" s="69"/>
      <c r="C2" s="69"/>
      <c r="D2" s="69"/>
      <c r="E2" s="69"/>
      <c r="F2" s="70"/>
      <c r="H2" s="71"/>
      <c r="I2" s="72"/>
      <c r="J2" s="73"/>
      <c r="L2" s="7" t="s">
        <v>323</v>
      </c>
    </row>
    <row r="3" spans="1:12" x14ac:dyDescent="0.3">
      <c r="A3" s="74"/>
      <c r="B3" s="75"/>
      <c r="C3" s="75"/>
      <c r="D3" s="75"/>
      <c r="E3" s="75"/>
      <c r="F3" s="76"/>
      <c r="H3" s="74"/>
      <c r="I3" s="75"/>
      <c r="J3" s="76"/>
      <c r="L3" s="7" t="s">
        <v>324</v>
      </c>
    </row>
    <row r="4" spans="1:12" ht="15.6" x14ac:dyDescent="0.3">
      <c r="A4" s="74"/>
      <c r="B4" s="83" t="s">
        <v>36</v>
      </c>
      <c r="C4" s="83" t="s">
        <v>37</v>
      </c>
      <c r="D4" s="75"/>
      <c r="E4" s="87" t="s">
        <v>212</v>
      </c>
      <c r="F4" s="77"/>
      <c r="H4" s="84" t="s">
        <v>213</v>
      </c>
      <c r="I4" s="85" t="s">
        <v>214</v>
      </c>
      <c r="J4" s="86" t="s">
        <v>215</v>
      </c>
    </row>
    <row r="5" spans="1:12" x14ac:dyDescent="0.3">
      <c r="A5" s="74"/>
      <c r="B5" s="82" t="s">
        <v>45</v>
      </c>
      <c r="C5" s="82" t="s">
        <v>46</v>
      </c>
      <c r="D5" s="75"/>
      <c r="E5" s="34" t="str">
        <f>CONCATENATE(B5," ",C5)</f>
        <v>Smith Howard</v>
      </c>
      <c r="F5" s="77"/>
      <c r="H5" s="78" t="str">
        <f>LEFT(I8,5)</f>
        <v>Never</v>
      </c>
      <c r="I5" s="78" t="str">
        <f>MID(I8,6,3)</f>
        <v>the</v>
      </c>
      <c r="J5" s="78" t="str">
        <f>RIGHT(I8,4)</f>
        <v>less</v>
      </c>
    </row>
    <row r="6" spans="1:12" x14ac:dyDescent="0.3">
      <c r="A6" s="74"/>
      <c r="B6" s="82" t="s">
        <v>50</v>
      </c>
      <c r="C6" s="82" t="s">
        <v>51</v>
      </c>
      <c r="D6" s="75"/>
      <c r="E6" s="34" t="str">
        <f t="shared" ref="E6:E20" si="0">CONCATENATE(B6," ",C6)</f>
        <v>Gonzales Joe</v>
      </c>
      <c r="F6" s="77"/>
      <c r="H6" s="74"/>
      <c r="I6" s="75"/>
      <c r="J6" s="76"/>
    </row>
    <row r="7" spans="1:12" x14ac:dyDescent="0.3">
      <c r="A7" s="74"/>
      <c r="B7" s="82" t="s">
        <v>53</v>
      </c>
      <c r="C7" s="82" t="s">
        <v>54</v>
      </c>
      <c r="D7" s="75"/>
      <c r="E7" s="34" t="str">
        <f t="shared" si="0"/>
        <v>Scote Gail</v>
      </c>
      <c r="F7" s="77"/>
      <c r="H7" s="74"/>
      <c r="I7" s="75"/>
      <c r="J7" s="76"/>
    </row>
    <row r="8" spans="1:12" ht="20.399999999999999" thickBot="1" x14ac:dyDescent="0.45">
      <c r="A8" s="74"/>
      <c r="B8" s="82" t="s">
        <v>56</v>
      </c>
      <c r="C8" s="82" t="s">
        <v>57</v>
      </c>
      <c r="D8" s="75"/>
      <c r="E8" s="34" t="str">
        <f t="shared" si="0"/>
        <v>Kane Sheryl</v>
      </c>
      <c r="F8" s="77"/>
      <c r="H8" s="74"/>
      <c r="I8" s="88" t="s">
        <v>216</v>
      </c>
      <c r="J8" s="76"/>
    </row>
    <row r="9" spans="1:12" ht="15" thickTop="1" x14ac:dyDescent="0.3">
      <c r="A9" s="74"/>
      <c r="B9" s="82" t="s">
        <v>61</v>
      </c>
      <c r="C9" s="82" t="s">
        <v>62</v>
      </c>
      <c r="D9" s="75"/>
      <c r="E9" s="34" t="str">
        <f t="shared" si="0"/>
        <v>Hapsbuch Kendrick</v>
      </c>
      <c r="F9" s="77"/>
      <c r="H9" s="74"/>
      <c r="I9" s="75"/>
      <c r="J9" s="76"/>
    </row>
    <row r="10" spans="1:12" x14ac:dyDescent="0.3">
      <c r="A10" s="74"/>
      <c r="B10" s="82" t="s">
        <v>65</v>
      </c>
      <c r="C10" s="82" t="s">
        <v>66</v>
      </c>
      <c r="D10" s="75"/>
      <c r="E10" s="34" t="str">
        <f t="shared" si="0"/>
        <v>Henders Mark</v>
      </c>
      <c r="F10" s="77"/>
      <c r="H10" s="74"/>
      <c r="I10" s="75"/>
      <c r="J10" s="76"/>
    </row>
    <row r="11" spans="1:12" x14ac:dyDescent="0.3">
      <c r="A11" s="74"/>
      <c r="B11" s="82" t="s">
        <v>68</v>
      </c>
      <c r="C11" s="82" t="s">
        <v>69</v>
      </c>
      <c r="D11" s="75"/>
      <c r="E11" s="34" t="str">
        <f t="shared" si="0"/>
        <v>Atherton Katie</v>
      </c>
      <c r="F11" s="77"/>
      <c r="H11" s="74"/>
      <c r="I11" s="75"/>
      <c r="J11" s="76"/>
    </row>
    <row r="12" spans="1:12" x14ac:dyDescent="0.3">
      <c r="A12" s="74"/>
      <c r="B12" s="82" t="s">
        <v>73</v>
      </c>
      <c r="C12" s="82" t="s">
        <v>74</v>
      </c>
      <c r="D12" s="75"/>
      <c r="E12" s="34" t="str">
        <f t="shared" si="0"/>
        <v>Bellwood Frank</v>
      </c>
      <c r="F12" s="77"/>
      <c r="H12" s="74"/>
      <c r="I12" s="75"/>
      <c r="J12" s="76"/>
    </row>
    <row r="13" spans="1:12" x14ac:dyDescent="0.3">
      <c r="A13" s="74"/>
      <c r="B13" s="82" t="s">
        <v>77</v>
      </c>
      <c r="C13" s="82" t="s">
        <v>78</v>
      </c>
      <c r="D13" s="75"/>
      <c r="E13" s="34" t="str">
        <f t="shared" si="0"/>
        <v>Cooper Linda</v>
      </c>
      <c r="F13" s="77"/>
      <c r="H13" s="74"/>
      <c r="I13" s="75"/>
      <c r="J13" s="76"/>
    </row>
    <row r="14" spans="1:12" x14ac:dyDescent="0.3">
      <c r="A14" s="74"/>
      <c r="B14" s="82" t="s">
        <v>80</v>
      </c>
      <c r="C14" s="82" t="s">
        <v>81</v>
      </c>
      <c r="D14" s="75"/>
      <c r="E14" s="34" t="str">
        <f t="shared" si="0"/>
        <v>Cronwith Brent</v>
      </c>
      <c r="F14" s="77"/>
      <c r="H14" s="74"/>
      <c r="I14" s="75"/>
      <c r="J14" s="76"/>
    </row>
    <row r="15" spans="1:12" x14ac:dyDescent="0.3">
      <c r="A15" s="74"/>
      <c r="B15" s="82" t="s">
        <v>83</v>
      </c>
      <c r="C15" s="82" t="s">
        <v>84</v>
      </c>
      <c r="D15" s="75"/>
      <c r="E15" s="34" t="str">
        <f t="shared" si="0"/>
        <v>Simpson Sandrae</v>
      </c>
      <c r="F15" s="77"/>
      <c r="H15" s="74"/>
      <c r="I15" s="75"/>
      <c r="J15" s="76"/>
    </row>
    <row r="16" spans="1:12" x14ac:dyDescent="0.3">
      <c r="A16" s="74"/>
      <c r="B16" s="82" t="s">
        <v>217</v>
      </c>
      <c r="C16" s="82" t="s">
        <v>87</v>
      </c>
      <c r="D16" s="75"/>
      <c r="E16" s="34" t="str">
        <f t="shared" si="0"/>
        <v>Sindole Randy</v>
      </c>
      <c r="F16" s="77"/>
      <c r="H16" s="74"/>
      <c r="I16" s="75"/>
      <c r="J16" s="76"/>
    </row>
    <row r="17" spans="1:10" x14ac:dyDescent="0.3">
      <c r="A17" s="74"/>
      <c r="B17" s="82" t="s">
        <v>45</v>
      </c>
      <c r="C17" s="82" t="s">
        <v>89</v>
      </c>
      <c r="D17" s="75"/>
      <c r="E17" s="34" t="str">
        <f t="shared" si="0"/>
        <v>Smith Ellen</v>
      </c>
      <c r="F17" s="77"/>
      <c r="H17" s="74"/>
      <c r="I17" s="75"/>
      <c r="J17" s="76"/>
    </row>
    <row r="18" spans="1:10" x14ac:dyDescent="0.3">
      <c r="A18" s="74"/>
      <c r="B18" s="82" t="s">
        <v>91</v>
      </c>
      <c r="C18" s="82" t="s">
        <v>92</v>
      </c>
      <c r="D18" s="75"/>
      <c r="E18" s="34" t="str">
        <f t="shared" si="0"/>
        <v>Vuanuo Tuome</v>
      </c>
      <c r="F18" s="77"/>
      <c r="H18" s="74"/>
      <c r="I18" s="75"/>
      <c r="J18" s="76"/>
    </row>
    <row r="19" spans="1:10" x14ac:dyDescent="0.3">
      <c r="A19" s="74"/>
      <c r="B19" s="82" t="s">
        <v>94</v>
      </c>
      <c r="C19" s="82" t="s">
        <v>95</v>
      </c>
      <c r="D19" s="75"/>
      <c r="E19" s="34" t="str">
        <f t="shared" si="0"/>
        <v>Szcznyck Tadeuz</v>
      </c>
      <c r="F19" s="77"/>
      <c r="H19" s="74"/>
      <c r="I19" s="75"/>
      <c r="J19" s="76"/>
    </row>
    <row r="20" spans="1:10" x14ac:dyDescent="0.3">
      <c r="A20" s="74"/>
      <c r="B20" s="82" t="s">
        <v>97</v>
      </c>
      <c r="C20" s="82" t="s">
        <v>98</v>
      </c>
      <c r="D20" s="75"/>
      <c r="E20" s="34" t="str">
        <f t="shared" si="0"/>
        <v>Wu Tammy</v>
      </c>
      <c r="F20" s="76"/>
      <c r="H20" s="74"/>
      <c r="I20" s="75"/>
      <c r="J20" s="76"/>
    </row>
    <row r="21" spans="1:10" x14ac:dyDescent="0.3">
      <c r="A21" s="79"/>
      <c r="B21" s="80"/>
      <c r="C21" s="80"/>
      <c r="D21" s="80"/>
      <c r="E21" s="80"/>
      <c r="F21" s="81"/>
      <c r="H21" s="79"/>
      <c r="I21" s="80"/>
      <c r="J21" s="8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/>
  <dimension ref="A1:Q25"/>
  <sheetViews>
    <sheetView workbookViewId="0">
      <selection activeCell="J41" sqref="J41"/>
    </sheetView>
  </sheetViews>
  <sheetFormatPr defaultColWidth="9.109375" defaultRowHeight="14.4" x14ac:dyDescent="0.3"/>
  <cols>
    <col min="1" max="1" width="4.88671875" style="7" customWidth="1"/>
    <col min="2" max="2" width="24.44140625" style="7" customWidth="1"/>
    <col min="3" max="3" width="11.109375" style="7" customWidth="1"/>
    <col min="4" max="4" width="12.44140625" style="7" customWidth="1"/>
    <col min="5" max="5" width="12.44140625" style="7" bestFit="1" customWidth="1"/>
    <col min="6" max="6" width="12.44140625" style="7" customWidth="1"/>
    <col min="7" max="7" width="1" customWidth="1"/>
    <col min="8" max="8" width="1" style="7" customWidth="1"/>
    <col min="9" max="9" width="4.88671875" style="7" customWidth="1"/>
    <col min="10" max="10" width="18.33203125" style="7" customWidth="1"/>
    <col min="11" max="11" width="12.44140625" style="7" customWidth="1"/>
    <col min="12" max="12" width="9.44140625" style="7" bestFit="1" customWidth="1"/>
    <col min="13" max="14" width="13.33203125" style="7" bestFit="1" customWidth="1"/>
    <col min="15" max="16" width="9.109375" style="7"/>
    <col min="17" max="17" width="45.77734375" style="7" bestFit="1" customWidth="1"/>
    <col min="18" max="16384" width="9.109375" style="7"/>
  </cols>
  <sheetData>
    <row r="1" spans="1:17" ht="22.8" x14ac:dyDescent="0.4">
      <c r="A1" s="170" t="s">
        <v>218</v>
      </c>
      <c r="B1" s="170"/>
      <c r="C1" s="170"/>
      <c r="D1" s="170"/>
      <c r="E1" s="170"/>
      <c r="F1" s="170"/>
      <c r="Q1" s="7" t="s">
        <v>357</v>
      </c>
    </row>
    <row r="2" spans="1:17" x14ac:dyDescent="0.3">
      <c r="Q2" s="7" t="s">
        <v>358</v>
      </c>
    </row>
    <row r="3" spans="1:17" x14ac:dyDescent="0.3">
      <c r="B3" s="89" t="s">
        <v>219</v>
      </c>
      <c r="C3" s="98">
        <v>8000</v>
      </c>
      <c r="Q3" s="121"/>
    </row>
    <row r="4" spans="1:17" x14ac:dyDescent="0.3">
      <c r="B4" s="89" t="s">
        <v>220</v>
      </c>
      <c r="C4" s="103">
        <v>0.14199999999999999</v>
      </c>
    </row>
    <row r="5" spans="1:17" ht="28.8" x14ac:dyDescent="0.3">
      <c r="B5" s="90" t="s">
        <v>221</v>
      </c>
      <c r="C5" s="99">
        <v>48</v>
      </c>
    </row>
    <row r="6" spans="1:17" x14ac:dyDescent="0.3">
      <c r="C6" s="91"/>
    </row>
    <row r="7" spans="1:17" ht="20.399999999999999" thickBot="1" x14ac:dyDescent="0.45">
      <c r="B7" s="100" t="s">
        <v>222</v>
      </c>
      <c r="J7" s="100" t="s">
        <v>223</v>
      </c>
    </row>
    <row r="8" spans="1:17" ht="15" thickTop="1" x14ac:dyDescent="0.3">
      <c r="C8" s="101">
        <f>PMT($C$4/12,$C$5,$C$3)</f>
        <v>-219.41526806553765</v>
      </c>
      <c r="K8" s="101">
        <f>PMT($C$4/12,$C$5,$C$3)</f>
        <v>-219.41526806553765</v>
      </c>
    </row>
    <row r="9" spans="1:17" ht="15" customHeight="1" x14ac:dyDescent="0.3">
      <c r="A9" s="168" t="s">
        <v>224</v>
      </c>
      <c r="B9" s="92">
        <v>0.12</v>
      </c>
      <c r="C9" s="42">
        <f t="dataTable" ref="C9:C15" dt2D="0" dtr="0" r1="C4"/>
        <v>-210.67068345542211</v>
      </c>
      <c r="I9" s="168" t="s">
        <v>225</v>
      </c>
      <c r="J9" s="97">
        <v>12</v>
      </c>
      <c r="K9" s="42">
        <f t="dataTable" ref="K9:K15" dt2D="0" dtr="0" r1="C5" ca="1"/>
        <v>-719.04998717477383</v>
      </c>
    </row>
    <row r="10" spans="1:17" x14ac:dyDescent="0.3">
      <c r="A10" s="168"/>
      <c r="B10" s="92">
        <v>0.125</v>
      </c>
      <c r="C10" s="42">
        <v>-212.63999113416949</v>
      </c>
      <c r="I10" s="168"/>
      <c r="J10" s="97">
        <v>24</v>
      </c>
      <c r="K10" s="42">
        <v>-384.85936078792571</v>
      </c>
    </row>
    <row r="11" spans="1:17" x14ac:dyDescent="0.3">
      <c r="A11" s="168"/>
      <c r="B11" s="92">
        <v>0.13</v>
      </c>
      <c r="C11" s="42">
        <v>-214.61996715011915</v>
      </c>
      <c r="I11" s="168"/>
      <c r="J11" s="97">
        <v>36</v>
      </c>
      <c r="K11" s="42">
        <v>-274.19878644379071</v>
      </c>
    </row>
    <row r="12" spans="1:17" x14ac:dyDescent="0.3">
      <c r="A12" s="168"/>
      <c r="B12" s="92">
        <v>0.13500000000000001</v>
      </c>
      <c r="C12" s="42">
        <v>-216.61058362840123</v>
      </c>
      <c r="I12" s="168"/>
      <c r="J12" s="97">
        <v>48</v>
      </c>
      <c r="K12" s="42">
        <v>-219.41526806553765</v>
      </c>
    </row>
    <row r="13" spans="1:17" x14ac:dyDescent="0.3">
      <c r="A13" s="168"/>
      <c r="B13" s="92">
        <v>0.14000000000000001</v>
      </c>
      <c r="C13" s="42">
        <v>-218.61181196037529</v>
      </c>
      <c r="I13" s="168"/>
      <c r="J13" s="97">
        <v>60</v>
      </c>
      <c r="K13" s="42">
        <v>-186.97654609160867</v>
      </c>
    </row>
    <row r="14" spans="1:17" x14ac:dyDescent="0.3">
      <c r="A14" s="168"/>
      <c r="B14" s="92">
        <v>0.14499999999999999</v>
      </c>
      <c r="C14" s="42">
        <v>-220.62362281190843</v>
      </c>
      <c r="I14" s="168"/>
      <c r="J14" s="97">
        <v>72</v>
      </c>
      <c r="K14" s="42">
        <v>-165.70388628241494</v>
      </c>
    </row>
    <row r="15" spans="1:17" x14ac:dyDescent="0.3">
      <c r="A15" s="168"/>
      <c r="B15" s="92">
        <v>0.15</v>
      </c>
      <c r="C15" s="42">
        <v>-222.64598613180999</v>
      </c>
      <c r="I15" s="168"/>
      <c r="J15" s="97">
        <v>84</v>
      </c>
      <c r="K15" s="42">
        <v>-150.80534943754768</v>
      </c>
    </row>
    <row r="16" spans="1:17" x14ac:dyDescent="0.3">
      <c r="A16" s="104"/>
      <c r="B16" s="53"/>
    </row>
    <row r="17" spans="1:14" ht="20.399999999999999" thickBot="1" x14ac:dyDescent="0.45">
      <c r="B17" s="100" t="s">
        <v>222</v>
      </c>
      <c r="C17" s="169" t="s">
        <v>225</v>
      </c>
      <c r="D17" s="169"/>
      <c r="E17" s="169"/>
      <c r="F17" s="169"/>
      <c r="H17" s="94"/>
      <c r="J17" s="100" t="s">
        <v>223</v>
      </c>
      <c r="K17" s="169" t="s">
        <v>224</v>
      </c>
      <c r="L17" s="169"/>
      <c r="M17" s="169"/>
      <c r="N17" s="169"/>
    </row>
    <row r="18" spans="1:14" ht="15.75" customHeight="1" thickTop="1" x14ac:dyDescent="0.3">
      <c r="B18" s="101">
        <f>PMT($C$4/12,$C$5,$C$3)</f>
        <v>-219.41526806553765</v>
      </c>
      <c r="C18" s="93">
        <v>190</v>
      </c>
      <c r="D18" s="93">
        <v>240</v>
      </c>
      <c r="E18" s="93">
        <v>360</v>
      </c>
      <c r="F18" s="93">
        <v>420</v>
      </c>
      <c r="H18" s="95"/>
      <c r="J18" s="101">
        <f>PMT($C$4/12,$C$5,$C$3)</f>
        <v>-219.41526806553765</v>
      </c>
      <c r="K18" s="92">
        <v>0.16</v>
      </c>
      <c r="L18" s="92">
        <v>0.16500000000000001</v>
      </c>
      <c r="M18" s="92">
        <v>0.17</v>
      </c>
      <c r="N18" s="92">
        <v>0.17499999999999999</v>
      </c>
    </row>
    <row r="19" spans="1:14" x14ac:dyDescent="0.3">
      <c r="A19" s="168" t="s">
        <v>224</v>
      </c>
      <c r="B19" s="92">
        <v>0.12</v>
      </c>
      <c r="C19" s="102">
        <f t="dataTable" ref="C19:F25" dt2D="1" dtr="1" r1="C5" r2="C4" ca="1"/>
        <v>-94.227039126976877</v>
      </c>
      <c r="D19" s="102">
        <v>-88.086890685568804</v>
      </c>
      <c r="E19" s="102">
        <v>-82.289007754040355</v>
      </c>
      <c r="F19" s="102">
        <v>-81.243982338173197</v>
      </c>
      <c r="H19" s="96"/>
      <c r="I19" s="168" t="s">
        <v>225</v>
      </c>
      <c r="J19" s="97">
        <v>12</v>
      </c>
      <c r="K19" s="102">
        <f t="dataTable" ref="K19:N25" dt2D="1" dtr="1" r1="C4" r2="C5" ca="1"/>
        <v>-725.84686287366389</v>
      </c>
      <c r="L19" s="102">
        <v>-727.74109208947129</v>
      </c>
      <c r="M19" s="102">
        <v>-729.63801662701337</v>
      </c>
      <c r="N19" s="102">
        <v>-731.53763438455644</v>
      </c>
    </row>
    <row r="20" spans="1:14" x14ac:dyDescent="0.3">
      <c r="A20" s="168"/>
      <c r="B20" s="92">
        <v>0.125</v>
      </c>
      <c r="C20" s="102">
        <v>-96.854876488090341</v>
      </c>
      <c r="D20" s="102">
        <v>-90.891243977149557</v>
      </c>
      <c r="E20" s="102">
        <v>-85.380620987852765</v>
      </c>
      <c r="F20" s="102">
        <v>-84.420351090858034</v>
      </c>
      <c r="H20" s="96"/>
      <c r="I20" s="168"/>
      <c r="J20" s="97">
        <v>24</v>
      </c>
      <c r="K20" s="102">
        <v>-391.70488414088038</v>
      </c>
      <c r="L20" s="102">
        <v>-393.61881067103087</v>
      </c>
      <c r="M20" s="102">
        <v>-395.53811268397288</v>
      </c>
      <c r="N20" s="102">
        <v>-397.46278335217761</v>
      </c>
    </row>
    <row r="21" spans="1:14" x14ac:dyDescent="0.3">
      <c r="A21" s="168"/>
      <c r="B21" s="92">
        <v>0.13</v>
      </c>
      <c r="C21" s="102">
        <v>-99.512497904907292</v>
      </c>
      <c r="D21" s="102">
        <v>-93.72605690226429</v>
      </c>
      <c r="E21" s="102">
        <v>-88.495961541324888</v>
      </c>
      <c r="F21" s="102">
        <v>-87.615451379913807</v>
      </c>
      <c r="H21" s="96"/>
      <c r="I21" s="168"/>
      <c r="J21" s="97">
        <v>36</v>
      </c>
      <c r="K21" s="102">
        <v>-281.25626429080074</v>
      </c>
      <c r="L21" s="102">
        <v>-283.23506040018378</v>
      </c>
      <c r="M21" s="102">
        <v>-285.22182021395741</v>
      </c>
      <c r="N21" s="102">
        <v>-287.21652714039465</v>
      </c>
    </row>
    <row r="22" spans="1:14" x14ac:dyDescent="0.3">
      <c r="A22" s="168"/>
      <c r="B22" s="92">
        <v>0.13500000000000001</v>
      </c>
      <c r="C22" s="102">
        <v>-102.19902670229202</v>
      </c>
      <c r="D22" s="102">
        <v>-96.589974637528712</v>
      </c>
      <c r="E22" s="102">
        <v>-91.632974186579531</v>
      </c>
      <c r="F22" s="102">
        <v>-90.827240097740884</v>
      </c>
      <c r="H22" s="96"/>
      <c r="I22" s="168"/>
      <c r="J22" s="97">
        <v>48</v>
      </c>
      <c r="K22" s="102">
        <v>-226.72224643833496</v>
      </c>
      <c r="L22" s="102">
        <v>-228.7760798153021</v>
      </c>
      <c r="M22" s="102">
        <v>-230.84033845921806</v>
      </c>
      <c r="N22" s="102">
        <v>-232.91498886528711</v>
      </c>
    </row>
    <row r="23" spans="1:14" x14ac:dyDescent="0.3">
      <c r="A23" s="168"/>
      <c r="B23" s="92">
        <v>0.14000000000000001</v>
      </c>
      <c r="C23" s="102">
        <v>-104.91358495169072</v>
      </c>
      <c r="D23" s="102">
        <v>-99.481664882819075</v>
      </c>
      <c r="E23" s="102">
        <v>-94.789740084522762</v>
      </c>
      <c r="F23" s="102">
        <v>-94.053862465504153</v>
      </c>
      <c r="H23" s="96"/>
      <c r="I23" s="168"/>
      <c r="J23" s="97">
        <v>60</v>
      </c>
      <c r="K23" s="102">
        <v>-194.54445693087305</v>
      </c>
      <c r="L23" s="102">
        <v>-196.67616877057847</v>
      </c>
      <c r="M23" s="102">
        <v>-198.82060613704616</v>
      </c>
      <c r="N23" s="102">
        <v>-200.9777098147776</v>
      </c>
    </row>
    <row r="24" spans="1:14" x14ac:dyDescent="0.3">
      <c r="A24" s="168"/>
      <c r="B24" s="92">
        <v>0.14499999999999999</v>
      </c>
      <c r="C24" s="102">
        <v>-107.65529564888701</v>
      </c>
      <c r="D24" s="102">
        <v>-102.39982130943335</v>
      </c>
      <c r="E24" s="102">
        <v>-97.964474222481698</v>
      </c>
      <c r="F24" s="102">
        <v>-97.293640992153314</v>
      </c>
      <c r="H24" s="96"/>
      <c r="I24" s="168"/>
      <c r="J24" s="97">
        <v>72</v>
      </c>
      <c r="K24" s="102">
        <v>-173.53472480919118</v>
      </c>
      <c r="L24" s="102">
        <v>-175.74446997590024</v>
      </c>
      <c r="M24" s="102">
        <v>-177.96904918473095</v>
      </c>
      <c r="N24" s="102">
        <v>-180.20836761856657</v>
      </c>
    </row>
    <row r="25" spans="1:14" x14ac:dyDescent="0.3">
      <c r="A25" s="168"/>
      <c r="B25" s="92">
        <v>0.15</v>
      </c>
      <c r="C25" s="102">
        <v>-110.42328478101818</v>
      </c>
      <c r="D25" s="102">
        <v>-105.34316660693099</v>
      </c>
      <c r="E25" s="102">
        <v>-101.15552172520346</v>
      </c>
      <c r="F25" s="102">
        <v>-100.54506382771727</v>
      </c>
      <c r="H25" s="96"/>
      <c r="I25" s="168"/>
      <c r="J25" s="97">
        <v>84</v>
      </c>
      <c r="K25" s="102">
        <v>-158.89651154910413</v>
      </c>
      <c r="L25" s="102">
        <v>-161.18311236318394</v>
      </c>
      <c r="M25" s="102">
        <v>-163.48643894209604</v>
      </c>
      <c r="N25" s="102">
        <v>-165.80635049230915</v>
      </c>
    </row>
  </sheetData>
  <mergeCells count="7">
    <mergeCell ref="A19:A25"/>
    <mergeCell ref="I19:I25"/>
    <mergeCell ref="K17:N17"/>
    <mergeCell ref="I9:I15"/>
    <mergeCell ref="A1:F1"/>
    <mergeCell ref="C17:F17"/>
    <mergeCell ref="A9:A15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4"/>
  <sheetViews>
    <sheetView tabSelected="1" zoomScale="85" zoomScaleNormal="85" workbookViewId="0">
      <selection activeCell="E11" sqref="E11"/>
    </sheetView>
  </sheetViews>
  <sheetFormatPr defaultColWidth="9.109375" defaultRowHeight="14.4" x14ac:dyDescent="0.3"/>
  <cols>
    <col min="1" max="1" width="35.88671875" style="7" bestFit="1" customWidth="1"/>
    <col min="2" max="2" width="17.33203125" style="7" customWidth="1"/>
    <col min="3" max="3" width="15.6640625" style="7" customWidth="1"/>
    <col min="4" max="4" width="17.33203125" style="7" customWidth="1"/>
    <col min="5" max="5" width="34.109375" style="7" customWidth="1"/>
    <col min="6" max="6" width="9.109375" style="7"/>
    <col min="7" max="7" width="72.21875" style="7" bestFit="1" customWidth="1"/>
    <col min="8" max="8" width="17.44140625" style="7" bestFit="1" customWidth="1"/>
    <col min="9" max="16384" width="9.109375" style="7"/>
  </cols>
  <sheetData>
    <row r="1" spans="1:9" ht="22.8" x14ac:dyDescent="0.4">
      <c r="A1" s="161" t="s">
        <v>226</v>
      </c>
      <c r="B1" s="161"/>
      <c r="C1" s="161"/>
      <c r="D1" s="161"/>
      <c r="E1" s="161"/>
      <c r="G1" s="7" t="s">
        <v>359</v>
      </c>
      <c r="H1" s="7" t="s">
        <v>367</v>
      </c>
      <c r="I1" s="178" t="s">
        <v>368</v>
      </c>
    </row>
    <row r="2" spans="1:9" x14ac:dyDescent="0.3">
      <c r="G2" s="7" t="s">
        <v>360</v>
      </c>
    </row>
    <row r="3" spans="1:9" ht="20.399999999999999" thickBot="1" x14ac:dyDescent="0.35">
      <c r="A3" s="38"/>
      <c r="B3" s="107" t="s">
        <v>227</v>
      </c>
      <c r="C3" s="107" t="s">
        <v>228</v>
      </c>
      <c r="D3" s="107" t="s">
        <v>229</v>
      </c>
      <c r="E3" s="38"/>
      <c r="G3" s="7" t="s">
        <v>361</v>
      </c>
    </row>
    <row r="4" spans="1:9" ht="19.2" thickTop="1" thickBot="1" x14ac:dyDescent="0.4">
      <c r="A4" s="108" t="s">
        <v>230</v>
      </c>
      <c r="B4" s="52">
        <v>50</v>
      </c>
      <c r="C4" s="109">
        <v>3.25</v>
      </c>
      <c r="D4" s="112">
        <f>B4*C4</f>
        <v>162.5</v>
      </c>
      <c r="E4" s="38"/>
      <c r="G4" s="7" t="s">
        <v>362</v>
      </c>
    </row>
    <row r="5" spans="1:9" ht="19.2" thickTop="1" thickBot="1" x14ac:dyDescent="0.4">
      <c r="A5" s="108" t="s">
        <v>231</v>
      </c>
      <c r="B5" s="52">
        <v>200</v>
      </c>
      <c r="C5" s="110">
        <v>4</v>
      </c>
      <c r="D5" s="112">
        <f>B5*C5</f>
        <v>800</v>
      </c>
      <c r="E5" s="38"/>
      <c r="G5" s="7" t="s">
        <v>363</v>
      </c>
    </row>
    <row r="6" spans="1:9" ht="19.2" thickTop="1" thickBot="1" x14ac:dyDescent="0.4">
      <c r="A6" s="108" t="s">
        <v>232</v>
      </c>
      <c r="B6" s="52">
        <v>50</v>
      </c>
      <c r="C6" s="110">
        <v>2.75</v>
      </c>
      <c r="D6" s="112">
        <f>B6*C6</f>
        <v>137.5</v>
      </c>
      <c r="E6" s="38"/>
      <c r="G6" s="7" t="s">
        <v>364</v>
      </c>
    </row>
    <row r="7" spans="1:9" ht="19.2" thickTop="1" thickBot="1" x14ac:dyDescent="0.4">
      <c r="A7" s="108" t="s">
        <v>233</v>
      </c>
      <c r="B7" s="52">
        <v>100</v>
      </c>
      <c r="C7" s="111">
        <v>4.25</v>
      </c>
      <c r="D7" s="112">
        <f>B7*C7</f>
        <v>425</v>
      </c>
      <c r="E7" s="38"/>
      <c r="G7" s="178" t="s">
        <v>365</v>
      </c>
    </row>
    <row r="8" spans="1:9" ht="15.6" thickTop="1" thickBot="1" x14ac:dyDescent="0.35">
      <c r="A8" s="105"/>
      <c r="B8" s="106">
        <f>SUM(B4:B7)</f>
        <v>400</v>
      </c>
      <c r="C8" s="38"/>
      <c r="D8" s="112">
        <f>SUM(D4:D7)</f>
        <v>1525</v>
      </c>
      <c r="E8" s="38"/>
      <c r="G8" s="178" t="s">
        <v>366</v>
      </c>
    </row>
    <row r="9" spans="1:9" ht="15" thickTop="1" x14ac:dyDescent="0.3">
      <c r="A9" s="38"/>
      <c r="B9" s="113" t="s">
        <v>234</v>
      </c>
      <c r="C9" s="38"/>
      <c r="D9" s="113" t="s">
        <v>235</v>
      </c>
      <c r="E9" s="38"/>
      <c r="G9" s="7" t="s">
        <v>369</v>
      </c>
    </row>
    <row r="10" spans="1:9" x14ac:dyDescent="0.3">
      <c r="B10" s="38"/>
      <c r="C10" s="38"/>
      <c r="D10" s="38"/>
      <c r="G10" s="7" t="s">
        <v>370</v>
      </c>
    </row>
    <row r="11" spans="1:9" ht="20.399999999999999" thickBot="1" x14ac:dyDescent="0.45">
      <c r="A11"/>
      <c r="B11" s="114" t="s">
        <v>236</v>
      </c>
      <c r="C11" s="38"/>
      <c r="D11" s="114" t="s">
        <v>237</v>
      </c>
      <c r="E11"/>
      <c r="G11" s="7" t="s">
        <v>371</v>
      </c>
    </row>
    <row r="12" spans="1:9" ht="15" thickTop="1" x14ac:dyDescent="0.3">
      <c r="A12"/>
      <c r="B12" s="38"/>
      <c r="C12" s="38"/>
      <c r="D12" s="38"/>
      <c r="E12"/>
      <c r="G12" s="194" t="s">
        <v>372</v>
      </c>
    </row>
    <row r="13" spans="1:9" ht="19.5" customHeight="1" x14ac:dyDescent="0.3">
      <c r="A13"/>
      <c r="B13" s="38"/>
      <c r="C13" s="38"/>
      <c r="D13" s="38"/>
      <c r="E13"/>
      <c r="G13" s="7" t="s">
        <v>373</v>
      </c>
    </row>
    <row r="14" spans="1:9" x14ac:dyDescent="0.3">
      <c r="A14"/>
      <c r="B14" s="38"/>
      <c r="C14" s="38"/>
      <c r="D14" s="38"/>
      <c r="E14"/>
      <c r="G14" s="7" t="s">
        <v>374</v>
      </c>
    </row>
    <row r="15" spans="1:9" x14ac:dyDescent="0.3">
      <c r="A15"/>
      <c r="B15" s="38"/>
      <c r="C15" s="38"/>
      <c r="D15" s="38"/>
      <c r="E15"/>
      <c r="G15" s="7" t="s">
        <v>375</v>
      </c>
    </row>
    <row r="16" spans="1:9" ht="36" customHeight="1" x14ac:dyDescent="0.3">
      <c r="A16"/>
      <c r="B16" s="38"/>
      <c r="C16" s="38"/>
      <c r="D16" s="38"/>
      <c r="E16"/>
      <c r="G16" s="7" t="s">
        <v>377</v>
      </c>
    </row>
    <row r="17" spans="1:7" x14ac:dyDescent="0.3">
      <c r="A17" s="38"/>
      <c r="B17" s="38"/>
      <c r="C17" s="38"/>
      <c r="D17" s="38"/>
      <c r="E17" s="38"/>
      <c r="G17" s="7" t="s">
        <v>376</v>
      </c>
    </row>
    <row r="18" spans="1:7" x14ac:dyDescent="0.3">
      <c r="A18" s="38"/>
      <c r="B18" s="38"/>
      <c r="C18" s="38"/>
      <c r="D18" s="38"/>
      <c r="E18" s="38"/>
      <c r="G18" s="7" t="s">
        <v>378</v>
      </c>
    </row>
    <row r="19" spans="1:7" x14ac:dyDescent="0.3">
      <c r="A19" s="38"/>
      <c r="B19" s="38"/>
      <c r="C19" s="38"/>
      <c r="D19" s="38"/>
      <c r="E19" s="38"/>
      <c r="G19" s="7" t="s">
        <v>379</v>
      </c>
    </row>
    <row r="20" spans="1:7" x14ac:dyDescent="0.3">
      <c r="A20" s="38"/>
      <c r="B20" s="38"/>
      <c r="C20" s="38"/>
      <c r="D20" s="38"/>
      <c r="E20" s="38"/>
      <c r="G20" s="7" t="s">
        <v>380</v>
      </c>
    </row>
    <row r="21" spans="1:7" x14ac:dyDescent="0.3">
      <c r="A21" s="38"/>
      <c r="B21" s="7" t="s">
        <v>336</v>
      </c>
      <c r="C21" s="38"/>
      <c r="D21" s="38"/>
      <c r="E21" s="38"/>
    </row>
    <row r="22" spans="1:7" x14ac:dyDescent="0.3">
      <c r="A22" s="38"/>
      <c r="B22" s="38"/>
      <c r="C22" s="38"/>
      <c r="D22" s="38"/>
      <c r="E22" s="38"/>
    </row>
    <row r="23" spans="1:7" x14ac:dyDescent="0.3">
      <c r="A23" s="38"/>
      <c r="B23" s="38"/>
      <c r="C23" s="38"/>
      <c r="D23" s="38"/>
      <c r="E23" s="38"/>
    </row>
    <row r="24" spans="1:7" x14ac:dyDescent="0.3">
      <c r="A24" s="38"/>
      <c r="B24" s="38"/>
      <c r="C24" s="38"/>
      <c r="D24" s="38"/>
      <c r="E24" s="38"/>
    </row>
  </sheetData>
  <scenarios current="0">
    <scenario name="Example1" count="4" user="Royal Catrin" comment="Created by Royal Catrin on 9/30/2021">
      <inputCells r="B4" val="50"/>
      <inputCells r="B5" val="200"/>
      <inputCells r="B6" val="50"/>
      <inputCells r="B7" val="100"/>
    </scenario>
    <scenario name="Exampl1" count="4" user="Royal Catrin" comment="Created by Royal Catrin on 9/30/2021">
      <inputCells r="B4" val="50"/>
      <inputCells r="B5" val="200"/>
      <inputCells r="B6" val="50"/>
      <inputCells r="B7" val="100"/>
    </scenario>
  </scenarios>
  <mergeCells count="1">
    <mergeCell ref="A1:E1"/>
  </mergeCells>
  <phoneticPr fontId="0" type="noConversion"/>
  <hyperlinks>
    <hyperlink ref="G7" r:id="rId1" xr:uid="{2F7BEC8F-6C19-4BCB-B827-4BBB087DC9A3}"/>
    <hyperlink ref="G8" r:id="rId2" xr:uid="{FEB2919C-0B32-42D9-8E9C-BA23A9DB663A}"/>
    <hyperlink ref="I1" r:id="rId3" xr:uid="{C08F4598-6C1A-4621-8F32-5C02AB012C6A}"/>
  </hyperlinks>
  <pageMargins left="0.75" right="0.75" top="1" bottom="1" header="0.5" footer="0.5"/>
  <pageSetup orientation="portrait" horizontalDpi="300" verticalDpi="300" r:id="rId4"/>
  <headerFooter alignWithMargins="0"/>
  <legacy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7"/>
  <dimension ref="A1:K12"/>
  <sheetViews>
    <sheetView workbookViewId="0">
      <selection activeCell="K3" sqref="K3"/>
    </sheetView>
  </sheetViews>
  <sheetFormatPr defaultColWidth="9.109375" defaultRowHeight="14.4" x14ac:dyDescent="0.3"/>
  <cols>
    <col min="1" max="1" width="25.44140625" style="115" customWidth="1"/>
    <col min="2" max="2" width="10.109375" style="115" customWidth="1"/>
    <col min="3" max="3" width="10.5546875" style="115" customWidth="1"/>
    <col min="4" max="4" width="10.33203125" style="115" customWidth="1"/>
    <col min="5" max="5" width="9.33203125" style="115" customWidth="1"/>
    <col min="6" max="6" width="8.88671875" style="115" customWidth="1"/>
    <col min="7" max="7" width="20.44140625" style="115" customWidth="1"/>
    <col min="8" max="8" width="22.88671875" style="115" bestFit="1" customWidth="1"/>
    <col min="9" max="10" width="9.109375" style="115"/>
    <col min="11" max="11" width="31.109375" style="115" bestFit="1" customWidth="1"/>
    <col min="12" max="16384" width="9.109375" style="115"/>
  </cols>
  <sheetData>
    <row r="1" spans="1:11" ht="31.5" customHeight="1" x14ac:dyDescent="0.3">
      <c r="A1" s="171" t="s">
        <v>238</v>
      </c>
      <c r="B1" s="171"/>
      <c r="C1" s="171"/>
      <c r="D1" s="171"/>
      <c r="E1" s="171"/>
      <c r="F1" s="171"/>
      <c r="G1" s="171"/>
      <c r="H1" s="171"/>
    </row>
    <row r="2" spans="1:11" ht="15.75" customHeight="1" thickBot="1" x14ac:dyDescent="0.35">
      <c r="A2" s="116"/>
      <c r="B2" s="116"/>
      <c r="C2" s="116"/>
      <c r="D2" s="116"/>
      <c r="E2" s="116"/>
      <c r="F2" s="116"/>
      <c r="G2" s="143"/>
      <c r="H2" s="143"/>
      <c r="I2" s="116"/>
      <c r="K2" s="115" t="s">
        <v>335</v>
      </c>
    </row>
    <row r="3" spans="1:11" ht="15.6" x14ac:dyDescent="0.3">
      <c r="A3" s="119" t="s">
        <v>239</v>
      </c>
      <c r="B3" s="119" t="s">
        <v>240</v>
      </c>
      <c r="C3" s="119" t="s">
        <v>241</v>
      </c>
      <c r="D3" s="119" t="s">
        <v>242</v>
      </c>
      <c r="E3" s="119" t="s">
        <v>243</v>
      </c>
      <c r="F3" s="38"/>
      <c r="G3" s="127" t="s">
        <v>244</v>
      </c>
      <c r="H3" s="128" t="s">
        <v>245</v>
      </c>
      <c r="I3" s="116"/>
      <c r="K3" s="115" t="s">
        <v>333</v>
      </c>
    </row>
    <row r="4" spans="1:11" ht="15.6" x14ac:dyDescent="0.3">
      <c r="A4" s="120" t="s">
        <v>246</v>
      </c>
      <c r="B4" s="117">
        <v>92</v>
      </c>
      <c r="C4" s="117">
        <v>20</v>
      </c>
      <c r="D4" s="117">
        <v>92</v>
      </c>
      <c r="E4" s="117">
        <v>92</v>
      </c>
      <c r="F4" s="38"/>
      <c r="G4" s="131">
        <v>1.75</v>
      </c>
      <c r="H4" s="112">
        <f>G4*(B4+C4+D4+E4)</f>
        <v>518</v>
      </c>
      <c r="I4" s="116"/>
      <c r="K4" s="115" t="s">
        <v>334</v>
      </c>
    </row>
    <row r="5" spans="1:11" ht="15.6" x14ac:dyDescent="0.3">
      <c r="A5" s="120" t="s">
        <v>247</v>
      </c>
      <c r="B5" s="118">
        <v>45</v>
      </c>
      <c r="C5" s="117">
        <v>40</v>
      </c>
      <c r="D5" s="117">
        <v>45</v>
      </c>
      <c r="E5" s="117">
        <v>45</v>
      </c>
      <c r="F5" s="38"/>
      <c r="G5" s="131">
        <v>1.1299999999999999</v>
      </c>
      <c r="H5" s="122">
        <f>G5*(B5+C5+D5+E5)</f>
        <v>197.74999999999997</v>
      </c>
      <c r="I5" s="116"/>
    </row>
    <row r="6" spans="1:11" ht="16.2" thickBot="1" x14ac:dyDescent="0.35">
      <c r="A6" s="120" t="s">
        <v>248</v>
      </c>
      <c r="B6" s="117">
        <v>42.999999999999993</v>
      </c>
      <c r="C6" s="117">
        <v>20</v>
      </c>
      <c r="D6" s="117">
        <v>53</v>
      </c>
      <c r="E6" s="117">
        <v>22.999999999999975</v>
      </c>
      <c r="F6" s="38"/>
      <c r="G6" s="131">
        <v>2.13</v>
      </c>
      <c r="H6" s="124">
        <f>G6*(B6+C6+D6+E6)</f>
        <v>296.06999999999994</v>
      </c>
      <c r="I6" s="116"/>
    </row>
    <row r="7" spans="1:11" ht="16.2" thickBot="1" x14ac:dyDescent="0.35">
      <c r="A7" s="129" t="s">
        <v>249</v>
      </c>
      <c r="B7" s="123">
        <f>SUM(B4:B6)</f>
        <v>180</v>
      </c>
      <c r="C7" s="123">
        <f>SUM(C4:C6)</f>
        <v>80</v>
      </c>
      <c r="D7" s="123">
        <f>SUM(D4:D6)</f>
        <v>190</v>
      </c>
      <c r="E7" s="123">
        <f>SUM(E4:E6)</f>
        <v>159.99999999999997</v>
      </c>
      <c r="F7" s="38"/>
      <c r="G7"/>
      <c r="H7" s="125">
        <f>H4+H5+H6</f>
        <v>1011.8199999999999</v>
      </c>
      <c r="I7" s="116"/>
    </row>
    <row r="8" spans="1:11" x14ac:dyDescent="0.3">
      <c r="A8"/>
      <c r="B8"/>
      <c r="C8"/>
      <c r="D8"/>
      <c r="E8"/>
      <c r="F8" s="38"/>
      <c r="G8"/>
      <c r="H8" s="113" t="s">
        <v>235</v>
      </c>
      <c r="I8" s="116"/>
    </row>
    <row r="9" spans="1:11" ht="15.6" x14ac:dyDescent="0.3">
      <c r="A9" s="130" t="s">
        <v>250</v>
      </c>
      <c r="B9" s="126">
        <v>180</v>
      </c>
      <c r="C9" s="126">
        <v>80</v>
      </c>
      <c r="D9" s="126">
        <v>190</v>
      </c>
      <c r="E9" s="126">
        <v>160</v>
      </c>
      <c r="F9" s="38"/>
      <c r="G9" s="116"/>
      <c r="H9" s="116"/>
      <c r="I9" s="116"/>
    </row>
    <row r="10" spans="1:11" x14ac:dyDescent="0.3">
      <c r="A10" s="116"/>
      <c r="B10" s="116"/>
      <c r="C10" s="116"/>
      <c r="D10" s="116"/>
      <c r="E10" s="116"/>
      <c r="F10" s="7"/>
    </row>
    <row r="11" spans="1:11" ht="20.399999999999999" thickBot="1" x14ac:dyDescent="0.45">
      <c r="A11" s="132" t="s">
        <v>251</v>
      </c>
    </row>
    <row r="12" spans="1:11" ht="15" thickTop="1" x14ac:dyDescent="0.3"/>
  </sheetData>
  <mergeCells count="1">
    <mergeCell ref="A1:H1"/>
  </mergeCells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7CDE-09FB-4158-8C4E-386A1E5DA2A8}">
  <sheetPr>
    <outlinePr summaryBelow="0"/>
  </sheetPr>
  <dimension ref="B1:G14"/>
  <sheetViews>
    <sheetView showGridLines="0" workbookViewId="0"/>
  </sheetViews>
  <sheetFormatPr defaultRowHeight="13.2" outlineLevelRow="1" outlineLevelCol="1" x14ac:dyDescent="0.25"/>
  <cols>
    <col min="3" max="3" width="6.33203125" bestFit="1" customWidth="1"/>
    <col min="4" max="7" width="16.5546875" bestFit="1" customWidth="1" outlineLevel="1"/>
  </cols>
  <sheetData>
    <row r="1" spans="2:7" ht="13.8" thickBot="1" x14ac:dyDescent="0.3"/>
    <row r="2" spans="2:7" ht="13.8" x14ac:dyDescent="0.25">
      <c r="B2" s="185" t="s">
        <v>350</v>
      </c>
      <c r="C2" s="185"/>
      <c r="D2" s="190"/>
      <c r="E2" s="190"/>
      <c r="F2" s="190"/>
      <c r="G2" s="190"/>
    </row>
    <row r="3" spans="2:7" ht="13.8" collapsed="1" x14ac:dyDescent="0.25">
      <c r="B3" s="184"/>
      <c r="C3" s="184"/>
      <c r="D3" s="191" t="s">
        <v>352</v>
      </c>
      <c r="E3" s="191" t="s">
        <v>344</v>
      </c>
      <c r="F3" s="191" t="s">
        <v>346</v>
      </c>
      <c r="G3" s="191" t="s">
        <v>348</v>
      </c>
    </row>
    <row r="4" spans="2:7" ht="40.799999999999997" hidden="1" outlineLevel="1" x14ac:dyDescent="0.25">
      <c r="B4" s="187"/>
      <c r="C4" s="187"/>
      <c r="D4" s="181"/>
      <c r="E4" s="193" t="s">
        <v>345</v>
      </c>
      <c r="F4" s="193" t="s">
        <v>347</v>
      </c>
      <c r="G4" s="193" t="s">
        <v>349</v>
      </c>
    </row>
    <row r="5" spans="2:7" x14ac:dyDescent="0.25">
      <c r="B5" s="188" t="s">
        <v>351</v>
      </c>
      <c r="C5" s="188"/>
      <c r="D5" s="186"/>
      <c r="E5" s="186"/>
      <c r="F5" s="186"/>
      <c r="G5" s="186"/>
    </row>
    <row r="6" spans="2:7" outlineLevel="1" x14ac:dyDescent="0.25">
      <c r="B6" s="187"/>
      <c r="C6" s="187" t="s">
        <v>339</v>
      </c>
      <c r="D6" s="182">
        <v>5.0999999999999997E-2</v>
      </c>
      <c r="E6" s="192">
        <v>5.0999999999999997E-2</v>
      </c>
      <c r="F6" s="192">
        <v>3.1E-2</v>
      </c>
      <c r="G6" s="192">
        <v>5.0999999999999997E-2</v>
      </c>
    </row>
    <row r="7" spans="2:7" outlineLevel="1" x14ac:dyDescent="0.25">
      <c r="B7" s="187"/>
      <c r="C7" s="187" t="s">
        <v>340</v>
      </c>
      <c r="D7" s="182">
        <v>3.3000000000000002E-2</v>
      </c>
      <c r="E7" s="182">
        <v>3.3000000000000002E-2</v>
      </c>
      <c r="F7" s="192">
        <v>5.2999999999999999E-2</v>
      </c>
      <c r="G7" s="192">
        <v>3.3000000000000002E-2</v>
      </c>
    </row>
    <row r="8" spans="2:7" outlineLevel="1" x14ac:dyDescent="0.25">
      <c r="B8" s="187"/>
      <c r="C8" s="187" t="s">
        <v>341</v>
      </c>
      <c r="D8" s="182">
        <v>2.3E-2</v>
      </c>
      <c r="E8" s="182">
        <v>2.3E-2</v>
      </c>
      <c r="F8" s="192">
        <v>4.2999999999999997E-2</v>
      </c>
      <c r="G8" s="192">
        <v>2.3E-2</v>
      </c>
    </row>
    <row r="9" spans="2:7" outlineLevel="1" x14ac:dyDescent="0.25">
      <c r="B9" s="187"/>
      <c r="C9" s="187" t="s">
        <v>342</v>
      </c>
      <c r="D9" s="182">
        <v>4.2999999999999997E-2</v>
      </c>
      <c r="E9" s="182">
        <v>4.2999999999999997E-2</v>
      </c>
      <c r="F9" s="192">
        <v>6.3E-2</v>
      </c>
      <c r="G9" s="192">
        <v>4.2999999999999997E-2</v>
      </c>
    </row>
    <row r="10" spans="2:7" x14ac:dyDescent="0.25">
      <c r="B10" s="188" t="s">
        <v>353</v>
      </c>
      <c r="C10" s="188"/>
      <c r="D10" s="186"/>
      <c r="E10" s="186"/>
      <c r="F10" s="186"/>
      <c r="G10" s="186"/>
    </row>
    <row r="11" spans="2:7" ht="13.8" outlineLevel="1" thickBot="1" x14ac:dyDescent="0.3">
      <c r="B11" s="189"/>
      <c r="C11" s="189" t="s">
        <v>343</v>
      </c>
      <c r="D11" s="183">
        <v>1343395.89624719</v>
      </c>
      <c r="E11" s="183">
        <v>1343395.89624719</v>
      </c>
      <c r="F11" s="183">
        <v>1367045.1078474401</v>
      </c>
      <c r="G11" s="183">
        <v>1343395.89624719</v>
      </c>
    </row>
    <row r="12" spans="2:7" x14ac:dyDescent="0.25">
      <c r="B12" t="s">
        <v>354</v>
      </c>
    </row>
    <row r="13" spans="2:7" x14ac:dyDescent="0.25">
      <c r="B13" t="s">
        <v>355</v>
      </c>
    </row>
    <row r="14" spans="2:7" x14ac:dyDescent="0.25">
      <c r="B14" t="s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8"/>
  <dimension ref="B1:J14"/>
  <sheetViews>
    <sheetView topLeftCell="B1" workbookViewId="0">
      <selection activeCell="J3" sqref="J3"/>
    </sheetView>
  </sheetViews>
  <sheetFormatPr defaultColWidth="9.109375" defaultRowHeight="14.4" x14ac:dyDescent="0.3"/>
  <cols>
    <col min="1" max="1" width="9.109375" style="38"/>
    <col min="2" max="2" width="11.5546875" style="38" customWidth="1"/>
    <col min="3" max="6" width="14.88671875" style="38" bestFit="1" customWidth="1"/>
    <col min="7" max="7" width="16.6640625" style="38" bestFit="1" customWidth="1"/>
    <col min="8" max="9" width="9.109375" style="38"/>
    <col min="10" max="10" width="45.5546875" style="38" bestFit="1" customWidth="1"/>
    <col min="11" max="16384" width="9.109375" style="38"/>
  </cols>
  <sheetData>
    <row r="1" spans="2:10" ht="22.8" x14ac:dyDescent="0.4">
      <c r="B1" s="173" t="s">
        <v>252</v>
      </c>
      <c r="C1" s="173"/>
      <c r="D1" s="173"/>
      <c r="E1" s="173"/>
      <c r="F1" s="173"/>
      <c r="G1" s="173"/>
    </row>
    <row r="2" spans="2:10" x14ac:dyDescent="0.3">
      <c r="J2" s="38" t="s">
        <v>337</v>
      </c>
    </row>
    <row r="3" spans="2:10" s="133" customFormat="1" ht="16.2" thickBot="1" x14ac:dyDescent="0.35">
      <c r="B3" s="144" t="s">
        <v>253</v>
      </c>
      <c r="C3" s="144" t="s">
        <v>240</v>
      </c>
      <c r="D3" s="144" t="s">
        <v>241</v>
      </c>
      <c r="E3" s="144" t="s">
        <v>242</v>
      </c>
      <c r="F3" s="144" t="s">
        <v>243</v>
      </c>
      <c r="G3" s="144" t="s">
        <v>254</v>
      </c>
      <c r="J3" s="180" t="s">
        <v>338</v>
      </c>
    </row>
    <row r="4" spans="2:10" ht="16.2" thickTop="1" x14ac:dyDescent="0.3">
      <c r="B4" s="134" t="s">
        <v>207</v>
      </c>
      <c r="C4" s="138">
        <v>85292.25</v>
      </c>
      <c r="D4" s="138">
        <f>C4*C11+C4</f>
        <v>88106.894249999998</v>
      </c>
      <c r="E4" s="138">
        <f>D4*C11+D4</f>
        <v>91014.421760249999</v>
      </c>
      <c r="F4" s="138">
        <f>E4*C11+E4</f>
        <v>94017.897678338253</v>
      </c>
      <c r="G4" s="102">
        <f>SUM(C4:F4)</f>
        <v>358431.46368858824</v>
      </c>
    </row>
    <row r="5" spans="2:10" ht="15.6" x14ac:dyDescent="0.3">
      <c r="B5" s="134" t="s">
        <v>191</v>
      </c>
      <c r="C5" s="138">
        <v>75891.25</v>
      </c>
      <c r="D5" s="138">
        <f>C5*C12+C5</f>
        <v>77636.748749999999</v>
      </c>
      <c r="E5" s="138">
        <f>D5*C12+D5</f>
        <v>79422.39397125</v>
      </c>
      <c r="F5" s="138">
        <f>E5*C12+E5</f>
        <v>81249.109032588749</v>
      </c>
      <c r="G5" s="102">
        <f>SUM(C5:F5)</f>
        <v>314199.50175383873</v>
      </c>
    </row>
    <row r="6" spans="2:10" ht="15.6" x14ac:dyDescent="0.3">
      <c r="B6" s="134" t="s">
        <v>211</v>
      </c>
      <c r="C6" s="138">
        <v>90568.34</v>
      </c>
      <c r="D6" s="138">
        <f>C6*C13+C6</f>
        <v>94462.778619999997</v>
      </c>
      <c r="E6" s="138">
        <f>D6*C13+D6</f>
        <v>98524.678100659992</v>
      </c>
      <c r="F6" s="138">
        <f>E6*C13+E6</f>
        <v>102761.23925898837</v>
      </c>
      <c r="G6" s="102">
        <f>SUM(C6:F6)</f>
        <v>386317.03597964835</v>
      </c>
    </row>
    <row r="7" spans="2:10" ht="15.6" x14ac:dyDescent="0.3">
      <c r="B7" s="134" t="s">
        <v>209</v>
      </c>
      <c r="C7" s="138">
        <v>65897.25</v>
      </c>
      <c r="D7" s="138">
        <f>C7*C14+C7</f>
        <v>69258.009749999997</v>
      </c>
      <c r="E7" s="138">
        <f>D7*C14+D7</f>
        <v>72790.168247249996</v>
      </c>
      <c r="F7" s="138">
        <f>E7*C14+E7</f>
        <v>76502.466827859753</v>
      </c>
      <c r="G7" s="102">
        <f>SUM(C7:F7)</f>
        <v>284447.89482510975</v>
      </c>
    </row>
    <row r="8" spans="2:10" ht="15" thickBot="1" x14ac:dyDescent="0.35">
      <c r="B8" s="135" t="s">
        <v>255</v>
      </c>
      <c r="C8" s="136">
        <f>SUM(C4:C7)</f>
        <v>317649.08999999997</v>
      </c>
      <c r="D8" s="136">
        <f>SUM(D4:D7)</f>
        <v>329464.43137000001</v>
      </c>
      <c r="E8" s="136">
        <f>SUM(E4:E7)</f>
        <v>341751.66207940993</v>
      </c>
      <c r="F8" s="136">
        <f>SUM(F4:F7)</f>
        <v>354530.71279777511</v>
      </c>
      <c r="G8" s="136">
        <f>SUM(G4:G7)</f>
        <v>1343395.8962471851</v>
      </c>
    </row>
    <row r="9" spans="2:10" ht="15" thickTop="1" x14ac:dyDescent="0.3"/>
    <row r="10" spans="2:10" ht="16.2" thickBot="1" x14ac:dyDescent="0.35">
      <c r="B10" s="172" t="s">
        <v>256</v>
      </c>
      <c r="C10" s="172"/>
    </row>
    <row r="11" spans="2:10" ht="16.2" thickTop="1" x14ac:dyDescent="0.3">
      <c r="B11" s="134" t="s">
        <v>207</v>
      </c>
      <c r="C11" s="137">
        <v>3.3000000000000002E-2</v>
      </c>
    </row>
    <row r="12" spans="2:10" ht="15.6" x14ac:dyDescent="0.3">
      <c r="B12" s="134" t="s">
        <v>191</v>
      </c>
      <c r="C12" s="137">
        <v>2.3E-2</v>
      </c>
    </row>
    <row r="13" spans="2:10" ht="15.6" x14ac:dyDescent="0.3">
      <c r="B13" s="134" t="s">
        <v>211</v>
      </c>
      <c r="C13" s="137">
        <v>4.2999999999999997E-2</v>
      </c>
    </row>
    <row r="14" spans="2:10" ht="15.6" x14ac:dyDescent="0.3">
      <c r="B14" s="134" t="s">
        <v>209</v>
      </c>
      <c r="C14" s="137">
        <v>5.0999999999999997E-2</v>
      </c>
    </row>
  </sheetData>
  <scenarios current="2" show="2" sqref="G8">
    <scenario name="Southern Expansion" locked="1" count="1" user="Royal Catrin" comment="Maassive expansion in the Southern region. Mass advertising campaign.">
      <inputCells r="C14" val="0.051" numFmtId="10"/>
    </scenario>
    <scenario name="New CEO" locked="1" count="4" user="Royal Catrin" comment="A new CEO makes the entire company more productive">
      <inputCells r="C11" val="0.053" numFmtId="10"/>
      <inputCells r="C12" val="0.043" numFmtId="10"/>
      <inputCells r="C13" val="0.063" numFmtId="10"/>
      <inputCells r="C14" val="0.031" numFmtId="10"/>
    </scenario>
    <scenario name="Standard" locked="1" count="4" user="Royal Catrin" comment="Created by Royal Catrin on 30/09/2021">
      <inputCells r="C11" val="0.033" numFmtId="10"/>
      <inputCells r="C12" val="0.023" numFmtId="10"/>
      <inputCells r="C13" val="0.043" numFmtId="10"/>
      <inputCells r="C14" val="0.051" numFmtId="10"/>
    </scenario>
  </scenarios>
  <mergeCells count="2">
    <mergeCell ref="B10:C10"/>
    <mergeCell ref="B1:G1"/>
  </mergeCells>
  <phoneticPr fontId="0" type="noConversion"/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 tint="0.79998168889431442"/>
  </sheetPr>
  <dimension ref="A1:H9"/>
  <sheetViews>
    <sheetView workbookViewId="0">
      <selection activeCell="G1" sqref="G1"/>
    </sheetView>
  </sheetViews>
  <sheetFormatPr defaultRowHeight="13.2" x14ac:dyDescent="0.25"/>
  <cols>
    <col min="1" max="1" width="11.33203125" customWidth="1"/>
    <col min="7" max="7" width="11.6640625" bestFit="1" customWidth="1"/>
  </cols>
  <sheetData>
    <row r="1" spans="1:8" x14ac:dyDescent="0.25">
      <c r="A1" s="174" t="s">
        <v>257</v>
      </c>
      <c r="B1" s="174"/>
      <c r="C1" s="174"/>
      <c r="D1" s="174"/>
      <c r="E1" s="174"/>
      <c r="G1" s="121" t="s">
        <v>326</v>
      </c>
      <c r="H1" s="178" t="s">
        <v>325</v>
      </c>
    </row>
    <row r="3" spans="1:8" x14ac:dyDescent="0.25">
      <c r="A3" s="1" t="s">
        <v>258</v>
      </c>
      <c r="B3" s="2" t="s">
        <v>259</v>
      </c>
      <c r="C3" s="2" t="s">
        <v>260</v>
      </c>
      <c r="D3" s="2" t="s">
        <v>261</v>
      </c>
      <c r="E3" s="2" t="s">
        <v>262</v>
      </c>
    </row>
    <row r="4" spans="1:8" x14ac:dyDescent="0.25">
      <c r="A4" s="121" t="s">
        <v>196</v>
      </c>
      <c r="B4">
        <v>200</v>
      </c>
      <c r="C4">
        <v>800</v>
      </c>
      <c r="D4">
        <v>900</v>
      </c>
      <c r="E4">
        <v>500</v>
      </c>
    </row>
    <row r="5" spans="1:8" x14ac:dyDescent="0.25">
      <c r="A5" s="121" t="s">
        <v>263</v>
      </c>
      <c r="B5">
        <v>400</v>
      </c>
      <c r="C5">
        <v>100</v>
      </c>
      <c r="D5">
        <v>800</v>
      </c>
      <c r="E5">
        <v>100</v>
      </c>
    </row>
    <row r="6" spans="1:8" x14ac:dyDescent="0.25">
      <c r="A6" s="121" t="s">
        <v>197</v>
      </c>
      <c r="B6">
        <v>200</v>
      </c>
      <c r="C6">
        <v>500</v>
      </c>
      <c r="D6">
        <v>500</v>
      </c>
      <c r="E6">
        <v>200</v>
      </c>
    </row>
    <row r="7" spans="1:8" x14ac:dyDescent="0.25">
      <c r="A7" s="121" t="s">
        <v>264</v>
      </c>
      <c r="B7">
        <v>200</v>
      </c>
      <c r="C7">
        <v>300</v>
      </c>
      <c r="D7">
        <v>500</v>
      </c>
      <c r="E7">
        <v>300</v>
      </c>
    </row>
    <row r="9" spans="1:8" x14ac:dyDescent="0.25">
      <c r="A9" s="3" t="s">
        <v>255</v>
      </c>
      <c r="B9" s="4">
        <f>SUM(B4:B7)</f>
        <v>1000</v>
      </c>
      <c r="C9" s="4">
        <f>SUM(C4:C7)</f>
        <v>1700</v>
      </c>
      <c r="D9" s="4">
        <f>SUM(D4:D7)</f>
        <v>2700</v>
      </c>
      <c r="E9" s="4">
        <f>SUM(E4:E7)</f>
        <v>1100</v>
      </c>
    </row>
  </sheetData>
  <mergeCells count="1">
    <mergeCell ref="A1:E1"/>
  </mergeCells>
  <phoneticPr fontId="0" type="halfwidthKatakana" alignment="noControl"/>
  <hyperlinks>
    <hyperlink ref="H1" r:id="rId1" xr:uid="{59606060-CC3A-4000-8A49-B48FDBA3BD3A}"/>
  </hyperlinks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0.79998168889431442"/>
  </sheetPr>
  <dimension ref="A1:E9"/>
  <sheetViews>
    <sheetView workbookViewId="0">
      <selection activeCell="C17" sqref="C17"/>
    </sheetView>
  </sheetViews>
  <sheetFormatPr defaultRowHeight="13.2" x14ac:dyDescent="0.25"/>
  <cols>
    <col min="1" max="1" width="11.33203125" customWidth="1"/>
  </cols>
  <sheetData>
    <row r="1" spans="1:5" x14ac:dyDescent="0.25">
      <c r="A1" s="174" t="s">
        <v>265</v>
      </c>
      <c r="B1" s="174"/>
      <c r="C1" s="174"/>
      <c r="D1" s="174"/>
      <c r="E1" s="174"/>
    </row>
    <row r="3" spans="1:5" x14ac:dyDescent="0.25">
      <c r="A3" s="1" t="s">
        <v>258</v>
      </c>
      <c r="B3" s="2" t="s">
        <v>259</v>
      </c>
      <c r="C3" s="2" t="s">
        <v>260</v>
      </c>
      <c r="D3" s="2" t="s">
        <v>261</v>
      </c>
      <c r="E3" s="2" t="s">
        <v>262</v>
      </c>
    </row>
    <row r="4" spans="1:5" x14ac:dyDescent="0.25">
      <c r="A4" t="s">
        <v>196</v>
      </c>
      <c r="B4">
        <v>400</v>
      </c>
      <c r="C4">
        <v>800</v>
      </c>
      <c r="D4">
        <v>900</v>
      </c>
      <c r="E4">
        <v>300</v>
      </c>
    </row>
    <row r="5" spans="1:5" x14ac:dyDescent="0.25">
      <c r="A5" t="s">
        <v>263</v>
      </c>
      <c r="B5">
        <v>200</v>
      </c>
      <c r="C5">
        <v>500</v>
      </c>
      <c r="D5">
        <v>1200</v>
      </c>
      <c r="E5">
        <v>100</v>
      </c>
    </row>
    <row r="6" spans="1:5" x14ac:dyDescent="0.25">
      <c r="A6" t="s">
        <v>197</v>
      </c>
      <c r="B6">
        <v>300</v>
      </c>
      <c r="C6">
        <v>400</v>
      </c>
      <c r="D6">
        <v>1400</v>
      </c>
      <c r="E6">
        <v>300</v>
      </c>
    </row>
    <row r="7" spans="1:5" x14ac:dyDescent="0.25">
      <c r="A7" t="s">
        <v>264</v>
      </c>
      <c r="B7">
        <v>100</v>
      </c>
      <c r="C7">
        <v>300</v>
      </c>
      <c r="D7">
        <v>500</v>
      </c>
      <c r="E7">
        <v>300</v>
      </c>
    </row>
    <row r="9" spans="1:5" x14ac:dyDescent="0.25">
      <c r="A9" s="3" t="s">
        <v>255</v>
      </c>
      <c r="B9" s="4">
        <f>SUM(B4:B7)</f>
        <v>1000</v>
      </c>
      <c r="C9" s="4">
        <f>SUM(C4:C7)</f>
        <v>2000</v>
      </c>
      <c r="D9" s="4">
        <f>SUM(D4:D7)</f>
        <v>4000</v>
      </c>
      <c r="E9" s="4">
        <f>SUM(E4:E7)</f>
        <v>1000</v>
      </c>
    </row>
  </sheetData>
  <mergeCells count="1">
    <mergeCell ref="A1:E1"/>
  </mergeCells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79998168889431442"/>
  </sheetPr>
  <dimension ref="A1:E9"/>
  <sheetViews>
    <sheetView workbookViewId="0">
      <selection activeCell="A8" sqref="A8"/>
    </sheetView>
  </sheetViews>
  <sheetFormatPr defaultRowHeight="13.2" x14ac:dyDescent="0.25"/>
  <cols>
    <col min="1" max="1" width="11.33203125" customWidth="1"/>
  </cols>
  <sheetData>
    <row r="1" spans="1:5" x14ac:dyDescent="0.25">
      <c r="A1" s="174" t="s">
        <v>266</v>
      </c>
      <c r="B1" s="174"/>
      <c r="C1" s="174"/>
      <c r="D1" s="174"/>
      <c r="E1" s="174"/>
    </row>
    <row r="3" spans="1:5" x14ac:dyDescent="0.25">
      <c r="A3" s="1" t="s">
        <v>258</v>
      </c>
      <c r="B3" s="2" t="s">
        <v>259</v>
      </c>
      <c r="C3" s="2" t="s">
        <v>260</v>
      </c>
      <c r="D3" s="2" t="s">
        <v>261</v>
      </c>
      <c r="E3" s="2" t="s">
        <v>262</v>
      </c>
    </row>
    <row r="4" spans="1:5" x14ac:dyDescent="0.25">
      <c r="A4" s="121" t="s">
        <v>196</v>
      </c>
      <c r="B4">
        <v>200</v>
      </c>
      <c r="C4">
        <v>600</v>
      </c>
      <c r="D4">
        <v>700</v>
      </c>
      <c r="E4">
        <v>400</v>
      </c>
    </row>
    <row r="5" spans="1:5" x14ac:dyDescent="0.25">
      <c r="A5" s="121" t="s">
        <v>263</v>
      </c>
      <c r="B5">
        <v>300</v>
      </c>
      <c r="C5">
        <v>200</v>
      </c>
      <c r="D5">
        <v>500</v>
      </c>
      <c r="E5">
        <v>600</v>
      </c>
    </row>
    <row r="6" spans="1:5" x14ac:dyDescent="0.25">
      <c r="A6" s="121" t="s">
        <v>197</v>
      </c>
      <c r="B6">
        <v>200</v>
      </c>
      <c r="C6">
        <v>400</v>
      </c>
      <c r="D6">
        <v>500</v>
      </c>
      <c r="E6">
        <v>100</v>
      </c>
    </row>
    <row r="7" spans="1:5" x14ac:dyDescent="0.25">
      <c r="A7" s="121" t="s">
        <v>264</v>
      </c>
      <c r="B7">
        <v>300</v>
      </c>
      <c r="C7">
        <v>300</v>
      </c>
      <c r="D7">
        <v>100</v>
      </c>
      <c r="E7">
        <v>200</v>
      </c>
    </row>
    <row r="9" spans="1:5" x14ac:dyDescent="0.25">
      <c r="A9" s="3" t="s">
        <v>255</v>
      </c>
      <c r="B9" s="4">
        <f>SUM(B4:B7)</f>
        <v>1000</v>
      </c>
      <c r="C9" s="4">
        <f>SUM(C4:C7)</f>
        <v>1500</v>
      </c>
      <c r="D9" s="4">
        <f>SUM(D4:D7)</f>
        <v>1800</v>
      </c>
      <c r="E9" s="4">
        <f>SUM(E4:E7)</f>
        <v>1300</v>
      </c>
    </row>
  </sheetData>
  <mergeCells count="1">
    <mergeCell ref="A1:E1"/>
  </mergeCells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79998168889431442"/>
  </sheetPr>
  <dimension ref="A1:J9"/>
  <sheetViews>
    <sheetView workbookViewId="0">
      <selection activeCell="J2" sqref="J2"/>
    </sheetView>
  </sheetViews>
  <sheetFormatPr defaultRowHeight="13.2" x14ac:dyDescent="0.25"/>
  <cols>
    <col min="1" max="1" width="11.33203125" customWidth="1"/>
    <col min="10" max="10" width="85.21875" bestFit="1" customWidth="1"/>
  </cols>
  <sheetData>
    <row r="1" spans="1:10" x14ac:dyDescent="0.25">
      <c r="A1" s="174" t="s">
        <v>267</v>
      </c>
      <c r="B1" s="174"/>
      <c r="C1" s="174"/>
      <c r="D1" s="174"/>
      <c r="E1" s="174"/>
      <c r="J1" t="s">
        <v>330</v>
      </c>
    </row>
    <row r="2" spans="1:10" x14ac:dyDescent="0.25">
      <c r="J2" t="s">
        <v>327</v>
      </c>
    </row>
    <row r="3" spans="1:10" x14ac:dyDescent="0.25">
      <c r="A3" s="1" t="s">
        <v>258</v>
      </c>
      <c r="B3" s="2" t="s">
        <v>259</v>
      </c>
      <c r="C3" s="2" t="s">
        <v>260</v>
      </c>
      <c r="D3" s="2" t="s">
        <v>261</v>
      </c>
      <c r="E3" s="2" t="s">
        <v>262</v>
      </c>
      <c r="J3" t="s">
        <v>328</v>
      </c>
    </row>
    <row r="4" spans="1:10" x14ac:dyDescent="0.25">
      <c r="A4" t="s">
        <v>196</v>
      </c>
      <c r="B4">
        <v>800</v>
      </c>
      <c r="C4">
        <v>2200</v>
      </c>
      <c r="D4">
        <v>2500</v>
      </c>
      <c r="E4">
        <v>1200</v>
      </c>
      <c r="J4" t="s">
        <v>329</v>
      </c>
    </row>
    <row r="5" spans="1:10" x14ac:dyDescent="0.25">
      <c r="A5" t="s">
        <v>263</v>
      </c>
      <c r="B5">
        <v>900</v>
      </c>
      <c r="C5">
        <v>800</v>
      </c>
      <c r="D5">
        <v>2500</v>
      </c>
      <c r="E5">
        <v>800</v>
      </c>
    </row>
    <row r="6" spans="1:10" x14ac:dyDescent="0.25">
      <c r="A6" t="s">
        <v>197</v>
      </c>
      <c r="B6">
        <v>700</v>
      </c>
      <c r="C6">
        <v>1300</v>
      </c>
      <c r="D6">
        <v>2400</v>
      </c>
      <c r="E6">
        <v>600</v>
      </c>
    </row>
    <row r="7" spans="1:10" x14ac:dyDescent="0.25">
      <c r="A7" t="s">
        <v>264</v>
      </c>
      <c r="B7">
        <v>600</v>
      </c>
      <c r="C7">
        <v>900</v>
      </c>
      <c r="D7">
        <v>1100</v>
      </c>
      <c r="E7">
        <v>800</v>
      </c>
    </row>
    <row r="9" spans="1:10" x14ac:dyDescent="0.25">
      <c r="A9" s="3" t="s">
        <v>255</v>
      </c>
      <c r="B9" s="4">
        <f>SUM(B4:B7)</f>
        <v>3000</v>
      </c>
      <c r="C9" s="4">
        <f>SUM(C4:C7)</f>
        <v>5200</v>
      </c>
      <c r="D9" s="4">
        <f>SUM(D4:D7)</f>
        <v>8500</v>
      </c>
      <c r="E9" s="4">
        <f>SUM(E4:E7)</f>
        <v>3400</v>
      </c>
    </row>
  </sheetData>
  <dataConsolidate leftLabels="1" topLabels="1">
    <dataRefs count="3">
      <dataRef ref="A3:E9" sheet="Connecticut"/>
      <dataRef ref="A3:E9" sheet="Maine"/>
      <dataRef ref="A3:E9" sheet="New Hampshire"/>
    </dataRefs>
  </dataConsolidate>
  <mergeCells count="1">
    <mergeCell ref="A1:E1"/>
  </mergeCells>
  <phoneticPr fontId="0" type="halfwidthKatakana" alignment="noControl"/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C7"/>
  <sheetViews>
    <sheetView workbookViewId="0">
      <selection activeCell="C5" sqref="C5"/>
    </sheetView>
  </sheetViews>
  <sheetFormatPr defaultColWidth="9.109375" defaultRowHeight="13.2" x14ac:dyDescent="0.25"/>
  <cols>
    <col min="1" max="1" width="15.44140625" style="5" bestFit="1" customWidth="1"/>
    <col min="2" max="2" width="9.33203125" style="5" customWidth="1"/>
    <col min="3" max="3" width="13.6640625" style="5" bestFit="1" customWidth="1"/>
    <col min="4" max="16384" width="9.109375" style="5"/>
  </cols>
  <sheetData>
    <row r="1" spans="1:3" ht="22.8" x14ac:dyDescent="0.4">
      <c r="A1" s="176" t="s">
        <v>268</v>
      </c>
      <c r="B1" s="176"/>
      <c r="C1" s="176"/>
    </row>
    <row r="2" spans="1:3" ht="15" x14ac:dyDescent="0.25">
      <c r="A2" s="175">
        <v>42005</v>
      </c>
      <c r="B2" s="175"/>
      <c r="C2" s="175"/>
    </row>
    <row r="4" spans="1:3" ht="18" thickBot="1" x14ac:dyDescent="0.4">
      <c r="A4" s="140" t="s">
        <v>269</v>
      </c>
      <c r="B4" s="140" t="s">
        <v>158</v>
      </c>
      <c r="C4" s="140" t="s">
        <v>270</v>
      </c>
    </row>
    <row r="5" spans="1:3" ht="13.8" thickTop="1" x14ac:dyDescent="0.25">
      <c r="A5" s="139" t="s">
        <v>271</v>
      </c>
      <c r="B5" s="141">
        <v>34</v>
      </c>
      <c r="C5" s="141" t="e">
        <f>B5*Commission</f>
        <v>#NAME?</v>
      </c>
    </row>
    <row r="6" spans="1:3" x14ac:dyDescent="0.25">
      <c r="A6" s="5" t="s">
        <v>272</v>
      </c>
      <c r="B6" s="141">
        <v>45</v>
      </c>
      <c r="C6" s="141" t="e">
        <f>B6*Commission</f>
        <v>#NAME?</v>
      </c>
    </row>
    <row r="7" spans="1:3" x14ac:dyDescent="0.25">
      <c r="A7" s="5" t="s">
        <v>273</v>
      </c>
      <c r="B7" s="141">
        <v>22</v>
      </c>
      <c r="C7" s="141" t="e">
        <f>B7*Commission</f>
        <v>#NAME?</v>
      </c>
    </row>
  </sheetData>
  <mergeCells count="2">
    <mergeCell ref="A2:C2"/>
    <mergeCell ref="A1:C1"/>
  </mergeCells>
  <pageMargins left="0.75" right="0.75" top="1" bottom="1" header="0.5" footer="0.5"/>
  <pageSetup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C7"/>
  <sheetViews>
    <sheetView workbookViewId="0">
      <selection activeCell="A5" sqref="A5"/>
    </sheetView>
  </sheetViews>
  <sheetFormatPr defaultColWidth="9.109375" defaultRowHeight="13.2" x14ac:dyDescent="0.25"/>
  <cols>
    <col min="1" max="1" width="15.44140625" style="5" bestFit="1" customWidth="1"/>
    <col min="2" max="2" width="9.33203125" style="5" customWidth="1"/>
    <col min="3" max="3" width="13.6640625" style="5" bestFit="1" customWidth="1"/>
    <col min="4" max="16384" width="9.109375" style="5"/>
  </cols>
  <sheetData>
    <row r="1" spans="1:3" ht="22.8" x14ac:dyDescent="0.4">
      <c r="A1" s="177" t="s">
        <v>274</v>
      </c>
      <c r="B1" s="177"/>
      <c r="C1" s="177"/>
    </row>
    <row r="2" spans="1:3" ht="15" x14ac:dyDescent="0.25">
      <c r="A2" s="175">
        <v>42005</v>
      </c>
      <c r="B2" s="175"/>
      <c r="C2" s="175"/>
    </row>
    <row r="4" spans="1:3" ht="18" thickBot="1" x14ac:dyDescent="0.4">
      <c r="A4" s="140" t="s">
        <v>269</v>
      </c>
      <c r="B4" s="140" t="s">
        <v>158</v>
      </c>
      <c r="C4" s="140" t="s">
        <v>270</v>
      </c>
    </row>
    <row r="5" spans="1:3" ht="13.8" thickTop="1" x14ac:dyDescent="0.25">
      <c r="A5" s="5" t="s">
        <v>273</v>
      </c>
      <c r="B5" s="141">
        <v>22</v>
      </c>
      <c r="C5" s="141" t="e">
        <f>B5*Commission</f>
        <v>#NAME?</v>
      </c>
    </row>
    <row r="6" spans="1:3" x14ac:dyDescent="0.25">
      <c r="A6" s="5" t="s">
        <v>275</v>
      </c>
      <c r="B6" s="141">
        <v>14</v>
      </c>
      <c r="C6" s="141" t="e">
        <f>B6*Commission</f>
        <v>#NAME?</v>
      </c>
    </row>
    <row r="7" spans="1:3" x14ac:dyDescent="0.25">
      <c r="A7" s="5" t="s">
        <v>271</v>
      </c>
      <c r="B7" s="141">
        <v>54</v>
      </c>
      <c r="C7" s="141" t="e">
        <f>B7*Commission</f>
        <v>#NAME?</v>
      </c>
    </row>
  </sheetData>
  <mergeCells count="2">
    <mergeCell ref="A2:C2"/>
    <mergeCell ref="A1:C1"/>
  </mergeCells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C7"/>
  <sheetViews>
    <sheetView workbookViewId="0">
      <selection activeCell="C6" sqref="C6"/>
    </sheetView>
  </sheetViews>
  <sheetFormatPr defaultColWidth="9.109375" defaultRowHeight="13.2" x14ac:dyDescent="0.25"/>
  <cols>
    <col min="1" max="1" width="13.44140625" style="5" bestFit="1" customWidth="1"/>
    <col min="2" max="2" width="9.33203125" style="5" customWidth="1"/>
    <col min="3" max="3" width="13.5546875" style="5" bestFit="1" customWidth="1"/>
    <col min="4" max="16384" width="9.109375" style="5"/>
  </cols>
  <sheetData>
    <row r="1" spans="1:3" ht="22.8" x14ac:dyDescent="0.4">
      <c r="A1" s="177" t="s">
        <v>276</v>
      </c>
      <c r="B1" s="177"/>
      <c r="C1" s="177"/>
    </row>
    <row r="2" spans="1:3" ht="15" x14ac:dyDescent="0.25">
      <c r="A2" s="175">
        <v>42005</v>
      </c>
      <c r="B2" s="175"/>
      <c r="C2" s="175"/>
    </row>
    <row r="4" spans="1:3" ht="18" thickBot="1" x14ac:dyDescent="0.4">
      <c r="A4" s="140" t="s">
        <v>269</v>
      </c>
      <c r="B4" s="140" t="s">
        <v>158</v>
      </c>
      <c r="C4" s="140" t="s">
        <v>270</v>
      </c>
    </row>
    <row r="5" spans="1:3" ht="13.8" thickTop="1" x14ac:dyDescent="0.25">
      <c r="A5" s="5" t="s">
        <v>275</v>
      </c>
      <c r="B5" s="141">
        <v>44</v>
      </c>
      <c r="C5" s="141" t="e">
        <f>B5*Commission</f>
        <v>#NAME?</v>
      </c>
    </row>
    <row r="6" spans="1:3" x14ac:dyDescent="0.25">
      <c r="A6" s="139" t="s">
        <v>272</v>
      </c>
      <c r="B6" s="141">
        <v>32</v>
      </c>
      <c r="C6" s="141" t="e">
        <f>B6*Commission</f>
        <v>#NAME?</v>
      </c>
    </row>
    <row r="7" spans="1:3" x14ac:dyDescent="0.25">
      <c r="B7" s="142"/>
      <c r="C7" s="142"/>
    </row>
  </sheetData>
  <mergeCells count="2">
    <mergeCell ref="A2:C2"/>
    <mergeCell ref="A1:C1"/>
  </mergeCells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5" tint="0.59999389629810485"/>
  </sheetPr>
  <dimension ref="A1:G24"/>
  <sheetViews>
    <sheetView workbookViewId="0">
      <selection activeCell="F17" sqref="F17"/>
    </sheetView>
  </sheetViews>
  <sheetFormatPr defaultColWidth="9.109375" defaultRowHeight="13.2" x14ac:dyDescent="0.25"/>
  <cols>
    <col min="1" max="1" width="16.109375" style="5" customWidth="1"/>
    <col min="2" max="2" width="13.6640625" style="5" customWidth="1"/>
    <col min="3" max="3" width="11" style="5" bestFit="1" customWidth="1"/>
    <col min="4" max="6" width="9.109375" style="5"/>
    <col min="7" max="7" width="21.5546875" style="5" bestFit="1" customWidth="1"/>
    <col min="8" max="16384" width="9.109375" style="5"/>
  </cols>
  <sheetData>
    <row r="1" spans="1:7" ht="22.8" x14ac:dyDescent="0.4">
      <c r="A1" s="161" t="s">
        <v>277</v>
      </c>
      <c r="B1" s="161"/>
      <c r="C1" s="161"/>
    </row>
    <row r="2" spans="1:7" ht="15" x14ac:dyDescent="0.25">
      <c r="A2" s="175">
        <v>42005</v>
      </c>
      <c r="B2" s="175"/>
      <c r="C2" s="175"/>
      <c r="G2" s="139" t="s">
        <v>331</v>
      </c>
    </row>
    <row r="3" spans="1:7" x14ac:dyDescent="0.25">
      <c r="G3" s="139" t="s">
        <v>332</v>
      </c>
    </row>
    <row r="4" spans="1:7" x14ac:dyDescent="0.25">
      <c r="A4" s="1" t="s">
        <v>278</v>
      </c>
      <c r="B4" s="1"/>
      <c r="C4"/>
    </row>
    <row r="5" spans="1:7" x14ac:dyDescent="0.25">
      <c r="A5"/>
      <c r="B5" t="s">
        <v>158</v>
      </c>
      <c r="C5" t="s">
        <v>270</v>
      </c>
      <c r="D5"/>
      <c r="E5"/>
      <c r="F5"/>
      <c r="G5"/>
    </row>
    <row r="6" spans="1:7" x14ac:dyDescent="0.25">
      <c r="A6" t="s">
        <v>271</v>
      </c>
      <c r="B6" s="179">
        <v>88</v>
      </c>
      <c r="C6" s="179" t="e">
        <v>#NAME?</v>
      </c>
      <c r="D6"/>
      <c r="E6"/>
      <c r="F6"/>
      <c r="G6"/>
    </row>
    <row r="7" spans="1:7" x14ac:dyDescent="0.25">
      <c r="A7" t="s">
        <v>275</v>
      </c>
      <c r="B7" s="179">
        <v>58</v>
      </c>
      <c r="C7" s="179" t="e">
        <v>#NAME?</v>
      </c>
      <c r="D7"/>
      <c r="E7"/>
      <c r="F7"/>
      <c r="G7"/>
    </row>
    <row r="8" spans="1:7" x14ac:dyDescent="0.25">
      <c r="A8" t="s">
        <v>272</v>
      </c>
      <c r="B8" s="179">
        <v>77</v>
      </c>
      <c r="C8" s="179" t="e">
        <v>#NAME?</v>
      </c>
      <c r="D8"/>
      <c r="E8"/>
      <c r="F8"/>
      <c r="G8"/>
    </row>
    <row r="9" spans="1:7" x14ac:dyDescent="0.25">
      <c r="A9" t="s">
        <v>273</v>
      </c>
      <c r="B9" s="179">
        <v>44</v>
      </c>
      <c r="C9" s="179" t="e">
        <v>#NAME?</v>
      </c>
      <c r="D9"/>
      <c r="E9"/>
      <c r="F9"/>
      <c r="G9"/>
    </row>
    <row r="10" spans="1:7" x14ac:dyDescent="0.25">
      <c r="A10"/>
      <c r="B10"/>
      <c r="C10"/>
      <c r="D10"/>
      <c r="E10"/>
      <c r="F10"/>
      <c r="G10"/>
    </row>
    <row r="11" spans="1:7" x14ac:dyDescent="0.25">
      <c r="A11"/>
      <c r="B11"/>
      <c r="C11"/>
      <c r="D11"/>
      <c r="E11"/>
      <c r="F11"/>
      <c r="G11"/>
    </row>
    <row r="12" spans="1:7" x14ac:dyDescent="0.25">
      <c r="A12"/>
      <c r="B12"/>
      <c r="C12"/>
      <c r="D12"/>
      <c r="E12"/>
      <c r="F12"/>
      <c r="G12"/>
    </row>
    <row r="13" spans="1:7" x14ac:dyDescent="0.25">
      <c r="A13"/>
      <c r="B13"/>
      <c r="C13"/>
      <c r="D13"/>
      <c r="E13"/>
      <c r="F13"/>
      <c r="G13"/>
    </row>
    <row r="14" spans="1:7" x14ac:dyDescent="0.25">
      <c r="A14"/>
      <c r="B14"/>
      <c r="C14"/>
      <c r="D14"/>
      <c r="E14"/>
      <c r="F14"/>
      <c r="G14"/>
    </row>
    <row r="15" spans="1:7" x14ac:dyDescent="0.25">
      <c r="A15"/>
      <c r="B15"/>
      <c r="C15"/>
      <c r="D15"/>
      <c r="E15"/>
      <c r="F15"/>
      <c r="G15"/>
    </row>
    <row r="16" spans="1:7" x14ac:dyDescent="0.25">
      <c r="A16"/>
      <c r="B16"/>
      <c r="C16"/>
      <c r="D16"/>
      <c r="E16"/>
      <c r="F16"/>
      <c r="G16"/>
    </row>
    <row r="17" spans="1:7" x14ac:dyDescent="0.25">
      <c r="A17"/>
      <c r="B17"/>
      <c r="C17"/>
      <c r="D17"/>
      <c r="E17"/>
      <c r="F17"/>
      <c r="G17"/>
    </row>
    <row r="18" spans="1:7" x14ac:dyDescent="0.25">
      <c r="A18"/>
      <c r="B18"/>
      <c r="C18"/>
      <c r="D18"/>
      <c r="E18"/>
      <c r="F18"/>
      <c r="G18"/>
    </row>
    <row r="19" spans="1:7" x14ac:dyDescent="0.25">
      <c r="A19"/>
      <c r="B19"/>
      <c r="C19"/>
      <c r="D19"/>
      <c r="E19"/>
      <c r="F19"/>
      <c r="G19"/>
    </row>
    <row r="20" spans="1:7" x14ac:dyDescent="0.25">
      <c r="A20"/>
      <c r="B20"/>
      <c r="C20"/>
      <c r="D20"/>
      <c r="E20"/>
      <c r="F20"/>
      <c r="G20"/>
    </row>
    <row r="21" spans="1:7" x14ac:dyDescent="0.25">
      <c r="A21"/>
      <c r="B21"/>
      <c r="C21"/>
      <c r="D21"/>
      <c r="E21"/>
      <c r="F21"/>
      <c r="G21"/>
    </row>
    <row r="22" spans="1:7" x14ac:dyDescent="0.25">
      <c r="A22"/>
      <c r="B22"/>
      <c r="C22"/>
      <c r="D22"/>
      <c r="E22"/>
      <c r="F22"/>
      <c r="G22"/>
    </row>
    <row r="23" spans="1:7" x14ac:dyDescent="0.25">
      <c r="A23"/>
      <c r="B23"/>
      <c r="C23"/>
      <c r="D23"/>
      <c r="E23"/>
      <c r="F23"/>
      <c r="G23"/>
    </row>
    <row r="24" spans="1:7" x14ac:dyDescent="0.25">
      <c r="A24"/>
      <c r="B24"/>
      <c r="C24"/>
      <c r="D24"/>
      <c r="E24"/>
      <c r="F24"/>
      <c r="G24"/>
    </row>
  </sheetData>
  <dataConsolidate leftLabels="1" topLabels="1">
    <dataRefs count="3">
      <dataRef ref="A4:C7" sheet="Albertson"/>
      <dataRef ref="A4:C6" sheet="Brenshaw"/>
      <dataRef ref="A4:C7" sheet="Patel"/>
    </dataRefs>
  </dataConsolidate>
  <mergeCells count="2">
    <mergeCell ref="A1:C1"/>
    <mergeCell ref="A2:C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14</vt:i4>
      </vt:variant>
    </vt:vector>
  </HeadingPairs>
  <TitlesOfParts>
    <vt:vector size="34" baseType="lpstr">
      <vt:lpstr>IF Function</vt:lpstr>
      <vt:lpstr>Dates_Time</vt:lpstr>
      <vt:lpstr>VLOOKUP</vt:lpstr>
      <vt:lpstr>VLOOKUP RANGE</vt:lpstr>
      <vt:lpstr>HLOOKUP</vt:lpstr>
      <vt:lpstr>Database Functions</vt:lpstr>
      <vt:lpstr>Text Functions</vt:lpstr>
      <vt:lpstr>PMT Data Table</vt:lpstr>
      <vt:lpstr>Solver Basic</vt:lpstr>
      <vt:lpstr>SOLVER2</vt:lpstr>
      <vt:lpstr>Scenario Summary</vt:lpstr>
      <vt:lpstr>Scenarios</vt:lpstr>
      <vt:lpstr>Connecticut</vt:lpstr>
      <vt:lpstr>Maine</vt:lpstr>
      <vt:lpstr>New Hampshire</vt:lpstr>
      <vt:lpstr>Summary</vt:lpstr>
      <vt:lpstr>Albertson</vt:lpstr>
      <vt:lpstr>Patel</vt:lpstr>
      <vt:lpstr>Brenshaw</vt:lpstr>
      <vt:lpstr>Consolidated</vt:lpstr>
      <vt:lpstr>A._Ahrendts</vt:lpstr>
      <vt:lpstr>AllSales</vt:lpstr>
      <vt:lpstr>Category</vt:lpstr>
      <vt:lpstr>Division</vt:lpstr>
      <vt:lpstr>E._Musk</vt:lpstr>
      <vt:lpstr>February</vt:lpstr>
      <vt:lpstr>FebruaryTotals</vt:lpstr>
      <vt:lpstr>January</vt:lpstr>
      <vt:lpstr>M._Mayer</vt:lpstr>
      <vt:lpstr>March</vt:lpstr>
      <vt:lpstr>S._Jobs</vt:lpstr>
      <vt:lpstr>S._Sandberg</vt:lpstr>
      <vt:lpstr>Total_Expenses</vt:lpstr>
      <vt:lpstr>W._Buffett</vt:lpstr>
    </vt:vector>
  </TitlesOfParts>
  <Manager/>
  <Company>Learnit!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Mollé</dc:creator>
  <cp:keywords/>
  <dc:description/>
  <cp:lastModifiedBy>Royal Catrin</cp:lastModifiedBy>
  <cp:revision/>
  <dcterms:created xsi:type="dcterms:W3CDTF">2001-09-07T21:10:35Z</dcterms:created>
  <dcterms:modified xsi:type="dcterms:W3CDTF">2021-09-30T15:39:46Z</dcterms:modified>
  <cp:category/>
  <cp:contentStatus/>
</cp:coreProperties>
</file>