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x\Desktop\IBS_НТ\LR\"/>
    </mc:Choice>
  </mc:AlternateContent>
  <xr:revisionPtr revIDLastSave="0" documentId="13_ncr:1_{BAB80AE9-6604-42AA-BA3C-BC6C641EDE1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Автоматизированный расчет" sheetId="3" r:id="rId1"/>
    <sheet name="Соответствие профилю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3" l="1"/>
  <c r="D6" i="3" l="1"/>
  <c r="B34" i="3" l="1"/>
  <c r="S2" i="3"/>
  <c r="E7" i="3"/>
  <c r="F7" i="3" s="1"/>
  <c r="H7" i="3" s="1"/>
  <c r="B7" i="3"/>
  <c r="C28" i="3"/>
  <c r="C33" i="3"/>
  <c r="C27" i="3"/>
  <c r="C30" i="3"/>
  <c r="G28" i="3" l="1"/>
  <c r="I28" i="3" s="1"/>
  <c r="G30" i="3"/>
  <c r="I30" i="3" s="1"/>
  <c r="G27" i="3"/>
  <c r="I27" i="3" s="1"/>
  <c r="I33" i="3"/>
  <c r="U2" i="3"/>
  <c r="E2" i="3"/>
  <c r="D27" i="3"/>
  <c r="P2" i="3"/>
  <c r="F2" i="3" l="1"/>
  <c r="E10" i="3"/>
  <c r="P3" i="3" l="1"/>
  <c r="P4" i="3"/>
  <c r="P5" i="3"/>
  <c r="P6" i="3"/>
  <c r="D16" i="3"/>
  <c r="D20" i="3"/>
  <c r="D2" i="3"/>
  <c r="H2" i="3" s="1"/>
  <c r="W2" i="3"/>
  <c r="V2" i="3" s="1"/>
  <c r="D4" i="3"/>
  <c r="S6" i="3"/>
  <c r="U6" i="3" s="1"/>
  <c r="D21" i="3" s="1"/>
  <c r="S5" i="3"/>
  <c r="S4" i="3"/>
  <c r="U4" i="3" s="1"/>
  <c r="D13" i="3" s="1"/>
  <c r="S3" i="3"/>
  <c r="U3" i="3" s="1"/>
  <c r="D9" i="3" s="1"/>
  <c r="C31" i="3"/>
  <c r="C32" i="3"/>
  <c r="C29" i="3"/>
  <c r="G32" i="3" l="1"/>
  <c r="I32" i="3" s="1"/>
  <c r="G29" i="3"/>
  <c r="I29" i="3" s="1"/>
  <c r="G31" i="3"/>
  <c r="I31" i="3" s="1"/>
  <c r="D17" i="3"/>
  <c r="U5" i="3"/>
  <c r="U7" i="3" s="1"/>
  <c r="C34" i="3"/>
  <c r="E23" i="3"/>
  <c r="F23" i="3" s="1"/>
  <c r="E19" i="3"/>
  <c r="F19" i="3" s="1"/>
  <c r="E15" i="3"/>
  <c r="F15" i="3" s="1"/>
  <c r="D12" i="3"/>
  <c r="D3" i="3"/>
  <c r="D23" i="3"/>
  <c r="D19" i="3"/>
  <c r="D15" i="3"/>
  <c r="D11" i="3"/>
  <c r="D8" i="3"/>
  <c r="D22" i="3"/>
  <c r="D18" i="3"/>
  <c r="D14" i="3"/>
  <c r="D10" i="3"/>
  <c r="D5" i="3"/>
  <c r="E11" i="3"/>
  <c r="F11" i="3" s="1"/>
  <c r="E6" i="3"/>
  <c r="F6" i="3" s="1"/>
  <c r="E22" i="3"/>
  <c r="F22" i="3" s="1"/>
  <c r="E18" i="3"/>
  <c r="F18" i="3" s="1"/>
  <c r="E14" i="3"/>
  <c r="F14" i="3" s="1"/>
  <c r="F10" i="3"/>
  <c r="E5" i="3"/>
  <c r="F5" i="3" s="1"/>
  <c r="E21" i="3"/>
  <c r="F21" i="3" s="1"/>
  <c r="H21" i="3" s="1"/>
  <c r="E17" i="3"/>
  <c r="F17" i="3" s="1"/>
  <c r="E13" i="3"/>
  <c r="F13" i="3" s="1"/>
  <c r="H13" i="3" s="1"/>
  <c r="E9" i="3"/>
  <c r="F9" i="3" s="1"/>
  <c r="H9" i="3" s="1"/>
  <c r="E4" i="3"/>
  <c r="F4" i="3" s="1"/>
  <c r="H4" i="3" s="1"/>
  <c r="E20" i="3"/>
  <c r="F20" i="3" s="1"/>
  <c r="H20" i="3" s="1"/>
  <c r="E16" i="3"/>
  <c r="F16" i="3" s="1"/>
  <c r="H16" i="3" s="1"/>
  <c r="E12" i="3"/>
  <c r="F12" i="3" s="1"/>
  <c r="E8" i="3"/>
  <c r="F8" i="3" s="1"/>
  <c r="E3" i="3"/>
  <c r="F3" i="3" s="1"/>
  <c r="H3" i="3" s="1"/>
  <c r="D30" i="3"/>
  <c r="D31" i="3"/>
  <c r="D28" i="3"/>
  <c r="D33" i="3"/>
  <c r="D29" i="3"/>
  <c r="D32" i="3"/>
  <c r="V4" i="3"/>
  <c r="V3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H14" i="3" l="1"/>
  <c r="H19" i="3"/>
  <c r="H18" i="3"/>
  <c r="H17" i="3"/>
  <c r="H12" i="3"/>
  <c r="H11" i="3"/>
  <c r="H23" i="3"/>
  <c r="H15" i="3"/>
  <c r="H6" i="3"/>
  <c r="H22" i="3"/>
  <c r="H10" i="3"/>
  <c r="H8" i="3"/>
  <c r="H5" i="3"/>
  <c r="V7" i="3"/>
  <c r="I40" i="2"/>
  <c r="I44" i="2"/>
  <c r="I41" i="2"/>
  <c r="I32" i="2"/>
  <c r="I31" i="2"/>
  <c r="I30" i="2"/>
  <c r="I29" i="2"/>
  <c r="I28" i="2"/>
  <c r="I27" i="2"/>
  <c r="I26" i="2"/>
  <c r="D34" i="3" l="1"/>
</calcChain>
</file>

<file path=xl/sharedStrings.xml><?xml version="1.0" encoding="utf-8"?>
<sst xmlns="http://schemas.openxmlformats.org/spreadsheetml/2006/main" count="199" uniqueCount="81">
  <si>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</si>
  <si>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</si>
  <si>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</si>
  <si>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</si>
  <si>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</si>
  <si>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</si>
  <si>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</si>
  <si>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</si>
  <si>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</si>
  <si>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</si>
  <si>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Покупка билета (без просмотра квитанции)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</si>
  <si>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</si>
  <si>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</si>
  <si>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</si>
  <si>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</si>
  <si>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Поиск билета без оплаты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</si>
  <si>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</si>
  <si>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</si>
  <si>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</si>
  <si>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</si>
  <si>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</si>
  <si>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</si>
  <si>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</si>
  <si>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</si>
  <si>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</si>
  <si>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</si>
  <si>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</si>
  <si>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</si>
  <si>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</si>
  <si>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</si>
  <si>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</si>
  <si>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</si>
  <si>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</si>
  <si>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</si>
  <si>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</si>
  <si>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</si>
  <si>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</si>
  <si>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</si>
  <si>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</si>
  <si>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</si>
  <si>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</si>
  <si>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</si>
  <si>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</si>
  <si>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</si>
  <si>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</si>
  <si>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</si>
  <si>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</si>
  <si>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</si>
  <si>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</si>
  <si>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</si>
  <si>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</si>
  <si>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</si>
  <si>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</si>
  <si>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</si>
  <si>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</si>
  <si>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</si>
  <si>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</si>
  <si>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</si>
  <si>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</si>
  <si>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</si>
  <si>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</si>
  <si>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Соотвествие профилю</t>
  </si>
  <si>
    <t>Cancel</t>
  </si>
  <si>
    <t>choose_flight</t>
  </si>
  <si>
    <t>click itinerary</t>
  </si>
  <si>
    <t>fill_find_flight</t>
  </si>
  <si>
    <t>fill_payment</t>
  </si>
  <si>
    <t>cancel</t>
  </si>
  <si>
    <t>Соответствие названий</t>
  </si>
  <si>
    <t>Перенос из Analysis</t>
  </si>
  <si>
    <t>Операция</t>
  </si>
  <si>
    <t xml:space="preserve">Покупка билета </t>
  </si>
  <si>
    <t xml:space="preserve">Покупка билета (без просмотра квитанции) </t>
  </si>
  <si>
    <t>Соответствие названий процессов</t>
  </si>
  <si>
    <t>Скрипт</t>
  </si>
  <si>
    <t>Buy ticket and view reserv</t>
  </si>
  <si>
    <t>Удаление бронирования</t>
  </si>
  <si>
    <t>Delete</t>
  </si>
  <si>
    <t>Search Tickets</t>
  </si>
  <si>
    <t>Buy ticket</t>
  </si>
  <si>
    <t>View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</si>
</sst>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6"/>
      <color rgb="FF000000"/>
      <name val="Verdana"/>
      <family val="2"/>
      <charset val="204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6E6E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8" applyNumberFormat="0" applyAlignment="0" applyProtection="0"/>
    <xf numFmtId="0" fontId="18" fillId="7" borderId="9" applyNumberFormat="0" applyAlignment="0" applyProtection="0"/>
    <xf numFmtId="0" fontId="19" fillId="7" borderId="8" applyNumberFormat="0" applyAlignment="0" applyProtection="0"/>
    <xf numFmtId="0" fontId="20" fillId="0" borderId="10" applyNumberFormat="0" applyFill="0" applyAlignment="0" applyProtection="0"/>
    <xf numFmtId="0" fontId="21" fillId="8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3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9" fontId="25" fillId="0" borderId="0" applyFont="0" applyFill="0" applyBorder="0" applyAlignment="0" applyProtection="0"/>
    <xf numFmtId="0" fontId="28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top" wrapText="1"/>
    </xf>
    <xf numFmtId="0" fontId="11" fillId="0" borderId="4" xfId="0" applyFont="1" applyBorder="1" applyAlignment="1">
      <alignment horizontal="left" vertical="top" wrapText="1"/>
    </xf>
    <xf numFmtId="0" fontId="9" fillId="0" borderId="4" xfId="4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10" fontId="10" fillId="0" borderId="4" xfId="0" applyNumberFormat="1" applyFont="1" applyBorder="1" applyAlignment="1">
      <alignment horizontal="center" vertical="top"/>
    </xf>
    <xf numFmtId="10" fontId="12" fillId="0" borderId="4" xfId="0" applyNumberFormat="1" applyFont="1" applyBorder="1" applyAlignment="1">
      <alignment horizontal="center" vertical="top"/>
    </xf>
    <xf numFmtId="10" fontId="12" fillId="0" borderId="4" xfId="0" applyNumberFormat="1" applyFont="1" applyBorder="1" applyAlignment="1">
      <alignment horizontal="left" vertical="top"/>
    </xf>
    <xf numFmtId="0" fontId="10" fillId="5" borderId="4" xfId="0" applyFont="1" applyFill="1" applyBorder="1" applyAlignment="1">
      <alignment horizontal="left" vertical="top"/>
    </xf>
    <xf numFmtId="0" fontId="1" fillId="0" borderId="4" xfId="42" applyBorder="1"/>
    <xf numFmtId="0" fontId="10" fillId="0" borderId="4" xfId="0" applyFont="1" applyBorder="1" applyAlignment="1">
      <alignment horizontal="left" vertical="top"/>
    </xf>
    <xf numFmtId="10" fontId="10" fillId="0" borderId="4" xfId="0" applyNumberFormat="1" applyFont="1" applyBorder="1" applyAlignment="1">
      <alignment horizontal="left" vertical="top"/>
    </xf>
    <xf numFmtId="0" fontId="9" fillId="0" borderId="4" xfId="4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4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44" applyFont="1"/>
    <xf numFmtId="1" fontId="3" fillId="0" borderId="0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26" fillId="0" borderId="0" xfId="0" applyFont="1"/>
    <xf numFmtId="1" fontId="26" fillId="0" borderId="0" xfId="0" applyNumberFormat="1" applyFont="1"/>
    <xf numFmtId="9" fontId="26" fillId="0" borderId="0" xfId="0" applyNumberFormat="1" applyFont="1"/>
    <xf numFmtId="0" fontId="0" fillId="36" borderId="4" xfId="0" applyFill="1" applyBorder="1"/>
    <xf numFmtId="0" fontId="5" fillId="0" borderId="0" xfId="0" applyFont="1"/>
    <xf numFmtId="0" fontId="27" fillId="37" borderId="0" xfId="0" applyFont="1" applyFill="1" applyAlignment="1">
      <alignment vertical="center"/>
    </xf>
    <xf numFmtId="0" fontId="27" fillId="38" borderId="0" xfId="0" applyFont="1" applyFill="1" applyAlignment="1">
      <alignment vertical="center"/>
    </xf>
    <xf numFmtId="0" fontId="28" fillId="37" borderId="0" xfId="45" applyFill="1" applyAlignment="1">
      <alignment vertical="center"/>
    </xf>
    <xf numFmtId="0" fontId="28" fillId="38" borderId="0" xfId="45" applyFill="1" applyAlignment="1">
      <alignment vertical="center"/>
    </xf>
    <xf numFmtId="0" fontId="9" fillId="0" borderId="0" xfId="0" applyFont="1"/>
    <xf numFmtId="0" fontId="0" fillId="34" borderId="0" xfId="0" applyFill="1" applyAlignment="1">
      <alignment horizontal="center"/>
    </xf>
    <xf numFmtId="1" fontId="0" fillId="36" borderId="4" xfId="0" applyNumberFormat="1" applyFill="1" applyBorder="1"/>
  </cellXfs>
  <cellStyles count="46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Гиперссылка" xfId="45" builtinId="8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D0B2F1B7-AACC-435D-9754-3ABECF1F1E3C}"/>
    <cellStyle name="Обычный 3" xfId="42" xr:uid="{38AB8912-B8DB-4975-BF95-24BAE8E9314A}"/>
    <cellStyle name="Плохой" xfId="2" builtinId="27" customBuiltin="1"/>
    <cellStyle name="Пояснение" xfId="16" builtinId="53" customBuiltin="1"/>
    <cellStyle name="Примечание 2" xfId="43" xr:uid="{5DB8A108-6C29-4BDB-BF02-7C9BE96B190C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094.562303356484" createdVersion="6" refreshedVersion="6" minRefreshableVersion="3" recordCount="22" xr:uid="{849ED774-79A0-8640-B03A-801DA7FF34DA}">
  <cacheSource type="worksheet">
    <worksheetSource ref="A1:H23" sheet="Автоматизированный расчет"/>
  </cacheSource>
  <cacheFields count="8">
    <cacheField name="Script name" numFmtId="0">
      <sharedItems/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2" maxValue="2"/>
    </cacheField>
    <cacheField name="pacing" numFmtId="0">
      <sharedItems containsSemiMixedTypes="0" containsString="0" containsNumber="1" containsInteger="1" minValue="45" maxValue="230"/>
    </cacheField>
    <cacheField name="одним пользователем в минуту" numFmtId="2">
      <sharedItems containsSemiMixedTypes="0" containsString="0" containsNumber="1" minValue="0.2608695652173913" maxValue="1.3333333333333333"/>
    </cacheField>
    <cacheField name="Длительность ступени" numFmtId="0">
      <sharedItems containsSemiMixedTypes="0" containsString="0" containsNumber="1" containsInteger="1" minValue="60" maxValue="61"/>
    </cacheField>
    <cacheField name="Итого" numFmtId="1">
      <sharedItems containsSemiMixedTypes="0" containsString="0" containsNumber="1" minValue="31.304347826086957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Покупка билета"/>
    <x v="0"/>
    <n v="1"/>
    <n v="2"/>
    <n v="230"/>
    <n v="0.2608695652173913"/>
    <n v="60"/>
    <n v="31.304347826086957"/>
  </r>
  <r>
    <s v="Покупка билета"/>
    <x v="1"/>
    <n v="1"/>
    <n v="2"/>
    <n v="230"/>
    <n v="0.2608695652173913"/>
    <n v="60"/>
    <n v="31.304347826086957"/>
  </r>
  <r>
    <s v="Покупка билета"/>
    <x v="2"/>
    <n v="1"/>
    <n v="2"/>
    <n v="230"/>
    <n v="0.2608695652173913"/>
    <n v="60"/>
    <n v="31.304347826086957"/>
  </r>
  <r>
    <s v="Покупка билета"/>
    <x v="3"/>
    <n v="1"/>
    <n v="2"/>
    <n v="230"/>
    <n v="0.2608695652173913"/>
    <n v="60"/>
    <n v="31.304347826086957"/>
  </r>
  <r>
    <s v="Покупка билета"/>
    <x v="4"/>
    <n v="1"/>
    <n v="2"/>
    <n v="230"/>
    <n v="0.2608695652173913"/>
    <n v="60"/>
    <n v="31.304347826086957"/>
  </r>
  <r>
    <s v="Покупка билета"/>
    <x v="5"/>
    <n v="1"/>
    <n v="2"/>
    <n v="230"/>
    <n v="0.2608695652173913"/>
    <n v="61"/>
    <n v="31.826086956521738"/>
  </r>
  <r>
    <s v="Удаление бронирования "/>
    <x v="0"/>
    <n v="1"/>
    <n v="2"/>
    <n v="100"/>
    <n v="0.6"/>
    <n v="60"/>
    <n v="72"/>
  </r>
  <r>
    <s v="Удаление бронирования "/>
    <x v="4"/>
    <n v="1"/>
    <n v="2"/>
    <n v="100"/>
    <n v="0.6"/>
    <n v="60"/>
    <n v="72"/>
  </r>
  <r>
    <s v="Удаление бронирования "/>
    <x v="6"/>
    <n v="1"/>
    <n v="2"/>
    <n v="100"/>
    <n v="0.6"/>
    <n v="60"/>
    <n v="72"/>
  </r>
  <r>
    <s v="Удаление бронирования "/>
    <x v="5"/>
    <n v="1"/>
    <n v="2"/>
    <n v="100"/>
    <n v="0.6"/>
    <n v="60"/>
    <n v="72"/>
  </r>
  <r>
    <s v="Поиск билета без оплаты"/>
    <x v="0"/>
    <n v="1"/>
    <n v="2"/>
    <n v="100"/>
    <n v="0.6"/>
    <n v="60"/>
    <n v="72"/>
  </r>
  <r>
    <s v="Поиск билета без оплаты"/>
    <x v="1"/>
    <n v="1"/>
    <n v="2"/>
    <n v="100"/>
    <n v="0.6"/>
    <n v="60"/>
    <n v="72"/>
  </r>
  <r>
    <s v="Поиск билета без оплаты"/>
    <x v="2"/>
    <n v="1"/>
    <n v="2"/>
    <n v="100"/>
    <n v="0.6"/>
    <n v="60"/>
    <n v="72"/>
  </r>
  <r>
    <s v="Поиск билета без оплаты"/>
    <x v="5"/>
    <n v="1"/>
    <n v="2"/>
    <n v="100"/>
    <n v="0.6"/>
    <n v="60"/>
    <n v="72"/>
  </r>
  <r>
    <s v="Покупка билета (без просмотра квитанции)"/>
    <x v="0"/>
    <n v="1"/>
    <n v="2"/>
    <n v="45"/>
    <n v="1.3333333333333333"/>
    <n v="60"/>
    <n v="160"/>
  </r>
  <r>
    <s v="Покупка билета (без просмотра квитанции)"/>
    <x v="1"/>
    <n v="1"/>
    <n v="2"/>
    <n v="45"/>
    <n v="1.3333333333333333"/>
    <n v="60"/>
    <n v="160"/>
  </r>
  <r>
    <s v="Покупка билета (без просмотра квитанции)"/>
    <x v="2"/>
    <n v="1"/>
    <n v="2"/>
    <n v="45"/>
    <n v="1.3333333333333333"/>
    <n v="60"/>
    <n v="160"/>
  </r>
  <r>
    <s v="Покупка билета (без просмотра квитанции)"/>
    <x v="3"/>
    <n v="1"/>
    <n v="2"/>
    <n v="45"/>
    <n v="1.3333333333333333"/>
    <n v="60"/>
    <n v="160"/>
  </r>
  <r>
    <s v="Покупка билета (без просмотра квитанции)"/>
    <x v="5"/>
    <n v="1"/>
    <n v="2"/>
    <n v="45"/>
    <n v="1.3333333333333333"/>
    <n v="60"/>
    <n v="160"/>
  </r>
  <r>
    <s v="Ознакомление с путевым листом"/>
    <x v="0"/>
    <n v="1"/>
    <n v="2"/>
    <n v="130"/>
    <n v="0.46153846153846156"/>
    <n v="60"/>
    <n v="55.384615384615387"/>
  </r>
  <r>
    <s v="Ознакомление с путевым листом"/>
    <x v="4"/>
    <n v="1"/>
    <n v="2"/>
    <n v="130"/>
    <n v="0.46153846153846156"/>
    <n v="60"/>
    <n v="55.384615384615387"/>
  </r>
  <r>
    <s v="Ознакомление с путевым листом"/>
    <x v="5"/>
    <n v="1"/>
    <n v="2"/>
    <n v="130"/>
    <n v="0.46153846153846156"/>
    <n v="60"/>
    <n v="55.3846153846153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B8241-71E6-3F4A-ACE2-C3E8BA417ED7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2"/>
        <item x="5"/>
        <item x="1"/>
        <item x="3"/>
        <item x="6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AppData/Local/Temp/ResponseTime0000(logout)0000" TargetMode="External"/><Relationship Id="rId3" Type="http://schemas.openxmlformats.org/officeDocument/2006/relationships/hyperlink" Target="../../../AppData/Local/Temp/ResponseTime0000(choose_flight)0000" TargetMode="External"/><Relationship Id="rId7" Type="http://schemas.openxmlformats.org/officeDocument/2006/relationships/hyperlink" Target="../../../AppData/Local/Temp/ResponseTime0000(login)0000" TargetMode="External"/><Relationship Id="rId2" Type="http://schemas.openxmlformats.org/officeDocument/2006/relationships/hyperlink" Target="../../../AppData/Local/Temp/ResponseTime0000(Cancel)0000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../../../AppData/Local/Temp/ResponseTime0000(fill_payment)0000" TargetMode="External"/><Relationship Id="rId5" Type="http://schemas.openxmlformats.org/officeDocument/2006/relationships/hyperlink" Target="../../../AppData/Local/Temp/ResponseTime0000(fill_find_flight)0000" TargetMode="External"/><Relationship Id="rId4" Type="http://schemas.openxmlformats.org/officeDocument/2006/relationships/hyperlink" Target="../../../AppData/Local/Temp/ResponseTime0000(click%20itinerary)0000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3EA1-9683-764A-B533-D46D1B03E170}">
  <dimension ref="A1:X45"/>
  <sheetViews>
    <sheetView tabSelected="1" topLeftCell="M1" zoomScaleNormal="100" workbookViewId="0">
      <selection activeCell="K23" sqref="K23"/>
    </sheetView>
  </sheetViews>
  <sheetFormatPr defaultColWidth="11.5546875" defaultRowHeight="14.4" x14ac:dyDescent="0.3"/>
  <cols>
    <col min="1" max="1" width="22.6640625" customWidth="1"/>
    <col min="2" max="2" width="37.33203125" customWidth="1"/>
    <col min="9" max="9" width="34.6640625" bestFit="1" customWidth="1"/>
    <col min="10" max="10" width="20.5546875" bestFit="1" customWidth="1"/>
    <col min="11" max="11" width="18.6640625" customWidth="1"/>
    <col min="12" max="12" width="27.44140625" bestFit="1" customWidth="1"/>
    <col min="13" max="13" width="35.77734375" bestFit="1" customWidth="1"/>
    <col min="19" max="19" width="44" bestFit="1" customWidth="1"/>
  </cols>
  <sheetData>
    <row r="1" spans="1:24" ht="15" thickBot="1" x14ac:dyDescent="0.35">
      <c r="A1" t="s">
        <v>39</v>
      </c>
      <c r="B1" t="s">
        <v>40</v>
      </c>
      <c r="C1" t="s">
        <v>41</v>
      </c>
      <c r="D1" t="s">
        <v>46</v>
      </c>
      <c r="E1" t="s">
        <v>57</v>
      </c>
      <c r="F1" t="s">
        <v>58</v>
      </c>
      <c r="G1" t="s">
        <v>59</v>
      </c>
      <c r="H1" t="s">
        <v>7</v>
      </c>
      <c r="I1" s="20" t="s">
        <v>42</v>
      </c>
      <c r="J1" t="s">
        <v>55</v>
      </c>
      <c r="M1" t="s">
        <v>70</v>
      </c>
      <c r="N1" t="s">
        <v>47</v>
      </c>
      <c r="O1" t="s">
        <v>48</v>
      </c>
      <c r="P1" t="s">
        <v>60</v>
      </c>
      <c r="Q1" t="s">
        <v>49</v>
      </c>
      <c r="R1" t="s">
        <v>46</v>
      </c>
      <c r="S1" t="s">
        <v>50</v>
      </c>
      <c r="T1" s="31" t="s">
        <v>51</v>
      </c>
      <c r="U1" s="31" t="s">
        <v>52</v>
      </c>
      <c r="V1" s="31" t="s">
        <v>53</v>
      </c>
      <c r="X1" t="s">
        <v>54</v>
      </c>
    </row>
    <row r="2" spans="1:24" x14ac:dyDescent="0.3">
      <c r="A2" t="s">
        <v>8</v>
      </c>
      <c r="B2" t="s">
        <v>0</v>
      </c>
      <c r="C2">
        <v>1</v>
      </c>
      <c r="D2" s="28">
        <f t="shared" ref="D2:D23" si="0">VLOOKUP(A2,$M$1:$W$8,6,FALSE)</f>
        <v>2</v>
      </c>
      <c r="E2">
        <f>VLOOKUP(A2,$M$1:$W$8,5,FALSE)</f>
        <v>230</v>
      </c>
      <c r="F2" s="25">
        <f>60/E2</f>
        <v>0.2608695652173913</v>
      </c>
      <c r="G2">
        <v>60</v>
      </c>
      <c r="H2" s="24">
        <f>D2*F2*G2</f>
        <v>31.304347826086957</v>
      </c>
      <c r="I2" s="21" t="s">
        <v>0</v>
      </c>
      <c r="J2" s="19">
        <v>390.68896321070235</v>
      </c>
      <c r="K2" s="19"/>
      <c r="M2" t="s">
        <v>8</v>
      </c>
      <c r="N2">
        <v>42.174900000000001</v>
      </c>
      <c r="O2">
        <v>40.001399999999997</v>
      </c>
      <c r="P2">
        <f>N2+O2</f>
        <v>82.176299999999998</v>
      </c>
      <c r="Q2" s="22">
        <v>230</v>
      </c>
      <c r="R2" s="22">
        <v>2</v>
      </c>
      <c r="S2" s="23">
        <f>60/(Q2)</f>
        <v>0.2608695652173913</v>
      </c>
      <c r="T2" s="31">
        <v>20</v>
      </c>
      <c r="U2" s="32">
        <f>ROUND(R2*S2*T2,0)</f>
        <v>10</v>
      </c>
      <c r="V2" s="33">
        <f>R2/W$2</f>
        <v>0.2</v>
      </c>
      <c r="W2">
        <f>SUM(R2:R6)</f>
        <v>10</v>
      </c>
    </row>
    <row r="3" spans="1:24" x14ac:dyDescent="0.3">
      <c r="A3" t="s">
        <v>8</v>
      </c>
      <c r="B3" t="s">
        <v>12</v>
      </c>
      <c r="C3">
        <v>1</v>
      </c>
      <c r="D3" s="29">
        <f t="shared" si="0"/>
        <v>2</v>
      </c>
      <c r="E3">
        <f t="shared" ref="E3:E23" si="1">VLOOKUP(A3,$M$1:$W$8,5,FALSE)</f>
        <v>230</v>
      </c>
      <c r="F3" s="25">
        <f t="shared" ref="F3:F23" si="2">60/E3</f>
        <v>0.2608695652173913</v>
      </c>
      <c r="G3">
        <v>60</v>
      </c>
      <c r="H3" s="24">
        <f t="shared" ref="H3:H23" si="3">D3*F3*G3</f>
        <v>31.304347826086957</v>
      </c>
      <c r="I3" s="21" t="s">
        <v>13</v>
      </c>
      <c r="J3" s="19">
        <v>263.30434782608694</v>
      </c>
      <c r="K3" s="19"/>
      <c r="M3" t="s">
        <v>9</v>
      </c>
      <c r="N3">
        <v>12.550800000000001</v>
      </c>
      <c r="O3">
        <v>10.0001</v>
      </c>
      <c r="P3">
        <f t="shared" ref="P3:P6" si="4">N3+O3</f>
        <v>22.550899999999999</v>
      </c>
      <c r="Q3" s="22">
        <v>100</v>
      </c>
      <c r="R3" s="22">
        <v>2</v>
      </c>
      <c r="S3" s="23">
        <f t="shared" ref="S3:S6" si="5">60/(Q3)</f>
        <v>0.6</v>
      </c>
      <c r="T3" s="31">
        <v>20</v>
      </c>
      <c r="U3" s="32">
        <f t="shared" ref="U3:U6" si="6">ROUND(R3*S3*T3,0)</f>
        <v>24</v>
      </c>
      <c r="V3" s="33">
        <f t="shared" ref="V3:V6" si="7">R3/W$2</f>
        <v>0.2</v>
      </c>
    </row>
    <row r="4" spans="1:24" x14ac:dyDescent="0.3">
      <c r="A4" t="s">
        <v>8</v>
      </c>
      <c r="B4" t="s">
        <v>13</v>
      </c>
      <c r="C4">
        <v>1</v>
      </c>
      <c r="D4" s="29">
        <f t="shared" si="0"/>
        <v>2</v>
      </c>
      <c r="E4">
        <f t="shared" si="1"/>
        <v>230</v>
      </c>
      <c r="F4" s="25">
        <f t="shared" si="2"/>
        <v>0.2608695652173913</v>
      </c>
      <c r="G4">
        <v>60</v>
      </c>
      <c r="H4" s="24">
        <f t="shared" si="3"/>
        <v>31.304347826086957</v>
      </c>
      <c r="I4" s="21" t="s">
        <v>6</v>
      </c>
      <c r="J4" s="19">
        <v>391.21070234113711</v>
      </c>
      <c r="K4" s="19"/>
      <c r="M4" t="s">
        <v>15</v>
      </c>
      <c r="N4">
        <v>32.330199999999998</v>
      </c>
      <c r="O4">
        <v>30.0031</v>
      </c>
      <c r="P4">
        <f t="shared" si="4"/>
        <v>62.333299999999994</v>
      </c>
      <c r="Q4" s="22">
        <v>100</v>
      </c>
      <c r="R4" s="22">
        <v>2</v>
      </c>
      <c r="S4" s="23">
        <f t="shared" si="5"/>
        <v>0.6</v>
      </c>
      <c r="T4" s="31">
        <v>20</v>
      </c>
      <c r="U4" s="32">
        <f t="shared" si="6"/>
        <v>24</v>
      </c>
      <c r="V4" s="33">
        <f t="shared" si="7"/>
        <v>0.2</v>
      </c>
    </row>
    <row r="5" spans="1:24" x14ac:dyDescent="0.3">
      <c r="A5" t="s">
        <v>8</v>
      </c>
      <c r="B5" t="s">
        <v>3</v>
      </c>
      <c r="C5">
        <v>1</v>
      </c>
      <c r="D5" s="29">
        <f t="shared" si="0"/>
        <v>2</v>
      </c>
      <c r="E5">
        <f t="shared" si="1"/>
        <v>230</v>
      </c>
      <c r="F5" s="25">
        <f t="shared" si="2"/>
        <v>0.2608695652173913</v>
      </c>
      <c r="G5">
        <v>60</v>
      </c>
      <c r="H5" s="24">
        <f t="shared" si="3"/>
        <v>31.304347826086957</v>
      </c>
      <c r="I5" s="21" t="s">
        <v>12</v>
      </c>
      <c r="J5" s="19">
        <v>263.30434782608694</v>
      </c>
      <c r="K5" s="19"/>
      <c r="M5" t="s">
        <v>10</v>
      </c>
      <c r="N5">
        <v>38.310200000000002</v>
      </c>
      <c r="O5">
        <v>35.0017</v>
      </c>
      <c r="P5">
        <f t="shared" si="4"/>
        <v>73.311900000000009</v>
      </c>
      <c r="Q5" s="22">
        <v>45</v>
      </c>
      <c r="R5" s="22">
        <v>2</v>
      </c>
      <c r="S5" s="23">
        <f t="shared" si="5"/>
        <v>1.3333333333333333</v>
      </c>
      <c r="T5" s="31">
        <v>20</v>
      </c>
      <c r="U5" s="32">
        <f>ROUND(R5*S5*T5,0)</f>
        <v>53</v>
      </c>
      <c r="V5" s="33">
        <f t="shared" si="7"/>
        <v>0.2</v>
      </c>
    </row>
    <row r="6" spans="1:24" ht="15" thickBot="1" x14ac:dyDescent="0.35">
      <c r="A6" t="s">
        <v>8</v>
      </c>
      <c r="B6" t="s">
        <v>4</v>
      </c>
      <c r="C6">
        <v>1</v>
      </c>
      <c r="D6" s="30">
        <f>VLOOKUP(A6,$M$1:$W$8,6,FALSE)</f>
        <v>2</v>
      </c>
      <c r="E6">
        <f t="shared" si="1"/>
        <v>230</v>
      </c>
      <c r="F6" s="25">
        <f t="shared" si="2"/>
        <v>0.2608695652173913</v>
      </c>
      <c r="G6">
        <v>60</v>
      </c>
      <c r="H6" s="24">
        <f t="shared" si="3"/>
        <v>31.304347826086957</v>
      </c>
      <c r="I6" s="21" t="s">
        <v>3</v>
      </c>
      <c r="J6" s="19">
        <v>191.30434782608697</v>
      </c>
      <c r="K6" s="19"/>
      <c r="M6" t="s">
        <v>11</v>
      </c>
      <c r="N6">
        <v>18.281300000000002</v>
      </c>
      <c r="O6">
        <v>15.000999999999999</v>
      </c>
      <c r="P6">
        <f t="shared" si="4"/>
        <v>33.282299999999999</v>
      </c>
      <c r="Q6" s="22">
        <v>130</v>
      </c>
      <c r="R6" s="22">
        <v>2</v>
      </c>
      <c r="S6" s="23">
        <f t="shared" si="5"/>
        <v>0.46153846153846156</v>
      </c>
      <c r="T6" s="31">
        <v>20</v>
      </c>
      <c r="U6" s="32">
        <f t="shared" si="6"/>
        <v>18</v>
      </c>
      <c r="V6" s="33">
        <f t="shared" si="7"/>
        <v>0.2</v>
      </c>
    </row>
    <row r="7" spans="1:24" ht="15" thickBot="1" x14ac:dyDescent="0.35">
      <c r="A7" t="s">
        <v>8</v>
      </c>
      <c r="B7" t="str">
        <f>B23</f>
        <v>Выход из системы</v>
      </c>
      <c r="C7">
        <v>1</v>
      </c>
      <c r="D7" s="29">
        <v>2</v>
      </c>
      <c r="E7">
        <f t="shared" ref="E7" si="8">VLOOKUP(A7,$M$1:$W$8,5,FALSE)</f>
        <v>230</v>
      </c>
      <c r="F7" s="25">
        <f t="shared" ref="F7" si="9">60/E7</f>
        <v>0.2608695652173913</v>
      </c>
      <c r="G7">
        <v>60</v>
      </c>
      <c r="H7" s="24">
        <f t="shared" ref="H7" si="10">D7*F7*G7</f>
        <v>31.304347826086957</v>
      </c>
      <c r="I7" s="21" t="s">
        <v>14</v>
      </c>
      <c r="J7" s="19">
        <v>72</v>
      </c>
      <c r="K7" s="19"/>
      <c r="T7" s="31"/>
      <c r="U7" s="32">
        <f>SUM(U2:U6)</f>
        <v>129</v>
      </c>
      <c r="V7" s="33">
        <f>SUM(V2:V6)</f>
        <v>1</v>
      </c>
    </row>
    <row r="8" spans="1:24" x14ac:dyDescent="0.3">
      <c r="A8" t="s">
        <v>9</v>
      </c>
      <c r="B8" t="s">
        <v>0</v>
      </c>
      <c r="C8">
        <v>1</v>
      </c>
      <c r="D8" s="28">
        <f t="shared" si="0"/>
        <v>2</v>
      </c>
      <c r="E8">
        <f t="shared" si="1"/>
        <v>100</v>
      </c>
      <c r="F8" s="25">
        <f t="shared" si="2"/>
        <v>0.6</v>
      </c>
      <c r="G8">
        <v>60</v>
      </c>
      <c r="H8" s="24">
        <f t="shared" si="3"/>
        <v>72</v>
      </c>
      <c r="I8" s="21" t="s">
        <v>4</v>
      </c>
      <c r="J8" s="19">
        <v>158.68896321070235</v>
      </c>
      <c r="K8" s="19"/>
      <c r="M8" t="s">
        <v>73</v>
      </c>
    </row>
    <row r="9" spans="1:24" x14ac:dyDescent="0.3">
      <c r="A9" t="s">
        <v>9</v>
      </c>
      <c r="B9" t="s">
        <v>4</v>
      </c>
      <c r="C9">
        <v>1</v>
      </c>
      <c r="D9" s="29">
        <f t="shared" si="0"/>
        <v>2</v>
      </c>
      <c r="E9">
        <f t="shared" si="1"/>
        <v>100</v>
      </c>
      <c r="F9" s="25">
        <f t="shared" si="2"/>
        <v>0.6</v>
      </c>
      <c r="G9">
        <v>60</v>
      </c>
      <c r="H9" s="24">
        <f t="shared" si="3"/>
        <v>72</v>
      </c>
      <c r="I9" s="21" t="s">
        <v>43</v>
      </c>
      <c r="J9" s="19">
        <v>1730.5016722408027</v>
      </c>
      <c r="K9" s="19"/>
      <c r="M9" t="s">
        <v>45</v>
      </c>
      <c r="N9" t="s">
        <v>74</v>
      </c>
    </row>
    <row r="10" spans="1:24" x14ac:dyDescent="0.3">
      <c r="A10" t="s">
        <v>9</v>
      </c>
      <c r="B10" t="s">
        <v>14</v>
      </c>
      <c r="C10">
        <v>1</v>
      </c>
      <c r="D10" s="29">
        <f t="shared" si="0"/>
        <v>2</v>
      </c>
      <c r="E10">
        <f>VLOOKUP(A10,$M$1:$W$8,5,FALSE)</f>
        <v>100</v>
      </c>
      <c r="F10" s="25">
        <f t="shared" si="2"/>
        <v>0.6</v>
      </c>
      <c r="G10">
        <v>60</v>
      </c>
      <c r="H10" s="24">
        <f t="shared" si="3"/>
        <v>72</v>
      </c>
      <c r="M10" t="s">
        <v>71</v>
      </c>
      <c r="N10" t="s">
        <v>75</v>
      </c>
    </row>
    <row r="11" spans="1:24" ht="15" thickBot="1" x14ac:dyDescent="0.35">
      <c r="A11" t="s">
        <v>9</v>
      </c>
      <c r="B11" t="s">
        <v>6</v>
      </c>
      <c r="C11">
        <v>1</v>
      </c>
      <c r="D11" s="30">
        <f t="shared" si="0"/>
        <v>2</v>
      </c>
      <c r="E11">
        <f t="shared" si="1"/>
        <v>100</v>
      </c>
      <c r="F11" s="25">
        <f t="shared" si="2"/>
        <v>0.6</v>
      </c>
      <c r="G11">
        <v>60</v>
      </c>
      <c r="H11" s="24">
        <f>D11*F11*G11</f>
        <v>72</v>
      </c>
      <c r="M11" t="s">
        <v>76</v>
      </c>
      <c r="N11" t="s">
        <v>77</v>
      </c>
    </row>
    <row r="12" spans="1:24" x14ac:dyDescent="0.3">
      <c r="A12" t="s">
        <v>15</v>
      </c>
      <c r="B12" t="s">
        <v>0</v>
      </c>
      <c r="C12">
        <v>1</v>
      </c>
      <c r="D12" s="28">
        <f t="shared" si="0"/>
        <v>2</v>
      </c>
      <c r="E12">
        <f t="shared" si="1"/>
        <v>100</v>
      </c>
      <c r="F12" s="25">
        <f t="shared" si="2"/>
        <v>0.6</v>
      </c>
      <c r="G12">
        <v>60</v>
      </c>
      <c r="H12" s="24">
        <f>D12*F12*G12</f>
        <v>72</v>
      </c>
      <c r="J12" s="24"/>
      <c r="M12" t="s">
        <v>15</v>
      </c>
      <c r="N12" t="s">
        <v>78</v>
      </c>
    </row>
    <row r="13" spans="1:24" x14ac:dyDescent="0.3">
      <c r="A13" t="s">
        <v>15</v>
      </c>
      <c r="B13" t="s">
        <v>12</v>
      </c>
      <c r="C13">
        <v>1</v>
      </c>
      <c r="D13" s="29">
        <f t="shared" si="0"/>
        <v>2</v>
      </c>
      <c r="E13">
        <f t="shared" si="1"/>
        <v>100</v>
      </c>
      <c r="F13" s="25">
        <f t="shared" si="2"/>
        <v>0.6</v>
      </c>
      <c r="G13">
        <v>60</v>
      </c>
      <c r="H13" s="24">
        <f t="shared" si="3"/>
        <v>72</v>
      </c>
      <c r="M13" t="s">
        <v>72</v>
      </c>
      <c r="N13" t="s">
        <v>79</v>
      </c>
    </row>
    <row r="14" spans="1:24" x14ac:dyDescent="0.3">
      <c r="A14" t="s">
        <v>15</v>
      </c>
      <c r="B14" t="s">
        <v>13</v>
      </c>
      <c r="C14">
        <v>1</v>
      </c>
      <c r="D14" s="29">
        <f t="shared" si="0"/>
        <v>2</v>
      </c>
      <c r="E14">
        <f t="shared" si="1"/>
        <v>100</v>
      </c>
      <c r="F14" s="25">
        <f t="shared" si="2"/>
        <v>0.6</v>
      </c>
      <c r="G14">
        <v>60</v>
      </c>
      <c r="H14" s="24">
        <f>D14*F14*G14</f>
        <v>72</v>
      </c>
      <c r="M14" t="s">
        <v>11</v>
      </c>
      <c r="N14" t="s">
        <v>80</v>
      </c>
    </row>
    <row r="15" spans="1:24" ht="15" thickBot="1" x14ac:dyDescent="0.35">
      <c r="A15" t="s">
        <v>15</v>
      </c>
      <c r="B15" t="s">
        <v>6</v>
      </c>
      <c r="C15">
        <v>1</v>
      </c>
      <c r="D15" s="30">
        <f t="shared" si="0"/>
        <v>2</v>
      </c>
      <c r="E15">
        <f t="shared" si="1"/>
        <v>100</v>
      </c>
      <c r="F15" s="25">
        <f t="shared" si="2"/>
        <v>0.6</v>
      </c>
      <c r="G15">
        <v>60</v>
      </c>
      <c r="H15" s="24">
        <f t="shared" si="3"/>
        <v>72</v>
      </c>
    </row>
    <row r="16" spans="1:24" x14ac:dyDescent="0.3">
      <c r="A16" t="s">
        <v>10</v>
      </c>
      <c r="B16" t="s">
        <v>0</v>
      </c>
      <c r="C16">
        <v>1</v>
      </c>
      <c r="D16" s="28">
        <f t="shared" si="0"/>
        <v>2</v>
      </c>
      <c r="E16">
        <f t="shared" si="1"/>
        <v>45</v>
      </c>
      <c r="F16" s="25">
        <f t="shared" si="2"/>
        <v>1.3333333333333333</v>
      </c>
      <c r="G16">
        <v>60</v>
      </c>
      <c r="H16" s="24">
        <f t="shared" si="3"/>
        <v>160</v>
      </c>
    </row>
    <row r="17" spans="1:9" x14ac:dyDescent="0.3">
      <c r="A17" t="s">
        <v>10</v>
      </c>
      <c r="B17" t="s">
        <v>12</v>
      </c>
      <c r="C17">
        <v>1</v>
      </c>
      <c r="D17" s="29">
        <f t="shared" si="0"/>
        <v>2</v>
      </c>
      <c r="E17">
        <f t="shared" si="1"/>
        <v>45</v>
      </c>
      <c r="F17" s="25">
        <f t="shared" si="2"/>
        <v>1.3333333333333333</v>
      </c>
      <c r="G17">
        <v>60</v>
      </c>
      <c r="H17" s="24">
        <f t="shared" si="3"/>
        <v>160</v>
      </c>
    </row>
    <row r="18" spans="1:9" x14ac:dyDescent="0.3">
      <c r="A18" t="s">
        <v>10</v>
      </c>
      <c r="B18" t="s">
        <v>13</v>
      </c>
      <c r="C18">
        <v>1</v>
      </c>
      <c r="D18" s="29">
        <f t="shared" si="0"/>
        <v>2</v>
      </c>
      <c r="E18">
        <f t="shared" si="1"/>
        <v>45</v>
      </c>
      <c r="F18" s="25">
        <f t="shared" si="2"/>
        <v>1.3333333333333333</v>
      </c>
      <c r="G18">
        <v>60</v>
      </c>
      <c r="H18" s="24">
        <f>D18*F18*G18</f>
        <v>160</v>
      </c>
    </row>
    <row r="19" spans="1:9" x14ac:dyDescent="0.3">
      <c r="A19" t="s">
        <v>10</v>
      </c>
      <c r="B19" t="s">
        <v>3</v>
      </c>
      <c r="C19">
        <v>1</v>
      </c>
      <c r="D19" s="29">
        <f t="shared" si="0"/>
        <v>2</v>
      </c>
      <c r="E19">
        <f t="shared" si="1"/>
        <v>45</v>
      </c>
      <c r="F19" s="25">
        <f t="shared" si="2"/>
        <v>1.3333333333333333</v>
      </c>
      <c r="G19">
        <v>60</v>
      </c>
      <c r="H19" s="24">
        <f>D19*F19*G19</f>
        <v>160</v>
      </c>
    </row>
    <row r="20" spans="1:9" ht="15" thickBot="1" x14ac:dyDescent="0.35">
      <c r="A20" t="s">
        <v>10</v>
      </c>
      <c r="B20" t="s">
        <v>6</v>
      </c>
      <c r="C20">
        <v>1</v>
      </c>
      <c r="D20" s="30">
        <f t="shared" si="0"/>
        <v>2</v>
      </c>
      <c r="E20">
        <f t="shared" si="1"/>
        <v>45</v>
      </c>
      <c r="F20" s="25">
        <f t="shared" si="2"/>
        <v>1.3333333333333333</v>
      </c>
      <c r="G20">
        <v>60</v>
      </c>
      <c r="H20" s="24">
        <f t="shared" si="3"/>
        <v>160</v>
      </c>
    </row>
    <row r="21" spans="1:9" x14ac:dyDescent="0.3">
      <c r="A21" t="s">
        <v>11</v>
      </c>
      <c r="B21" t="s">
        <v>0</v>
      </c>
      <c r="C21">
        <v>1</v>
      </c>
      <c r="D21" s="28">
        <f t="shared" si="0"/>
        <v>2</v>
      </c>
      <c r="E21">
        <f t="shared" si="1"/>
        <v>130</v>
      </c>
      <c r="F21" s="25">
        <f t="shared" si="2"/>
        <v>0.46153846153846156</v>
      </c>
      <c r="G21">
        <v>60</v>
      </c>
      <c r="H21" s="24">
        <f t="shared" si="3"/>
        <v>55.384615384615387</v>
      </c>
    </row>
    <row r="22" spans="1:9" x14ac:dyDescent="0.3">
      <c r="A22" t="s">
        <v>11</v>
      </c>
      <c r="B22" t="s">
        <v>4</v>
      </c>
      <c r="C22">
        <v>1</v>
      </c>
      <c r="D22" s="29">
        <f t="shared" si="0"/>
        <v>2</v>
      </c>
      <c r="E22">
        <f t="shared" si="1"/>
        <v>130</v>
      </c>
      <c r="F22" s="25">
        <f t="shared" si="2"/>
        <v>0.46153846153846156</v>
      </c>
      <c r="G22">
        <v>60</v>
      </c>
      <c r="H22" s="24">
        <f t="shared" si="3"/>
        <v>55.384615384615387</v>
      </c>
    </row>
    <row r="23" spans="1:9" ht="15" thickBot="1" x14ac:dyDescent="0.35">
      <c r="A23" t="s">
        <v>11</v>
      </c>
      <c r="B23" t="s">
        <v>6</v>
      </c>
      <c r="C23">
        <v>1</v>
      </c>
      <c r="D23" s="30">
        <f t="shared" si="0"/>
        <v>2</v>
      </c>
      <c r="E23">
        <f t="shared" si="1"/>
        <v>130</v>
      </c>
      <c r="F23" s="25">
        <f t="shared" si="2"/>
        <v>0.46153846153846156</v>
      </c>
      <c r="G23">
        <v>60</v>
      </c>
      <c r="H23" s="24">
        <f t="shared" si="3"/>
        <v>55.384615384615387</v>
      </c>
    </row>
    <row r="26" spans="1:9" ht="18" x14ac:dyDescent="0.35">
      <c r="A26" s="35" t="s">
        <v>44</v>
      </c>
      <c r="C26" t="s">
        <v>56</v>
      </c>
      <c r="G26" t="s">
        <v>61</v>
      </c>
      <c r="I26" s="26"/>
    </row>
    <row r="27" spans="1:9" ht="18.600000000000001" thickBot="1" x14ac:dyDescent="0.35">
      <c r="A27" s="1" t="s">
        <v>0</v>
      </c>
      <c r="B27" s="2">
        <v>412</v>
      </c>
      <c r="C27" s="24">
        <f>GETPIVOTDATA("Итого",$I$1,"transaction rq",A27)</f>
        <v>390.68896321070235</v>
      </c>
      <c r="D27" s="26">
        <f>1-B27/C27</f>
        <v>-5.4547322284618449E-2</v>
      </c>
      <c r="G27" s="42">
        <f>C27/3</f>
        <v>130.22965440356745</v>
      </c>
      <c r="H27" s="34">
        <v>130</v>
      </c>
      <c r="I27" s="26">
        <f>1-H27/G27</f>
        <v>1.7634570606765987E-3</v>
      </c>
    </row>
    <row r="28" spans="1:9" ht="36.6" thickBot="1" x14ac:dyDescent="0.35">
      <c r="A28" s="1" t="s">
        <v>12</v>
      </c>
      <c r="B28" s="2">
        <v>282</v>
      </c>
      <c r="C28" s="24">
        <f>GETPIVOTDATA("Итого",$I$1,"transaction rq",A28)</f>
        <v>263.30434782608694</v>
      </c>
      <c r="D28" s="26">
        <f t="shared" ref="D28:D34" si="11">1-B28/C28</f>
        <v>-7.1003963011889049E-2</v>
      </c>
      <c r="G28" s="42">
        <f t="shared" ref="G28:G32" si="12">C28/3</f>
        <v>87.768115942028984</v>
      </c>
      <c r="H28" s="34">
        <v>88</v>
      </c>
      <c r="I28" s="26">
        <f t="shared" ref="I28:I33" si="13">1-H28/G28</f>
        <v>-2.6420079260238705E-3</v>
      </c>
    </row>
    <row r="29" spans="1:9" ht="36.6" thickBot="1" x14ac:dyDescent="0.35">
      <c r="A29" s="1" t="s">
        <v>13</v>
      </c>
      <c r="B29" s="2">
        <v>251</v>
      </c>
      <c r="C29" s="24">
        <f t="shared" ref="C29:C33" si="14">GETPIVOTDATA("Итого",$I$1,"transaction rq",A29)</f>
        <v>263.30434782608694</v>
      </c>
      <c r="D29" s="26">
        <f t="shared" si="11"/>
        <v>4.6730515191545474E-2</v>
      </c>
      <c r="G29" s="42">
        <f t="shared" si="12"/>
        <v>87.768115942028984</v>
      </c>
      <c r="H29" s="34">
        <v>88</v>
      </c>
      <c r="I29" s="26">
        <f t="shared" si="13"/>
        <v>-2.6420079260238705E-3</v>
      </c>
    </row>
    <row r="30" spans="1:9" ht="18.600000000000001" thickBot="1" x14ac:dyDescent="0.35">
      <c r="A30" s="1" t="s">
        <v>3</v>
      </c>
      <c r="B30" s="2">
        <v>175</v>
      </c>
      <c r="C30" s="24">
        <f>GETPIVOTDATA("Итого",$I$1,"transaction rq",A30)</f>
        <v>191.30434782608697</v>
      </c>
      <c r="D30" s="26">
        <f t="shared" si="11"/>
        <v>8.5227272727272818E-2</v>
      </c>
      <c r="G30" s="42">
        <f t="shared" si="12"/>
        <v>63.768115942028992</v>
      </c>
      <c r="H30" s="34">
        <v>63</v>
      </c>
      <c r="I30" s="26">
        <f t="shared" si="13"/>
        <v>1.2045454545454692E-2</v>
      </c>
    </row>
    <row r="31" spans="1:9" ht="36.6" thickBot="1" x14ac:dyDescent="0.35">
      <c r="A31" s="1" t="s">
        <v>4</v>
      </c>
      <c r="B31" s="2">
        <v>159</v>
      </c>
      <c r="C31" s="24">
        <f t="shared" si="14"/>
        <v>158.68896321070235</v>
      </c>
      <c r="D31" s="26">
        <f t="shared" si="11"/>
        <v>-1.9600404653514758E-3</v>
      </c>
      <c r="G31" s="42">
        <f t="shared" si="12"/>
        <v>52.896321070234116</v>
      </c>
      <c r="H31" s="34">
        <v>53</v>
      </c>
      <c r="I31" s="26">
        <f t="shared" si="13"/>
        <v>-1.9600404653514758E-3</v>
      </c>
    </row>
    <row r="32" spans="1:9" ht="36.6" thickBot="1" x14ac:dyDescent="0.35">
      <c r="A32" s="1" t="s">
        <v>14</v>
      </c>
      <c r="B32" s="2">
        <v>73</v>
      </c>
      <c r="C32" s="24">
        <f t="shared" si="14"/>
        <v>72</v>
      </c>
      <c r="D32" s="26">
        <f t="shared" si="11"/>
        <v>-1.388888888888884E-2</v>
      </c>
      <c r="G32" s="42">
        <f t="shared" si="12"/>
        <v>24</v>
      </c>
      <c r="H32" s="34">
        <v>24</v>
      </c>
      <c r="I32" s="26">
        <f t="shared" si="13"/>
        <v>0</v>
      </c>
    </row>
    <row r="33" spans="1:10" ht="18.600000000000001" thickBot="1" x14ac:dyDescent="0.35">
      <c r="A33" s="1" t="s">
        <v>6</v>
      </c>
      <c r="B33" s="2">
        <v>412</v>
      </c>
      <c r="C33" s="24">
        <f t="shared" si="14"/>
        <v>391.21070234113711</v>
      </c>
      <c r="D33" s="26">
        <f t="shared" si="11"/>
        <v>-5.3140922613958974E-2</v>
      </c>
      <c r="G33" s="42">
        <f>C33/3</f>
        <v>130.4035674470457</v>
      </c>
      <c r="H33" s="34">
        <v>130</v>
      </c>
      <c r="I33" s="26">
        <f t="shared" si="13"/>
        <v>3.0947577197961706E-3</v>
      </c>
    </row>
    <row r="34" spans="1:10" ht="18.600000000000001" thickBot="1" x14ac:dyDescent="0.35">
      <c r="A34" s="3" t="s">
        <v>7</v>
      </c>
      <c r="B34" s="2">
        <f>SUM(B27:B33)</f>
        <v>1764</v>
      </c>
      <c r="C34" s="27">
        <f>SUM(C27:C33)</f>
        <v>1730.5016722408027</v>
      </c>
      <c r="D34" s="26">
        <f t="shared" si="11"/>
        <v>-1.935758184840175E-2</v>
      </c>
      <c r="E34" s="4"/>
    </row>
    <row r="37" spans="1:10" x14ac:dyDescent="0.3">
      <c r="A37" s="40" t="s">
        <v>68</v>
      </c>
    </row>
    <row r="38" spans="1:10" ht="18.600000000000001" thickBot="1" x14ac:dyDescent="0.35">
      <c r="A38" s="1" t="s">
        <v>0</v>
      </c>
      <c r="B38" t="s">
        <v>26</v>
      </c>
      <c r="I38" t="s">
        <v>69</v>
      </c>
    </row>
    <row r="39" spans="1:10" ht="36.6" thickBot="1" x14ac:dyDescent="0.35">
      <c r="A39" s="1" t="s">
        <v>12</v>
      </c>
      <c r="B39" t="s">
        <v>65</v>
      </c>
      <c r="I39" s="38" t="s">
        <v>62</v>
      </c>
      <c r="J39" s="36">
        <v>24</v>
      </c>
    </row>
    <row r="40" spans="1:10" ht="36.6" thickBot="1" x14ac:dyDescent="0.35">
      <c r="A40" s="1" t="s">
        <v>13</v>
      </c>
      <c r="B40" t="s">
        <v>63</v>
      </c>
      <c r="I40" s="39" t="s">
        <v>63</v>
      </c>
      <c r="J40" s="37">
        <v>88</v>
      </c>
    </row>
    <row r="41" spans="1:10" ht="18.600000000000001" thickBot="1" x14ac:dyDescent="0.35">
      <c r="A41" s="1" t="s">
        <v>3</v>
      </c>
      <c r="B41" t="s">
        <v>66</v>
      </c>
      <c r="I41" s="38" t="s">
        <v>64</v>
      </c>
      <c r="J41" s="36">
        <v>53</v>
      </c>
    </row>
    <row r="42" spans="1:10" ht="36.6" thickBot="1" x14ac:dyDescent="0.35">
      <c r="A42" s="1" t="s">
        <v>4</v>
      </c>
      <c r="B42" t="s">
        <v>64</v>
      </c>
      <c r="I42" s="38" t="s">
        <v>65</v>
      </c>
      <c r="J42" s="36">
        <v>88</v>
      </c>
    </row>
    <row r="43" spans="1:10" ht="36.6" thickBot="1" x14ac:dyDescent="0.35">
      <c r="A43" s="1" t="s">
        <v>14</v>
      </c>
      <c r="B43" t="s">
        <v>67</v>
      </c>
      <c r="I43" s="39" t="s">
        <v>66</v>
      </c>
      <c r="J43" s="37">
        <v>63</v>
      </c>
    </row>
    <row r="44" spans="1:10" ht="18.600000000000001" thickBot="1" x14ac:dyDescent="0.35">
      <c r="A44" s="1" t="s">
        <v>6</v>
      </c>
      <c r="B44" t="s">
        <v>27</v>
      </c>
      <c r="I44" s="38" t="s">
        <v>26</v>
      </c>
      <c r="J44" s="36">
        <v>130</v>
      </c>
    </row>
    <row r="45" spans="1:10" x14ac:dyDescent="0.3">
      <c r="I45" s="39" t="s">
        <v>27</v>
      </c>
      <c r="J45" s="37">
        <v>130</v>
      </c>
    </row>
  </sheetData>
  <hyperlinks>
    <hyperlink ref="I39" r:id="rId2" display="../../../AppData/Local/Temp/ResponseTime0000(Cancel)0000" xr:uid="{599506DA-B4AC-47F1-B461-FC471A925901}"/>
    <hyperlink ref="I40" r:id="rId3" display="../../../AppData/Local/Temp/ResponseTime0000(choose_flight)0000" xr:uid="{5620EF06-6A4D-42FB-A8F6-9D8DBB83E37C}"/>
    <hyperlink ref="I41" r:id="rId4" display="../../../AppData/Local/Temp/ResponseTime0000(click itinerary)0000" xr:uid="{F83BCCD9-839A-4298-BE05-2A05D3EE239D}"/>
    <hyperlink ref="I42" r:id="rId5" display="../../../AppData/Local/Temp/ResponseTime0000(fill_find_flight)0000" xr:uid="{D3CF9B45-5405-4FEA-A093-9BCA15CBC14A}"/>
    <hyperlink ref="I43" r:id="rId6" display="../../../AppData/Local/Temp/ResponseTime0000(fill_payment)0000" xr:uid="{6667598A-9797-4420-B00D-412422281748}"/>
    <hyperlink ref="I44" r:id="rId7" display="../../../AppData/Local/Temp/ResponseTime0000(login)0000" xr:uid="{00D97B4A-73CC-47AB-BC41-3DC778ABDBCD}"/>
    <hyperlink ref="I45" r:id="rId8" display="../../../AppData/Local/Temp/ResponseTime0000(logout)0000" xr:uid="{A946D5BB-9571-4132-BDBE-EC93B0735CA6}"/>
  </hyperlinks>
  <pageMargins left="0.7" right="0.7" top="0.75" bottom="0.75" header="0.3" footer="0.3"/>
  <pageSetup paperSize="9" orientation="portrait" horizontalDpi="300" verticalDpi="3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B1FB-7751-441D-9516-C0058F4407BB}">
  <dimension ref="C9:O44"/>
  <sheetViews>
    <sheetView topLeftCell="A7" workbookViewId="0">
      <selection activeCell="H16" sqref="H16"/>
    </sheetView>
  </sheetViews>
  <sheetFormatPr defaultColWidth="8.77734375" defaultRowHeight="14.4" x14ac:dyDescent="0.3"/>
  <cols>
    <col min="2" max="2" width="4.44140625" customWidth="1"/>
    <col min="3" max="4" width="9.109375" hidden="1" customWidth="1"/>
    <col min="5" max="5" width="20.44140625" customWidth="1"/>
    <col min="6" max="6" width="18.77734375" customWidth="1"/>
    <col min="7" max="7" width="15.33203125" customWidth="1"/>
    <col min="8" max="8" width="15.109375" customWidth="1"/>
    <col min="9" max="9" width="14" customWidth="1"/>
    <col min="11" max="11" width="1.4414062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9" spans="5:9" x14ac:dyDescent="0.3">
      <c r="E9" s="41" t="s">
        <v>35</v>
      </c>
      <c r="F9" s="41"/>
      <c r="G9" s="41"/>
      <c r="H9" s="41"/>
      <c r="I9" s="41"/>
    </row>
    <row r="11" spans="5:9" ht="27.6" x14ac:dyDescent="0.3">
      <c r="E11" s="5" t="s">
        <v>16</v>
      </c>
      <c r="F11" s="5" t="s">
        <v>17</v>
      </c>
      <c r="G11" s="5" t="s">
        <v>18</v>
      </c>
      <c r="H11" s="5" t="s">
        <v>19</v>
      </c>
      <c r="I11" s="5" t="s">
        <v>20</v>
      </c>
    </row>
    <row r="12" spans="5:9" ht="15.6" x14ac:dyDescent="0.3">
      <c r="E12" s="6" t="s">
        <v>0</v>
      </c>
      <c r="F12" s="7" t="s">
        <v>26</v>
      </c>
      <c r="G12" s="8">
        <v>368</v>
      </c>
      <c r="H12" s="7">
        <f>121*3</f>
        <v>363</v>
      </c>
      <c r="I12" s="9">
        <f>1-G12/H12</f>
        <v>-1.377410468319562E-2</v>
      </c>
    </row>
    <row r="13" spans="5:9" ht="31.2" x14ac:dyDescent="0.3">
      <c r="E13" s="6" t="s">
        <v>1</v>
      </c>
      <c r="F13" s="7" t="s">
        <v>25</v>
      </c>
      <c r="G13" s="8">
        <v>251</v>
      </c>
      <c r="H13" s="7">
        <f>82*3</f>
        <v>246</v>
      </c>
      <c r="I13" s="9">
        <f t="shared" ref="I13:I18" si="0">1-G13/H13</f>
        <v>-2.0325203252032464E-2</v>
      </c>
    </row>
    <row r="14" spans="5:9" ht="31.2" x14ac:dyDescent="0.3">
      <c r="E14" s="6" t="s">
        <v>2</v>
      </c>
      <c r="F14" s="7" t="s">
        <v>28</v>
      </c>
      <c r="G14" s="8">
        <v>251</v>
      </c>
      <c r="H14" s="7">
        <f>82*3</f>
        <v>246</v>
      </c>
      <c r="I14" s="9">
        <f t="shared" si="0"/>
        <v>-2.0325203252032464E-2</v>
      </c>
    </row>
    <row r="15" spans="5:9" ht="15.6" x14ac:dyDescent="0.3">
      <c r="E15" s="6" t="s">
        <v>3</v>
      </c>
      <c r="F15" s="7" t="s">
        <v>21</v>
      </c>
      <c r="G15" s="8">
        <v>175</v>
      </c>
      <c r="H15" s="7">
        <f>56*3</f>
        <v>168</v>
      </c>
      <c r="I15" s="10">
        <f t="shared" si="0"/>
        <v>-4.1666666666666741E-2</v>
      </c>
    </row>
    <row r="16" spans="5:9" ht="31.2" x14ac:dyDescent="0.3">
      <c r="E16" s="6" t="s">
        <v>22</v>
      </c>
      <c r="F16" s="7" t="s">
        <v>24</v>
      </c>
      <c r="G16" s="8">
        <v>159</v>
      </c>
      <c r="H16" s="8">
        <f>56*3</f>
        <v>168</v>
      </c>
      <c r="I16" s="9">
        <f t="shared" si="0"/>
        <v>5.3571428571428603E-2</v>
      </c>
    </row>
    <row r="17" spans="5:9" ht="46.8" x14ac:dyDescent="0.3">
      <c r="E17" s="6" t="s">
        <v>5</v>
      </c>
      <c r="F17" s="7" t="s">
        <v>23</v>
      </c>
      <c r="G17" s="8">
        <v>73</v>
      </c>
      <c r="H17" s="7">
        <f>25*3</f>
        <v>75</v>
      </c>
      <c r="I17" s="9">
        <f t="shared" si="0"/>
        <v>2.6666666666666616E-2</v>
      </c>
    </row>
    <row r="18" spans="5:9" ht="15.6" x14ac:dyDescent="0.3">
      <c r="E18" s="6" t="s">
        <v>6</v>
      </c>
      <c r="F18" s="7" t="s">
        <v>27</v>
      </c>
      <c r="G18" s="8">
        <v>326</v>
      </c>
      <c r="H18" s="7">
        <f>104*3</f>
        <v>312</v>
      </c>
      <c r="I18" s="9">
        <f t="shared" si="0"/>
        <v>-4.4871794871794934E-2</v>
      </c>
    </row>
    <row r="23" spans="5:9" x14ac:dyDescent="0.3">
      <c r="E23" s="41" t="s">
        <v>33</v>
      </c>
      <c r="F23" s="41"/>
      <c r="G23" s="41"/>
      <c r="H23" s="41"/>
      <c r="I23" s="41"/>
    </row>
    <row r="25" spans="5:9" x14ac:dyDescent="0.3">
      <c r="E25" s="12" t="s">
        <v>16</v>
      </c>
      <c r="F25" s="12" t="s">
        <v>17</v>
      </c>
      <c r="G25" s="12" t="s">
        <v>18</v>
      </c>
      <c r="H25" s="12" t="s">
        <v>19</v>
      </c>
      <c r="I25" s="12" t="s">
        <v>20</v>
      </c>
    </row>
    <row r="26" spans="5:9" ht="15.6" x14ac:dyDescent="0.3">
      <c r="E26" s="17" t="s">
        <v>0</v>
      </c>
      <c r="F26" s="16" t="s">
        <v>26</v>
      </c>
      <c r="G26" s="14">
        <f>5*368</f>
        <v>1840</v>
      </c>
      <c r="H26" s="13">
        <f>721*3</f>
        <v>2163</v>
      </c>
      <c r="I26" s="15">
        <f>1-G26/H26</f>
        <v>0.14932963476652794</v>
      </c>
    </row>
    <row r="27" spans="5:9" ht="15.6" x14ac:dyDescent="0.3">
      <c r="E27" s="17" t="s">
        <v>1</v>
      </c>
      <c r="F27" s="16" t="s">
        <v>25</v>
      </c>
      <c r="G27" s="14">
        <f>5*251</f>
        <v>1255</v>
      </c>
      <c r="H27" s="13">
        <f>3*464</f>
        <v>1392</v>
      </c>
      <c r="I27" s="15">
        <f t="shared" ref="I27:I32" si="1">1-G27/H27</f>
        <v>9.8419540229885083E-2</v>
      </c>
    </row>
    <row r="28" spans="5:9" ht="15.6" x14ac:dyDescent="0.3">
      <c r="E28" s="17" t="s">
        <v>2</v>
      </c>
      <c r="F28" s="16" t="s">
        <v>28</v>
      </c>
      <c r="G28" s="14">
        <f>5*251</f>
        <v>1255</v>
      </c>
      <c r="H28" s="13">
        <f>3*462</f>
        <v>1386</v>
      </c>
      <c r="I28" s="15">
        <f t="shared" si="1"/>
        <v>9.4516594516594554E-2</v>
      </c>
    </row>
    <row r="29" spans="5:9" ht="15.6" x14ac:dyDescent="0.3">
      <c r="E29" s="17" t="s">
        <v>3</v>
      </c>
      <c r="F29" s="16" t="s">
        <v>21</v>
      </c>
      <c r="G29" s="14">
        <f>5*175</f>
        <v>875</v>
      </c>
      <c r="H29" s="13">
        <f>3*314</f>
        <v>942</v>
      </c>
      <c r="I29" s="11">
        <f t="shared" si="1"/>
        <v>7.1125265392781301E-2</v>
      </c>
    </row>
    <row r="30" spans="5:9" ht="15.6" x14ac:dyDescent="0.3">
      <c r="E30" s="17" t="s">
        <v>22</v>
      </c>
      <c r="F30" s="16" t="s">
        <v>24</v>
      </c>
      <c r="G30" s="14">
        <f>5*159</f>
        <v>795</v>
      </c>
      <c r="H30" s="13">
        <f>3*330</f>
        <v>990</v>
      </c>
      <c r="I30" s="15">
        <f t="shared" si="1"/>
        <v>0.19696969696969702</v>
      </c>
    </row>
    <row r="31" spans="5:9" ht="15.6" x14ac:dyDescent="0.3">
      <c r="E31" s="17" t="s">
        <v>5</v>
      </c>
      <c r="F31" s="16" t="s">
        <v>23</v>
      </c>
      <c r="G31" s="14">
        <f>5*73</f>
        <v>365</v>
      </c>
      <c r="H31" s="13">
        <f>3*141</f>
        <v>423</v>
      </c>
      <c r="I31" s="15">
        <f t="shared" si="1"/>
        <v>0.13711583924349879</v>
      </c>
    </row>
    <row r="32" spans="5:9" ht="15.6" x14ac:dyDescent="0.3">
      <c r="E32" s="17" t="s">
        <v>6</v>
      </c>
      <c r="F32" s="16" t="s">
        <v>27</v>
      </c>
      <c r="G32" s="14">
        <f>5*326</f>
        <v>1630</v>
      </c>
      <c r="H32" s="13">
        <f>3*599</f>
        <v>1797</v>
      </c>
      <c r="I32" s="15">
        <f t="shared" si="1"/>
        <v>9.2932665553700611E-2</v>
      </c>
    </row>
    <row r="35" spans="5:15" x14ac:dyDescent="0.3">
      <c r="E35" s="41" t="s">
        <v>34</v>
      </c>
      <c r="F35" s="41"/>
      <c r="G35" s="41"/>
      <c r="H35" s="41"/>
      <c r="I35" s="41"/>
    </row>
    <row r="37" spans="5:15" x14ac:dyDescent="0.3">
      <c r="E37" s="12" t="s">
        <v>16</v>
      </c>
      <c r="F37" s="12" t="s">
        <v>17</v>
      </c>
      <c r="G37" s="12" t="s">
        <v>18</v>
      </c>
      <c r="H37" s="12" t="s">
        <v>19</v>
      </c>
      <c r="I37" s="12" t="s">
        <v>20</v>
      </c>
      <c r="L37" s="18" t="s">
        <v>29</v>
      </c>
      <c r="M37" s="18" t="s">
        <v>30</v>
      </c>
      <c r="N37" s="18" t="s">
        <v>31</v>
      </c>
      <c r="O37" s="18" t="s">
        <v>32</v>
      </c>
    </row>
    <row r="38" spans="5:15" ht="15.6" x14ac:dyDescent="0.3">
      <c r="E38" s="17" t="s">
        <v>0</v>
      </c>
      <c r="F38" s="16" t="s">
        <v>26</v>
      </c>
      <c r="G38" s="14">
        <f>5*368</f>
        <v>1840</v>
      </c>
      <c r="H38" s="13">
        <v>2109</v>
      </c>
      <c r="I38" s="15">
        <f>1-G38/H38</f>
        <v>0.12754860123281175</v>
      </c>
      <c r="L38" s="18" t="s">
        <v>23</v>
      </c>
      <c r="M38" s="18">
        <v>377</v>
      </c>
      <c r="N38" s="18">
        <v>27</v>
      </c>
      <c r="O38" s="18">
        <v>0</v>
      </c>
    </row>
    <row r="39" spans="5:15" ht="15.6" x14ac:dyDescent="0.3">
      <c r="E39" s="17" t="s">
        <v>1</v>
      </c>
      <c r="F39" s="16" t="s">
        <v>25</v>
      </c>
      <c r="G39" s="14">
        <f>5*251</f>
        <v>1255</v>
      </c>
      <c r="H39" s="18">
        <v>1315</v>
      </c>
      <c r="I39" s="15">
        <f t="shared" ref="I39:I44" si="2">1-G39/H39</f>
        <v>4.5627376425855459E-2</v>
      </c>
      <c r="L39" s="18" t="s">
        <v>24</v>
      </c>
      <c r="M39" s="18">
        <v>998</v>
      </c>
      <c r="N39" s="18">
        <v>1</v>
      </c>
      <c r="O39" s="18">
        <v>0</v>
      </c>
    </row>
    <row r="40" spans="5:15" ht="15.6" x14ac:dyDescent="0.3">
      <c r="E40" s="17" t="s">
        <v>2</v>
      </c>
      <c r="F40" s="16" t="s">
        <v>28</v>
      </c>
      <c r="G40" s="14">
        <f>5*251</f>
        <v>1255</v>
      </c>
      <c r="H40" s="13">
        <v>1315</v>
      </c>
      <c r="I40" s="15">
        <f t="shared" si="2"/>
        <v>4.5627376425855459E-2</v>
      </c>
      <c r="L40" s="18" t="s">
        <v>25</v>
      </c>
      <c r="M40" s="18" t="s">
        <v>36</v>
      </c>
      <c r="N40" s="18">
        <v>0</v>
      </c>
      <c r="O40" s="18">
        <v>0</v>
      </c>
    </row>
    <row r="41" spans="5:15" ht="15.6" x14ac:dyDescent="0.3">
      <c r="E41" s="17" t="s">
        <v>3</v>
      </c>
      <c r="F41" s="16" t="s">
        <v>21</v>
      </c>
      <c r="G41" s="14">
        <f>5*175</f>
        <v>875</v>
      </c>
      <c r="H41" s="18">
        <v>924</v>
      </c>
      <c r="I41" s="11">
        <f t="shared" si="2"/>
        <v>5.3030303030302983E-2</v>
      </c>
      <c r="L41" s="18" t="s">
        <v>26</v>
      </c>
      <c r="M41" s="18" t="s">
        <v>37</v>
      </c>
      <c r="N41" s="18">
        <v>139</v>
      </c>
      <c r="O41" s="18">
        <v>0</v>
      </c>
    </row>
    <row r="42" spans="5:15" ht="15.6" x14ac:dyDescent="0.3">
      <c r="E42" s="17" t="s">
        <v>22</v>
      </c>
      <c r="F42" s="16" t="s">
        <v>24</v>
      </c>
      <c r="G42" s="14">
        <f>5*159</f>
        <v>795</v>
      </c>
      <c r="H42" s="18">
        <v>998</v>
      </c>
      <c r="I42" s="15">
        <f t="shared" si="2"/>
        <v>0.20340681362725455</v>
      </c>
      <c r="L42" s="18" t="s">
        <v>27</v>
      </c>
      <c r="M42" s="18" t="s">
        <v>38</v>
      </c>
      <c r="N42" s="18">
        <v>1</v>
      </c>
      <c r="O42" s="18">
        <v>0</v>
      </c>
    </row>
    <row r="43" spans="5:15" ht="15.6" x14ac:dyDescent="0.3">
      <c r="E43" s="17" t="s">
        <v>5</v>
      </c>
      <c r="F43" s="16" t="s">
        <v>23</v>
      </c>
      <c r="G43" s="14">
        <f>5*73</f>
        <v>365</v>
      </c>
      <c r="H43" s="18">
        <v>404</v>
      </c>
      <c r="I43" s="15">
        <f t="shared" si="2"/>
        <v>9.6534653465346509E-2</v>
      </c>
      <c r="L43" s="18" t="s">
        <v>21</v>
      </c>
      <c r="M43" s="18">
        <v>924</v>
      </c>
      <c r="N43" s="18">
        <v>0</v>
      </c>
      <c r="O43" s="18">
        <v>0</v>
      </c>
    </row>
    <row r="44" spans="5:15" ht="15.6" x14ac:dyDescent="0.3">
      <c r="E44" s="17" t="s">
        <v>6</v>
      </c>
      <c r="F44" s="16" t="s">
        <v>27</v>
      </c>
      <c r="G44" s="14">
        <f>5*326</f>
        <v>1630</v>
      </c>
      <c r="H44" s="13">
        <v>1675</v>
      </c>
      <c r="I44" s="15">
        <f t="shared" si="2"/>
        <v>2.68656716417911E-2</v>
      </c>
      <c r="L44" s="18" t="s">
        <v>28</v>
      </c>
      <c r="M44" s="18" t="s">
        <v>36</v>
      </c>
      <c r="N44" s="18">
        <v>0</v>
      </c>
      <c r="O44" s="18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alex</cp:lastModifiedBy>
  <dcterms:created xsi:type="dcterms:W3CDTF">2015-06-05T18:19:34Z</dcterms:created>
  <dcterms:modified xsi:type="dcterms:W3CDTF">2020-09-22T10:27:48Z</dcterms:modified>
</cp:coreProperties>
</file>