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shitij\Desktop\Thesis docs\Code\Total Simulink  Model files\"/>
    </mc:Choice>
  </mc:AlternateContent>
  <xr:revisionPtr revIDLastSave="0" documentId="13_ncr:1_{7CAE7BE6-AE07-4E8A-B158-F5CFFBA9C892}" xr6:coauthVersionLast="47" xr6:coauthVersionMax="47" xr10:uidLastSave="{00000000-0000-0000-0000-000000000000}"/>
  <bookViews>
    <workbookView xWindow="13470" yWindow="1275" windowWidth="21600" windowHeight="11385" firstSheet="1" activeTab="2" xr2:uid="{00000000-000D-0000-FFFF-FFFF00000000}"/>
  </bookViews>
  <sheets>
    <sheet name="Munich to Leipheim_costs (3)" sheetId="7" r:id="rId1"/>
    <sheet name="Combustion" sheetId="6" r:id="rId2"/>
    <sheet name="Electric" sheetId="8" r:id="rId3"/>
    <sheet name="Hybrid Combina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9" l="1"/>
  <c r="C33" i="9"/>
  <c r="D31" i="9"/>
  <c r="D32" i="9" s="1"/>
  <c r="D34" i="9" s="1"/>
  <c r="D35" i="9" s="1"/>
  <c r="D36" i="9" s="1"/>
  <c r="C31" i="9"/>
  <c r="C32" i="9" s="1"/>
  <c r="C34" i="9" s="1"/>
  <c r="C35" i="9" s="1"/>
  <c r="C20" i="9"/>
  <c r="C21" i="9" s="1"/>
  <c r="C22" i="9" s="1"/>
  <c r="C19" i="9"/>
  <c r="C18" i="9"/>
  <c r="C11" i="9"/>
  <c r="C33" i="8"/>
  <c r="C31" i="8"/>
  <c r="C32" i="8" s="1"/>
  <c r="C34" i="8" s="1"/>
  <c r="C35" i="8" s="1"/>
  <c r="C20" i="8"/>
  <c r="C21" i="8" s="1"/>
  <c r="C22" i="8" s="1"/>
  <c r="C18" i="8"/>
  <c r="C19" i="8" s="1"/>
  <c r="C18" i="6"/>
  <c r="C19" i="6" s="1"/>
  <c r="C20" i="6"/>
  <c r="C21" i="6" s="1"/>
  <c r="C22" i="6" s="1"/>
  <c r="C31" i="6"/>
  <c r="C32" i="6" s="1"/>
  <c r="C34" i="6" s="1"/>
  <c r="C35" i="6" s="1"/>
  <c r="C33" i="6"/>
  <c r="F33" i="7"/>
  <c r="E33" i="7"/>
  <c r="D33" i="7"/>
  <c r="C33" i="7"/>
  <c r="F32" i="7"/>
  <c r="F34" i="7" s="1"/>
  <c r="F35" i="7" s="1"/>
  <c r="F31" i="7"/>
  <c r="E31" i="7"/>
  <c r="E32" i="7" s="1"/>
  <c r="E34" i="7" s="1"/>
  <c r="E35" i="7" s="1"/>
  <c r="D31" i="7"/>
  <c r="D32" i="7" s="1"/>
  <c r="D34" i="7" s="1"/>
  <c r="D35" i="7" s="1"/>
  <c r="C31" i="7"/>
  <c r="C32" i="7" s="1"/>
  <c r="C34" i="7" s="1"/>
  <c r="C35" i="7" s="1"/>
  <c r="E30" i="7"/>
  <c r="C30" i="7"/>
  <c r="F21" i="7"/>
  <c r="F22" i="7" s="1"/>
  <c r="F36" i="7" s="1"/>
  <c r="E21" i="7"/>
  <c r="E22" i="7" s="1"/>
  <c r="E36" i="7" s="1"/>
  <c r="D21" i="7"/>
  <c r="D22" i="7" s="1"/>
  <c r="D36" i="7" s="1"/>
  <c r="C21" i="7"/>
  <c r="C22" i="7" s="1"/>
  <c r="C36" i="7" s="1"/>
  <c r="F20" i="7"/>
  <c r="E20" i="7"/>
  <c r="D20" i="7"/>
  <c r="C20" i="7"/>
  <c r="F19" i="7"/>
  <c r="E19" i="7"/>
  <c r="D19" i="7"/>
  <c r="C19" i="7"/>
  <c r="F18" i="7"/>
  <c r="E18" i="7"/>
  <c r="D18" i="7"/>
  <c r="C18" i="7"/>
  <c r="C38" i="6" l="1"/>
  <c r="C38" i="9"/>
  <c r="C36" i="9"/>
  <c r="C37" i="9"/>
  <c r="C36" i="8"/>
  <c r="C37" i="8"/>
  <c r="C38" i="8"/>
  <c r="C37" i="6"/>
  <c r="C36" i="6"/>
  <c r="E38" i="7"/>
  <c r="E39" i="7"/>
  <c r="E37" i="7"/>
  <c r="E40" i="7" s="1"/>
  <c r="F38" i="7"/>
  <c r="F39" i="7"/>
  <c r="F37" i="7"/>
  <c r="F40" i="7" s="1"/>
  <c r="D40" i="7"/>
  <c r="C39" i="7"/>
  <c r="C38" i="7"/>
  <c r="C37" i="7"/>
  <c r="C40" i="7" s="1"/>
  <c r="D38" i="7"/>
  <c r="D37" i="7"/>
  <c r="D39" i="7"/>
</calcChain>
</file>

<file path=xl/sharedStrings.xml><?xml version="1.0" encoding="utf-8"?>
<sst xmlns="http://schemas.openxmlformats.org/spreadsheetml/2006/main" count="275" uniqueCount="68">
  <si>
    <t>Fixed Costs</t>
  </si>
  <si>
    <t>Investment</t>
  </si>
  <si>
    <t>Tolls and Fees</t>
  </si>
  <si>
    <t>Variable Costs</t>
  </si>
  <si>
    <t>ICE tractor + BEV trailer</t>
  </si>
  <si>
    <t>Unit</t>
  </si>
  <si>
    <t>[Euros]</t>
  </si>
  <si>
    <t>[Euros/year]</t>
  </si>
  <si>
    <t>[Euros/month]</t>
  </si>
  <si>
    <t>Insurance</t>
  </si>
  <si>
    <t>[Euros/1000 km]</t>
  </si>
  <si>
    <t>[Euros/trip]</t>
  </si>
  <si>
    <t>Fuel Cost per trip</t>
  </si>
  <si>
    <t>[Euros/quarter]</t>
  </si>
  <si>
    <t>[Euros/L] [Euros/kWh]</t>
  </si>
  <si>
    <t>Taxes (Euro 3 or above after 2025)</t>
  </si>
  <si>
    <t>ICE (Class 2) (12t)</t>
  </si>
  <si>
    <t>Rigid Truck</t>
  </si>
  <si>
    <t>Tractor trailer</t>
  </si>
  <si>
    <t>Tractor</t>
  </si>
  <si>
    <t>Trailer</t>
  </si>
  <si>
    <t>Annual Fixed Cost</t>
  </si>
  <si>
    <t>Taxes (Euro 3 or above uptill 2025)</t>
  </si>
  <si>
    <t>Administrative costs (Euro 3 or above after 2025)</t>
  </si>
  <si>
    <t>ICE (Class 5) (18t)</t>
  </si>
  <si>
    <t>160 + 81</t>
  </si>
  <si>
    <t>&gt; 81</t>
  </si>
  <si>
    <t>&gt; 160</t>
  </si>
  <si>
    <t>Life cycle</t>
  </si>
  <si>
    <t>Annual Utilization</t>
  </si>
  <si>
    <t>Driver Salary (Average NL)</t>
  </si>
  <si>
    <t>Annual Variable costs</t>
  </si>
  <si>
    <t>Trip length</t>
  </si>
  <si>
    <t>[kms]</t>
  </si>
  <si>
    <t>Annual Driving</t>
  </si>
  <si>
    <t>[%]</t>
  </si>
  <si>
    <t>Estimated Vehicle Service  Life</t>
  </si>
  <si>
    <t>[years]</t>
  </si>
  <si>
    <t>[L] [kWh]</t>
  </si>
  <si>
    <t>Energy consumed in trip</t>
  </si>
  <si>
    <t>ICE (SEC) (60t)</t>
  </si>
  <si>
    <t>Super Eco Combi</t>
  </si>
  <si>
    <t>&gt; 325</t>
  </si>
  <si>
    <t>Annual Fuel Costs</t>
  </si>
  <si>
    <t>Payload</t>
  </si>
  <si>
    <t>[kgs]</t>
  </si>
  <si>
    <t>Variable Costs as per cargo weight and distance</t>
  </si>
  <si>
    <t>[Euros/tonne.km]</t>
  </si>
  <si>
    <t>[Euros/km]</t>
  </si>
  <si>
    <t>Repair and Maintenance (Incl. tires) per km</t>
  </si>
  <si>
    <t xml:space="preserve"> 5 Year Depreciation</t>
  </si>
  <si>
    <t>Expected Residual Value (Resale) after 5 years</t>
  </si>
  <si>
    <t>[Euros/tonne. km]</t>
  </si>
  <si>
    <t>Fixed costs per cargo weight and distance</t>
  </si>
  <si>
    <t>Fuel Cost per 1000 kms</t>
  </si>
  <si>
    <t>Annual repair and maintenance cost</t>
  </si>
  <si>
    <t>TCO per year</t>
  </si>
  <si>
    <t>TCO per km</t>
  </si>
  <si>
    <t>TCO per tonne per km</t>
  </si>
  <si>
    <t>Annual Depreciation</t>
  </si>
  <si>
    <t>BEV (Class 6) (29t)</t>
  </si>
  <si>
    <t>Fuel Cost (Oct 2022) (VAT included)</t>
  </si>
  <si>
    <t>[kms/year]</t>
  </si>
  <si>
    <t>Electricity Tax (Oct 2022)</t>
  </si>
  <si>
    <t>Template</t>
  </si>
  <si>
    <t>TCO Calculator (ICE)</t>
  </si>
  <si>
    <t>TCO Calculator (BEV)</t>
  </si>
  <si>
    <t>TCO Calculator (Hybrid combinations)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</si>
</sst>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3" applyNumberFormat="0" applyAlignment="0" applyProtection="0"/>
    <xf numFmtId="0" fontId="6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2" xfId="2" applyAlignment="1">
      <alignment horizontal="center" vertical="center"/>
    </xf>
    <xf numFmtId="0" fontId="4" fillId="3" borderId="3" xfId="3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4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3" xfId="3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2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4" fillId="3" borderId="4" xfId="3" applyBorder="1" applyAlignment="1">
      <alignment horizontal="center" vertical="center"/>
    </xf>
    <xf numFmtId="0" fontId="4" fillId="3" borderId="5" xfId="3" applyBorder="1" applyAlignment="1">
      <alignment horizontal="center" vertical="center"/>
    </xf>
  </cellXfs>
  <cellStyles count="5">
    <cellStyle name="Accent6" xfId="4" builtinId="49"/>
    <cellStyle name="Heading 1" xfId="2" builtinId="16"/>
    <cellStyle name="Input" xfId="3" builtinId="2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D6CB-4BD8-4335-8DA7-608228E693A2}">
  <dimension ref="A1:L42"/>
  <sheetViews>
    <sheetView workbookViewId="0">
      <selection activeCell="O18" sqref="O18"/>
    </sheetView>
  </sheetViews>
  <sheetFormatPr defaultRowHeight="15" x14ac:dyDescent="0.25"/>
  <cols>
    <col min="1" max="1" width="44.7109375" style="2" customWidth="1"/>
    <col min="2" max="2" width="33.140625" style="2" customWidth="1"/>
    <col min="3" max="4" width="16.140625" style="2" bestFit="1" customWidth="1"/>
    <col min="5" max="5" width="16.140625" style="2" customWidth="1"/>
    <col min="6" max="6" width="16.85546875" style="2" bestFit="1" customWidth="1"/>
    <col min="7" max="7" width="12.140625" style="2" customWidth="1"/>
    <col min="8" max="8" width="11.5703125" style="2" customWidth="1"/>
    <col min="9" max="16384" width="9.140625" style="2"/>
  </cols>
  <sheetData>
    <row r="1" spans="1:8" s="4" customFormat="1" ht="20.25" thickBot="1" x14ac:dyDescent="0.3">
      <c r="A1" s="11" t="s">
        <v>64</v>
      </c>
      <c r="B1" s="11"/>
    </row>
    <row r="2" spans="1:8" ht="15.75" thickTop="1" x14ac:dyDescent="0.25"/>
    <row r="3" spans="1:8" s="1" customFormat="1" x14ac:dyDescent="0.25">
      <c r="B3" s="1" t="s">
        <v>5</v>
      </c>
      <c r="C3" s="1" t="s">
        <v>16</v>
      </c>
      <c r="D3" s="1" t="s">
        <v>24</v>
      </c>
      <c r="E3" s="1" t="s">
        <v>40</v>
      </c>
      <c r="F3" s="1" t="s">
        <v>60</v>
      </c>
      <c r="G3" s="12" t="s">
        <v>4</v>
      </c>
      <c r="H3" s="12"/>
    </row>
    <row r="4" spans="1:8" ht="14.25" hidden="1" customHeight="1" x14ac:dyDescent="0.25">
      <c r="C4" s="2" t="s">
        <v>17</v>
      </c>
      <c r="D4" s="2" t="s">
        <v>18</v>
      </c>
      <c r="E4" s="2" t="s">
        <v>41</v>
      </c>
      <c r="F4" s="1" t="s">
        <v>17</v>
      </c>
      <c r="G4" s="1" t="s">
        <v>19</v>
      </c>
      <c r="H4" s="1" t="s">
        <v>20</v>
      </c>
    </row>
    <row r="5" spans="1:8" x14ac:dyDescent="0.25">
      <c r="F5" s="1"/>
      <c r="G5" s="1"/>
      <c r="H5" s="1"/>
    </row>
    <row r="6" spans="1:8" x14ac:dyDescent="0.25">
      <c r="A6" s="2" t="s">
        <v>44</v>
      </c>
      <c r="B6" s="2" t="s">
        <v>45</v>
      </c>
      <c r="C6" s="5">
        <v>9540</v>
      </c>
      <c r="D6" s="5">
        <v>18000</v>
      </c>
      <c r="E6" s="5">
        <v>55000</v>
      </c>
      <c r="F6" s="5">
        <v>17000</v>
      </c>
    </row>
    <row r="7" spans="1:8" x14ac:dyDescent="0.25">
      <c r="F7" s="1"/>
      <c r="G7" s="1"/>
      <c r="H7" s="1"/>
    </row>
    <row r="8" spans="1:8" x14ac:dyDescent="0.25">
      <c r="A8" s="1" t="s">
        <v>0</v>
      </c>
      <c r="B8" s="1"/>
    </row>
    <row r="9" spans="1:8" x14ac:dyDescent="0.25">
      <c r="A9" s="6" t="s">
        <v>50</v>
      </c>
      <c r="B9" s="2" t="s">
        <v>35</v>
      </c>
      <c r="C9" s="5">
        <v>65</v>
      </c>
      <c r="D9" s="5">
        <v>65</v>
      </c>
      <c r="E9" s="5">
        <v>65</v>
      </c>
      <c r="F9" s="5">
        <v>65</v>
      </c>
      <c r="G9" s="5">
        <v>65</v>
      </c>
      <c r="H9" s="5">
        <v>65</v>
      </c>
    </row>
    <row r="10" spans="1:8" x14ac:dyDescent="0.25">
      <c r="A10" s="6" t="s">
        <v>22</v>
      </c>
      <c r="B10" s="2" t="s">
        <v>13</v>
      </c>
      <c r="C10" s="5">
        <v>81</v>
      </c>
      <c r="D10" s="5">
        <v>160</v>
      </c>
      <c r="E10" s="5">
        <v>325</v>
      </c>
      <c r="F10" s="5">
        <v>0</v>
      </c>
      <c r="G10" s="9">
        <v>160</v>
      </c>
      <c r="H10" s="9"/>
    </row>
    <row r="11" spans="1:8" x14ac:dyDescent="0.25">
      <c r="A11" s="6" t="s">
        <v>15</v>
      </c>
      <c r="B11" s="2" t="s">
        <v>13</v>
      </c>
      <c r="C11" s="5" t="s">
        <v>26</v>
      </c>
      <c r="D11" s="5" t="s">
        <v>27</v>
      </c>
      <c r="E11" s="5" t="s">
        <v>42</v>
      </c>
      <c r="F11" s="5">
        <v>81</v>
      </c>
      <c r="G11" s="9" t="s">
        <v>25</v>
      </c>
      <c r="H11" s="9"/>
    </row>
    <row r="12" spans="1:8" x14ac:dyDescent="0.25">
      <c r="A12" s="6" t="s">
        <v>23</v>
      </c>
      <c r="B12" s="2" t="s">
        <v>7</v>
      </c>
      <c r="C12" s="5">
        <v>926</v>
      </c>
      <c r="D12" s="5">
        <v>926</v>
      </c>
      <c r="E12" s="5">
        <v>926</v>
      </c>
      <c r="F12" s="5">
        <v>360</v>
      </c>
      <c r="G12" s="9">
        <v>926</v>
      </c>
      <c r="H12" s="9"/>
    </row>
    <row r="13" spans="1:8" x14ac:dyDescent="0.25">
      <c r="A13" s="6" t="s">
        <v>9</v>
      </c>
      <c r="B13" s="2" t="s">
        <v>7</v>
      </c>
      <c r="C13" s="5"/>
      <c r="D13" s="5"/>
      <c r="E13" s="5"/>
      <c r="F13" s="5"/>
      <c r="G13" s="5"/>
      <c r="H13" s="5"/>
    </row>
    <row r="14" spans="1:8" x14ac:dyDescent="0.25">
      <c r="A14" s="6" t="s">
        <v>30</v>
      </c>
      <c r="B14" s="2" t="s">
        <v>8</v>
      </c>
      <c r="C14" s="5">
        <v>1600</v>
      </c>
      <c r="D14" s="5">
        <v>1600</v>
      </c>
      <c r="E14" s="5">
        <v>1600</v>
      </c>
      <c r="F14" s="5">
        <v>1600</v>
      </c>
      <c r="G14" s="9">
        <v>1600</v>
      </c>
      <c r="H14" s="9"/>
    </row>
    <row r="15" spans="1:8" ht="14.25" customHeight="1" x14ac:dyDescent="0.25">
      <c r="A15" s="6" t="s">
        <v>1</v>
      </c>
      <c r="B15" s="2" t="s">
        <v>6</v>
      </c>
      <c r="C15" s="5">
        <v>110000</v>
      </c>
      <c r="D15" s="5">
        <v>133000</v>
      </c>
      <c r="E15" s="5">
        <v>166000</v>
      </c>
      <c r="F15" s="5">
        <v>530000</v>
      </c>
      <c r="G15" s="9"/>
      <c r="H15" s="9"/>
    </row>
    <row r="16" spans="1:8" x14ac:dyDescent="0.25">
      <c r="A16" s="6" t="s">
        <v>28</v>
      </c>
      <c r="B16" s="2" t="s">
        <v>33</v>
      </c>
      <c r="C16" s="5">
        <v>1450000</v>
      </c>
      <c r="D16" s="5">
        <v>1450000</v>
      </c>
      <c r="E16" s="5">
        <v>1450000</v>
      </c>
      <c r="F16" s="5">
        <v>1000000</v>
      </c>
      <c r="G16" s="9">
        <v>1450000</v>
      </c>
      <c r="H16" s="9"/>
    </row>
    <row r="17" spans="1:12" x14ac:dyDescent="0.25">
      <c r="A17" s="6" t="s">
        <v>34</v>
      </c>
      <c r="B17" s="2" t="s">
        <v>62</v>
      </c>
      <c r="C17" s="5">
        <v>130000</v>
      </c>
      <c r="D17" s="5">
        <v>130000</v>
      </c>
      <c r="E17" s="5">
        <v>130000</v>
      </c>
      <c r="F17" s="5">
        <v>130000</v>
      </c>
      <c r="G17" s="9"/>
      <c r="H17" s="9"/>
    </row>
    <row r="18" spans="1:12" x14ac:dyDescent="0.25">
      <c r="A18" s="8" t="s">
        <v>29</v>
      </c>
      <c r="B18" s="1" t="s">
        <v>35</v>
      </c>
      <c r="C18" s="3">
        <f>(C17/C16)*100</f>
        <v>8.9655172413793096</v>
      </c>
      <c r="D18" s="3">
        <f t="shared" ref="D18:F18" si="0">(D17/D16)*100</f>
        <v>8.9655172413793096</v>
      </c>
      <c r="E18" s="3">
        <f t="shared" si="0"/>
        <v>8.9655172413793096</v>
      </c>
      <c r="F18" s="3">
        <f t="shared" si="0"/>
        <v>13</v>
      </c>
      <c r="G18" s="3"/>
      <c r="H18" s="3"/>
      <c r="L18"/>
    </row>
    <row r="19" spans="1:12" x14ac:dyDescent="0.25">
      <c r="A19" s="1" t="s">
        <v>36</v>
      </c>
      <c r="B19" s="1" t="s">
        <v>37</v>
      </c>
      <c r="C19" s="3">
        <f>100/C18</f>
        <v>11.153846153846155</v>
      </c>
      <c r="D19" s="3">
        <f t="shared" ref="D19:F19" si="1">100/D18</f>
        <v>11.153846153846155</v>
      </c>
      <c r="E19" s="3">
        <f t="shared" si="1"/>
        <v>11.153846153846155</v>
      </c>
      <c r="F19" s="3">
        <f t="shared" si="1"/>
        <v>7.6923076923076925</v>
      </c>
      <c r="G19" s="3"/>
      <c r="H19" s="3"/>
    </row>
    <row r="20" spans="1:12" x14ac:dyDescent="0.25">
      <c r="A20" s="1" t="s">
        <v>51</v>
      </c>
      <c r="B20" s="1" t="s">
        <v>6</v>
      </c>
      <c r="C20" s="3">
        <f>C15-(C15*(C9/100))</f>
        <v>38500</v>
      </c>
      <c r="D20" s="3">
        <f>D15-(D15*(D9/100))</f>
        <v>46550</v>
      </c>
      <c r="E20" s="3">
        <f>E15-(E15*(E9/100))</f>
        <v>58100</v>
      </c>
      <c r="F20" s="3">
        <f>F15-(F15*(F9/100))</f>
        <v>185500</v>
      </c>
      <c r="G20" s="3"/>
      <c r="H20" s="3"/>
    </row>
    <row r="21" spans="1:12" x14ac:dyDescent="0.25">
      <c r="A21" s="1" t="s">
        <v>59</v>
      </c>
      <c r="B21" s="1" t="s">
        <v>7</v>
      </c>
      <c r="C21" s="3">
        <f>((C15-C20)/5)</f>
        <v>14300</v>
      </c>
      <c r="D21" s="3">
        <f>((D15-D20)/5)</f>
        <v>17290</v>
      </c>
      <c r="E21" s="3">
        <f>((E15-E20)/5)</f>
        <v>21580</v>
      </c>
      <c r="F21" s="3">
        <f>((F15-F20)/5)</f>
        <v>68900</v>
      </c>
      <c r="G21" s="3"/>
      <c r="H21" s="3"/>
    </row>
    <row r="22" spans="1:12" s="1" customFormat="1" x14ac:dyDescent="0.25">
      <c r="A22" s="7" t="s">
        <v>21</v>
      </c>
      <c r="B22" s="1" t="s">
        <v>7</v>
      </c>
      <c r="C22" s="3">
        <f>(C10*4)+C13+(C14*12)+C21+C12</f>
        <v>34750</v>
      </c>
      <c r="D22" s="3">
        <f t="shared" ref="D22:F22" si="2">(D10*4)+D13+(D14*12)+D21+D12</f>
        <v>38056</v>
      </c>
      <c r="E22" s="3">
        <f t="shared" si="2"/>
        <v>43006</v>
      </c>
      <c r="F22" s="3">
        <f t="shared" si="2"/>
        <v>88460</v>
      </c>
      <c r="G22" s="10"/>
      <c r="H22" s="10"/>
    </row>
    <row r="24" spans="1:12" x14ac:dyDescent="0.25">
      <c r="A24" s="1" t="s">
        <v>3</v>
      </c>
      <c r="B24" s="1"/>
    </row>
    <row r="25" spans="1:12" x14ac:dyDescent="0.25">
      <c r="A25" s="6" t="s">
        <v>61</v>
      </c>
      <c r="B25" s="2" t="s">
        <v>14</v>
      </c>
      <c r="C25" s="5">
        <v>2.1739999999999999</v>
      </c>
      <c r="D25" s="5">
        <v>2.1739999999999999</v>
      </c>
      <c r="E25" s="5">
        <v>2.1739999999999999</v>
      </c>
      <c r="F25" s="5">
        <v>0.69205000000000005</v>
      </c>
      <c r="G25" s="5">
        <v>2.1739999999999999</v>
      </c>
      <c r="H25" s="5"/>
    </row>
    <row r="26" spans="1:12" x14ac:dyDescent="0.25">
      <c r="A26" s="6" t="s">
        <v>63</v>
      </c>
      <c r="B26" s="2" t="s">
        <v>7</v>
      </c>
      <c r="C26" s="5">
        <v>0</v>
      </c>
      <c r="D26" s="5">
        <v>0</v>
      </c>
      <c r="E26" s="5">
        <v>0</v>
      </c>
      <c r="F26" s="5">
        <v>305.99</v>
      </c>
      <c r="G26" s="5"/>
      <c r="H26" s="5"/>
    </row>
    <row r="27" spans="1:12" x14ac:dyDescent="0.25">
      <c r="A27" s="6" t="s">
        <v>39</v>
      </c>
      <c r="B27" s="2" t="s">
        <v>38</v>
      </c>
      <c r="C27" s="5">
        <v>36.248600000000003</v>
      </c>
      <c r="D27" s="5">
        <v>32.414000000000001</v>
      </c>
      <c r="E27" s="5">
        <v>162.25749999999999</v>
      </c>
      <c r="F27" s="5">
        <v>220.5</v>
      </c>
      <c r="G27" s="5"/>
      <c r="H27" s="5"/>
    </row>
    <row r="28" spans="1:12" x14ac:dyDescent="0.25">
      <c r="A28" s="6" t="s">
        <v>32</v>
      </c>
      <c r="B28" s="2" t="s">
        <v>33</v>
      </c>
      <c r="C28" s="5">
        <v>234.101</v>
      </c>
      <c r="D28" s="5">
        <v>108.18300000000001</v>
      </c>
      <c r="E28" s="5">
        <v>314.83199999999999</v>
      </c>
      <c r="F28" s="5">
        <v>108.18300000000001</v>
      </c>
      <c r="G28" s="5"/>
      <c r="H28" s="5"/>
    </row>
    <row r="29" spans="1:12" x14ac:dyDescent="0.25">
      <c r="A29" s="6" t="s">
        <v>2</v>
      </c>
      <c r="B29" s="2" t="s">
        <v>7</v>
      </c>
      <c r="C29" s="5"/>
      <c r="D29" s="5"/>
      <c r="E29" s="5"/>
      <c r="F29" s="5"/>
      <c r="G29" s="5"/>
      <c r="H29" s="5"/>
    </row>
    <row r="30" spans="1:12" x14ac:dyDescent="0.25">
      <c r="A30" s="6" t="s">
        <v>49</v>
      </c>
      <c r="B30" s="2" t="s">
        <v>48</v>
      </c>
      <c r="C30" s="5">
        <f>0.185-0.0273</f>
        <v>0.15770000000000001</v>
      </c>
      <c r="D30" s="5">
        <v>0.185</v>
      </c>
      <c r="E30" s="5">
        <f>0.185+0.0273</f>
        <v>0.21229999999999999</v>
      </c>
      <c r="F30" s="5">
        <v>0.13239999999999999</v>
      </c>
      <c r="G30" s="5"/>
      <c r="H30" s="5"/>
    </row>
    <row r="31" spans="1:12" x14ac:dyDescent="0.25">
      <c r="A31" s="1" t="s">
        <v>12</v>
      </c>
      <c r="B31" s="1" t="s">
        <v>11</v>
      </c>
      <c r="C31" s="3">
        <f>C27*C25</f>
        <v>78.804456400000007</v>
      </c>
      <c r="D31" s="3">
        <f>D27*D25</f>
        <v>70.468035999999998</v>
      </c>
      <c r="E31" s="3">
        <f>E27*E25</f>
        <v>352.74780499999997</v>
      </c>
      <c r="F31" s="3">
        <f t="shared" ref="F31" si="3">F27*F25</f>
        <v>152.597025</v>
      </c>
      <c r="G31" s="3"/>
      <c r="H31" s="3"/>
    </row>
    <row r="32" spans="1:12" x14ac:dyDescent="0.25">
      <c r="A32" s="1" t="s">
        <v>54</v>
      </c>
      <c r="B32" s="1" t="s">
        <v>10</v>
      </c>
      <c r="C32" s="3">
        <f>(C31*1000)/C28</f>
        <v>336.62588540843484</v>
      </c>
      <c r="D32" s="3">
        <f t="shared" ref="D32:F32" si="4">(D31*1000)/D28</f>
        <v>651.37809082757906</v>
      </c>
      <c r="E32" s="3">
        <f t="shared" si="4"/>
        <v>1120.4318652487675</v>
      </c>
      <c r="F32" s="3">
        <f t="shared" si="4"/>
        <v>1410.5453259754304</v>
      </c>
      <c r="G32" s="3"/>
      <c r="H32" s="3"/>
    </row>
    <row r="33" spans="1:8" x14ac:dyDescent="0.25">
      <c r="A33" s="1" t="s">
        <v>55</v>
      </c>
      <c r="B33" s="1" t="s">
        <v>7</v>
      </c>
      <c r="C33" s="3">
        <f>(C30*C17) + C26</f>
        <v>20501</v>
      </c>
      <c r="D33" s="3">
        <f t="shared" ref="D33:F33" si="5">(D30*D17) + D26</f>
        <v>24050</v>
      </c>
      <c r="E33" s="3">
        <f t="shared" si="5"/>
        <v>27599</v>
      </c>
      <c r="F33" s="3">
        <f t="shared" si="5"/>
        <v>17517.990000000002</v>
      </c>
      <c r="G33" s="3"/>
      <c r="H33" s="3"/>
    </row>
    <row r="34" spans="1:8" x14ac:dyDescent="0.25">
      <c r="A34" s="1" t="s">
        <v>43</v>
      </c>
      <c r="B34" s="1" t="s">
        <v>7</v>
      </c>
      <c r="C34" s="3">
        <f>(C32/1000)*C17</f>
        <v>43761.365103096534</v>
      </c>
      <c r="D34" s="3">
        <f>(D32/1000)*D17</f>
        <v>84679.15180758528</v>
      </c>
      <c r="E34" s="3">
        <f>(E32/1000)*E17</f>
        <v>145656.14248233978</v>
      </c>
      <c r="F34" s="3">
        <f>(F32/1000)*F17</f>
        <v>183370.89237680595</v>
      </c>
      <c r="G34" s="3"/>
      <c r="H34" s="3"/>
    </row>
    <row r="35" spans="1:8" s="1" customFormat="1" x14ac:dyDescent="0.25">
      <c r="A35" s="7" t="s">
        <v>31</v>
      </c>
      <c r="B35" s="1" t="s">
        <v>7</v>
      </c>
      <c r="C35" s="3">
        <f>C34+C29+C33</f>
        <v>64262.365103096534</v>
      </c>
      <c r="D35" s="3">
        <f>D34+D29+D33</f>
        <v>108729.15180758528</v>
      </c>
      <c r="E35" s="3">
        <f>E34+E29+E33</f>
        <v>173255.14248233978</v>
      </c>
      <c r="F35" s="3">
        <f>F34+F29+F33</f>
        <v>200888.88237680594</v>
      </c>
      <c r="G35" s="3"/>
      <c r="H35" s="3"/>
    </row>
    <row r="36" spans="1:8" s="1" customFormat="1" x14ac:dyDescent="0.25">
      <c r="A36" s="1" t="s">
        <v>53</v>
      </c>
      <c r="B36" s="1" t="s">
        <v>47</v>
      </c>
      <c r="C36" s="3">
        <f>(C22/(C17*(C6/1000)))</f>
        <v>2.8019674246089341E-2</v>
      </c>
      <c r="D36" s="3">
        <f>(D22/(D17*(D6/1000)))</f>
        <v>1.6263247863247864E-2</v>
      </c>
      <c r="E36" s="3">
        <f>(E22/(E17*(E6/1000)))</f>
        <v>6.0148251748251749E-3</v>
      </c>
      <c r="F36" s="3">
        <f>(F22/(F17*(F6/1000)))</f>
        <v>4.0027149321266969E-2</v>
      </c>
      <c r="G36" s="3"/>
      <c r="H36" s="3"/>
    </row>
    <row r="37" spans="1:8" x14ac:dyDescent="0.25">
      <c r="A37" s="1" t="s">
        <v>46</v>
      </c>
      <c r="B37" s="1" t="s">
        <v>47</v>
      </c>
      <c r="C37" s="3">
        <f>(C35/((C17*(C6/1000))))</f>
        <v>5.1816130545957531E-2</v>
      </c>
      <c r="D37" s="3">
        <f>(D35/((D17*(D6/1000))))</f>
        <v>4.6465449490421057E-2</v>
      </c>
      <c r="E37" s="3">
        <f>(E35/((E17*(E6/1000))))</f>
        <v>2.4231488459068501E-2</v>
      </c>
      <c r="F37" s="3">
        <f>(F35/((F17*(F6/1000))))</f>
        <v>9.0899946776835272E-2</v>
      </c>
      <c r="G37" s="3"/>
      <c r="H37" s="3"/>
    </row>
    <row r="38" spans="1:8" ht="15.75" customHeight="1" x14ac:dyDescent="0.25">
      <c r="A38" s="1" t="s">
        <v>56</v>
      </c>
      <c r="B38" s="1" t="s">
        <v>7</v>
      </c>
      <c r="C38" s="3">
        <f>C35+C22</f>
        <v>99012.365103096527</v>
      </c>
      <c r="D38" s="3">
        <f>D35+D22</f>
        <v>146785.15180758527</v>
      </c>
      <c r="E38" s="3">
        <f>E35+E22</f>
        <v>216261.14248233978</v>
      </c>
      <c r="F38" s="3">
        <f>F35+F22</f>
        <v>289348.88237680594</v>
      </c>
      <c r="G38" s="3"/>
      <c r="H38" s="3"/>
    </row>
    <row r="39" spans="1:8" x14ac:dyDescent="0.25">
      <c r="A39" s="1" t="s">
        <v>57</v>
      </c>
      <c r="B39" s="1" t="s">
        <v>48</v>
      </c>
      <c r="C39" s="3">
        <f>(C35+C22)/C17</f>
        <v>0.76163357771612716</v>
      </c>
      <c r="D39" s="3">
        <f>(D35+D22)/D17</f>
        <v>1.1291165523660405</v>
      </c>
      <c r="E39" s="3">
        <f>(E35+E22)/E17</f>
        <v>1.6635472498641521</v>
      </c>
      <c r="F39" s="3">
        <f>(F35+F22)/F17</f>
        <v>2.225760633667738</v>
      </c>
      <c r="G39" s="3"/>
      <c r="H39" s="3"/>
    </row>
    <row r="40" spans="1:8" x14ac:dyDescent="0.25">
      <c r="A40" s="1" t="s">
        <v>58</v>
      </c>
      <c r="B40" s="1" t="s">
        <v>52</v>
      </c>
      <c r="C40" s="3">
        <f>C36+C37</f>
        <v>7.9835804792046869E-2</v>
      </c>
      <c r="D40" s="3">
        <f t="shared" ref="D40:F40" si="6">D36+D37</f>
        <v>6.2728697353668927E-2</v>
      </c>
      <c r="E40" s="3">
        <f t="shared" si="6"/>
        <v>3.0246313633893677E-2</v>
      </c>
      <c r="F40" s="3">
        <f t="shared" si="6"/>
        <v>0.13092709609810224</v>
      </c>
      <c r="G40" s="3"/>
      <c r="H40" s="3"/>
    </row>
    <row r="41" spans="1:8" x14ac:dyDescent="0.25">
      <c r="B41" s="1"/>
      <c r="C41"/>
      <c r="D41"/>
      <c r="E41"/>
    </row>
    <row r="42" spans="1:8" x14ac:dyDescent="0.25">
      <c r="C42"/>
      <c r="D42"/>
      <c r="E42"/>
    </row>
  </sheetData>
  <mergeCells count="10">
    <mergeCell ref="G15:H15"/>
    <mergeCell ref="G16:H16"/>
    <mergeCell ref="G17:H17"/>
    <mergeCell ref="G22:H22"/>
    <mergeCell ref="A1:B1"/>
    <mergeCell ref="G3:H3"/>
    <mergeCell ref="G10:H10"/>
    <mergeCell ref="G11:H11"/>
    <mergeCell ref="G12:H12"/>
    <mergeCell ref="G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7B2A-88EB-4624-A6CB-4AE8D65241EE}">
  <dimension ref="A1:G40"/>
  <sheetViews>
    <sheetView workbookViewId="0">
      <selection sqref="A1:C1"/>
    </sheetView>
  </sheetViews>
  <sheetFormatPr defaultRowHeight="15" x14ac:dyDescent="0.25"/>
  <cols>
    <col min="1" max="1" width="44.7109375" style="2" customWidth="1"/>
    <col min="2" max="2" width="33.140625" style="2" customWidth="1"/>
    <col min="3" max="3" width="16.140625" style="2" bestFit="1" customWidth="1"/>
    <col min="4" max="6" width="9.140625" style="2"/>
    <col min="7" max="7" width="0" style="2" hidden="1" customWidth="1"/>
    <col min="8" max="16384" width="9.140625" style="2"/>
  </cols>
  <sheetData>
    <row r="1" spans="1:3" s="4" customFormat="1" ht="20.25" thickBot="1" x14ac:dyDescent="0.3">
      <c r="A1" s="11" t="s">
        <v>65</v>
      </c>
      <c r="B1" s="11"/>
      <c r="C1" s="11"/>
    </row>
    <row r="2" spans="1:3" ht="15.75" thickTop="1" x14ac:dyDescent="0.25"/>
    <row r="3" spans="1:3" s="1" customFormat="1" x14ac:dyDescent="0.25">
      <c r="B3" s="1" t="s">
        <v>5</v>
      </c>
      <c r="C3" s="1" t="s">
        <v>24</v>
      </c>
    </row>
    <row r="4" spans="1:3" ht="14.25" hidden="1" customHeight="1" x14ac:dyDescent="0.25">
      <c r="C4" s="2" t="s">
        <v>18</v>
      </c>
    </row>
    <row r="6" spans="1:3" x14ac:dyDescent="0.25">
      <c r="A6" s="2" t="s">
        <v>44</v>
      </c>
      <c r="B6" s="2" t="s">
        <v>45</v>
      </c>
      <c r="C6" s="5">
        <v>18000</v>
      </c>
    </row>
    <row r="8" spans="1:3" x14ac:dyDescent="0.25">
      <c r="A8" s="1" t="s">
        <v>0</v>
      </c>
      <c r="B8" s="1"/>
    </row>
    <row r="9" spans="1:3" x14ac:dyDescent="0.25">
      <c r="A9" s="6" t="s">
        <v>50</v>
      </c>
      <c r="B9" s="2" t="s">
        <v>35</v>
      </c>
      <c r="C9" s="5">
        <v>65</v>
      </c>
    </row>
    <row r="10" spans="1:3" x14ac:dyDescent="0.25">
      <c r="A10" s="6" t="s">
        <v>22</v>
      </c>
      <c r="B10" s="2" t="s">
        <v>13</v>
      </c>
      <c r="C10" s="5">
        <v>160</v>
      </c>
    </row>
    <row r="11" spans="1:3" x14ac:dyDescent="0.25">
      <c r="A11" s="6" t="s">
        <v>15</v>
      </c>
      <c r="B11" s="2" t="s">
        <v>13</v>
      </c>
      <c r="C11" s="5" t="s">
        <v>27</v>
      </c>
    </row>
    <row r="12" spans="1:3" x14ac:dyDescent="0.25">
      <c r="A12" s="6" t="s">
        <v>23</v>
      </c>
      <c r="B12" s="2" t="s">
        <v>7</v>
      </c>
      <c r="C12" s="5">
        <v>926</v>
      </c>
    </row>
    <row r="13" spans="1:3" x14ac:dyDescent="0.25">
      <c r="A13" s="6" t="s">
        <v>9</v>
      </c>
      <c r="B13" s="2" t="s">
        <v>7</v>
      </c>
      <c r="C13" s="5"/>
    </row>
    <row r="14" spans="1:3" x14ac:dyDescent="0.25">
      <c r="A14" s="6" t="s">
        <v>30</v>
      </c>
      <c r="B14" s="2" t="s">
        <v>8</v>
      </c>
      <c r="C14" s="5">
        <v>1600</v>
      </c>
    </row>
    <row r="15" spans="1:3" ht="14.25" customHeight="1" x14ac:dyDescent="0.25">
      <c r="A15" s="6" t="s">
        <v>1</v>
      </c>
      <c r="B15" s="2" t="s">
        <v>6</v>
      </c>
      <c r="C15" s="5">
        <v>133000</v>
      </c>
    </row>
    <row r="16" spans="1:3" x14ac:dyDescent="0.25">
      <c r="A16" s="6" t="s">
        <v>28</v>
      </c>
      <c r="B16" s="2" t="s">
        <v>33</v>
      </c>
      <c r="C16" s="5">
        <v>1450000</v>
      </c>
    </row>
    <row r="17" spans="1:7" x14ac:dyDescent="0.25">
      <c r="A17" s="6" t="s">
        <v>34</v>
      </c>
      <c r="B17" s="2" t="s">
        <v>62</v>
      </c>
      <c r="C17" s="5">
        <v>130000</v>
      </c>
    </row>
    <row r="18" spans="1:7" x14ac:dyDescent="0.25">
      <c r="A18" s="8" t="s">
        <v>29</v>
      </c>
      <c r="B18" s="1" t="s">
        <v>35</v>
      </c>
      <c r="C18" s="3">
        <f t="shared" ref="C18" si="0">(C17/C16)*100</f>
        <v>8.9655172413793096</v>
      </c>
      <c r="G18" s="3"/>
    </row>
    <row r="19" spans="1:7" x14ac:dyDescent="0.25">
      <c r="A19" s="1" t="s">
        <v>36</v>
      </c>
      <c r="B19" s="1" t="s">
        <v>37</v>
      </c>
      <c r="C19" s="3">
        <f t="shared" ref="C19" si="1">100/C18</f>
        <v>11.153846153846155</v>
      </c>
    </row>
    <row r="20" spans="1:7" x14ac:dyDescent="0.25">
      <c r="A20" s="1" t="s">
        <v>51</v>
      </c>
      <c r="B20" s="1" t="s">
        <v>6</v>
      </c>
      <c r="C20" s="3">
        <f>C15-(C15*(C9/100))</f>
        <v>46550</v>
      </c>
    </row>
    <row r="21" spans="1:7" x14ac:dyDescent="0.25">
      <c r="A21" s="1" t="s">
        <v>59</v>
      </c>
      <c r="B21" s="1" t="s">
        <v>7</v>
      </c>
      <c r="C21" s="3">
        <f>((C15-C20)/5)</f>
        <v>17290</v>
      </c>
    </row>
    <row r="22" spans="1:7" s="1" customFormat="1" x14ac:dyDescent="0.25">
      <c r="A22" s="7" t="s">
        <v>21</v>
      </c>
      <c r="B22" s="1" t="s">
        <v>7</v>
      </c>
      <c r="C22" s="3">
        <f>(C10*4)+C13+(C14*12)+C21+C12</f>
        <v>38056</v>
      </c>
    </row>
    <row r="24" spans="1:7" x14ac:dyDescent="0.25">
      <c r="A24" s="1" t="s">
        <v>3</v>
      </c>
      <c r="B24" s="1"/>
    </row>
    <row r="25" spans="1:7" x14ac:dyDescent="0.25">
      <c r="A25" s="6" t="s">
        <v>61</v>
      </c>
      <c r="B25" s="2" t="s">
        <v>14</v>
      </c>
      <c r="C25" s="5">
        <v>2.1739999999999999</v>
      </c>
    </row>
    <row r="26" spans="1:7" x14ac:dyDescent="0.25">
      <c r="A26" s="6" t="s">
        <v>63</v>
      </c>
      <c r="B26" s="2" t="s">
        <v>7</v>
      </c>
      <c r="C26" s="5">
        <v>0</v>
      </c>
    </row>
    <row r="27" spans="1:7" x14ac:dyDescent="0.25">
      <c r="A27" s="6" t="s">
        <v>39</v>
      </c>
      <c r="B27" s="2" t="s">
        <v>38</v>
      </c>
      <c r="C27" s="5">
        <v>34.43</v>
      </c>
    </row>
    <row r="28" spans="1:7" x14ac:dyDescent="0.25">
      <c r="A28" s="6" t="s">
        <v>32</v>
      </c>
      <c r="B28" s="2" t="s">
        <v>33</v>
      </c>
      <c r="C28" s="5">
        <v>100.71299999999999</v>
      </c>
    </row>
    <row r="29" spans="1:7" x14ac:dyDescent="0.25">
      <c r="A29" s="6" t="s">
        <v>2</v>
      </c>
      <c r="B29" s="2" t="s">
        <v>7</v>
      </c>
      <c r="C29" s="5"/>
    </row>
    <row r="30" spans="1:7" x14ac:dyDescent="0.25">
      <c r="A30" s="6" t="s">
        <v>49</v>
      </c>
      <c r="B30" s="2" t="s">
        <v>48</v>
      </c>
      <c r="C30" s="5">
        <v>0.185</v>
      </c>
    </row>
    <row r="31" spans="1:7" x14ac:dyDescent="0.25">
      <c r="A31" s="1" t="s">
        <v>12</v>
      </c>
      <c r="B31" s="1" t="s">
        <v>11</v>
      </c>
      <c r="C31" s="3">
        <f>C27*C25</f>
        <v>74.850819999999999</v>
      </c>
    </row>
    <row r="32" spans="1:7" x14ac:dyDescent="0.25">
      <c r="A32" s="1" t="s">
        <v>54</v>
      </c>
      <c r="B32" s="1" t="s">
        <v>10</v>
      </c>
      <c r="C32" s="3">
        <f t="shared" ref="C32" si="2">(C31*1000)/C28</f>
        <v>743.20911898166071</v>
      </c>
    </row>
    <row r="33" spans="1:3" x14ac:dyDescent="0.25">
      <c r="A33" s="1" t="s">
        <v>55</v>
      </c>
      <c r="B33" s="1" t="s">
        <v>7</v>
      </c>
      <c r="C33" s="3">
        <f>(C30*C17) + C26</f>
        <v>24050</v>
      </c>
    </row>
    <row r="34" spans="1:3" x14ac:dyDescent="0.25">
      <c r="A34" s="1" t="s">
        <v>43</v>
      </c>
      <c r="B34" s="1" t="s">
        <v>7</v>
      </c>
      <c r="C34" s="3">
        <f>(C32/1000)*C17</f>
        <v>96617.185467615898</v>
      </c>
    </row>
    <row r="35" spans="1:3" s="1" customFormat="1" x14ac:dyDescent="0.25">
      <c r="A35" s="7" t="s">
        <v>31</v>
      </c>
      <c r="B35" s="1" t="s">
        <v>7</v>
      </c>
      <c r="C35" s="3">
        <f>C34+C29+C33</f>
        <v>120667.1854676159</v>
      </c>
    </row>
    <row r="36" spans="1:3" ht="15.75" customHeight="1" x14ac:dyDescent="0.25">
      <c r="A36" s="1" t="s">
        <v>56</v>
      </c>
      <c r="B36" s="1" t="s">
        <v>7</v>
      </c>
      <c r="C36" s="3">
        <f>C35+C22</f>
        <v>158723.1854676159</v>
      </c>
    </row>
    <row r="37" spans="1:3" x14ac:dyDescent="0.25">
      <c r="A37" s="1" t="s">
        <v>57</v>
      </c>
      <c r="B37" s="1" t="s">
        <v>48</v>
      </c>
      <c r="C37" s="3">
        <f>(C35+C22)/C17</f>
        <v>1.2209475805201222</v>
      </c>
    </row>
    <row r="38" spans="1:3" x14ac:dyDescent="0.25">
      <c r="A38" s="1" t="s">
        <v>58</v>
      </c>
      <c r="B38" s="1" t="s">
        <v>52</v>
      </c>
      <c r="C38" s="3">
        <f>((C22+C35)/((C17*(C6/1000))))</f>
        <v>6.78304211400068E-2</v>
      </c>
    </row>
    <row r="39" spans="1:3" x14ac:dyDescent="0.25">
      <c r="B39" s="1"/>
      <c r="C39"/>
    </row>
    <row r="40" spans="1:3" x14ac:dyDescent="0.25">
      <c r="C40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0DB1-3844-4733-B06C-8C8167956A44}">
  <dimension ref="A1:C39"/>
  <sheetViews>
    <sheetView tabSelected="1" topLeftCell="A9" workbookViewId="0">
      <selection activeCell="E39" sqref="E39"/>
    </sheetView>
  </sheetViews>
  <sheetFormatPr defaultRowHeight="15" x14ac:dyDescent="0.25"/>
  <cols>
    <col min="1" max="1" width="44.7109375" style="2" customWidth="1"/>
    <col min="2" max="2" width="33.140625" style="2" customWidth="1"/>
    <col min="3" max="3" width="16.85546875" style="2" bestFit="1" customWidth="1"/>
  </cols>
  <sheetData>
    <row r="1" spans="1:3" ht="20.25" thickBot="1" x14ac:dyDescent="0.3">
      <c r="A1" s="11" t="s">
        <v>66</v>
      </c>
      <c r="B1" s="11"/>
      <c r="C1" s="11"/>
    </row>
    <row r="2" spans="1:3" ht="15.75" thickTop="1" x14ac:dyDescent="0.25"/>
    <row r="3" spans="1:3" x14ac:dyDescent="0.25">
      <c r="A3" s="1"/>
      <c r="B3" s="1" t="s">
        <v>5</v>
      </c>
      <c r="C3" s="1" t="s">
        <v>60</v>
      </c>
    </row>
    <row r="4" spans="1:3" x14ac:dyDescent="0.25">
      <c r="C4" s="1" t="s">
        <v>17</v>
      </c>
    </row>
    <row r="5" spans="1:3" x14ac:dyDescent="0.25">
      <c r="C5" s="1"/>
    </row>
    <row r="6" spans="1:3" x14ac:dyDescent="0.25">
      <c r="A6" s="2" t="s">
        <v>44</v>
      </c>
      <c r="B6" s="2" t="s">
        <v>45</v>
      </c>
      <c r="C6" s="5">
        <v>17000</v>
      </c>
    </row>
    <row r="7" spans="1:3" x14ac:dyDescent="0.25">
      <c r="C7" s="1"/>
    </row>
    <row r="8" spans="1:3" x14ac:dyDescent="0.25">
      <c r="A8" s="1" t="s">
        <v>0</v>
      </c>
      <c r="B8" s="1"/>
    </row>
    <row r="9" spans="1:3" x14ac:dyDescent="0.25">
      <c r="A9" s="6" t="s">
        <v>50</v>
      </c>
      <c r="B9" s="2" t="s">
        <v>35</v>
      </c>
      <c r="C9" s="5">
        <v>65</v>
      </c>
    </row>
    <row r="10" spans="1:3" x14ac:dyDescent="0.25">
      <c r="A10" s="6" t="s">
        <v>22</v>
      </c>
      <c r="B10" s="2" t="s">
        <v>13</v>
      </c>
      <c r="C10" s="5">
        <v>0</v>
      </c>
    </row>
    <row r="11" spans="1:3" x14ac:dyDescent="0.25">
      <c r="A11" s="6" t="s">
        <v>15</v>
      </c>
      <c r="B11" s="2" t="s">
        <v>13</v>
      </c>
      <c r="C11" s="5">
        <v>81</v>
      </c>
    </row>
    <row r="12" spans="1:3" x14ac:dyDescent="0.25">
      <c r="A12" s="6" t="s">
        <v>23</v>
      </c>
      <c r="B12" s="2" t="s">
        <v>7</v>
      </c>
      <c r="C12" s="5">
        <v>360</v>
      </c>
    </row>
    <row r="13" spans="1:3" x14ac:dyDescent="0.25">
      <c r="A13" s="6" t="s">
        <v>9</v>
      </c>
      <c r="B13" s="2" t="s">
        <v>7</v>
      </c>
      <c r="C13" s="5"/>
    </row>
    <row r="14" spans="1:3" x14ac:dyDescent="0.25">
      <c r="A14" s="6" t="s">
        <v>30</v>
      </c>
      <c r="B14" s="2" t="s">
        <v>8</v>
      </c>
      <c r="C14" s="5">
        <v>1600</v>
      </c>
    </row>
    <row r="15" spans="1:3" x14ac:dyDescent="0.25">
      <c r="A15" s="6" t="s">
        <v>1</v>
      </c>
      <c r="B15" s="2" t="s">
        <v>6</v>
      </c>
      <c r="C15" s="5">
        <v>530000</v>
      </c>
    </row>
    <row r="16" spans="1:3" x14ac:dyDescent="0.25">
      <c r="A16" s="6" t="s">
        <v>28</v>
      </c>
      <c r="B16" s="2" t="s">
        <v>33</v>
      </c>
      <c r="C16" s="5">
        <v>1000000</v>
      </c>
    </row>
    <row r="17" spans="1:3" x14ac:dyDescent="0.25">
      <c r="A17" s="6" t="s">
        <v>34</v>
      </c>
      <c r="B17" s="2" t="s">
        <v>62</v>
      </c>
      <c r="C17" s="5">
        <v>130000</v>
      </c>
    </row>
    <row r="18" spans="1:3" x14ac:dyDescent="0.25">
      <c r="A18" s="8" t="s">
        <v>29</v>
      </c>
      <c r="B18" s="1" t="s">
        <v>35</v>
      </c>
      <c r="C18" s="3">
        <f t="shared" ref="C18" si="0">(C17/C16)*100</f>
        <v>13</v>
      </c>
    </row>
    <row r="19" spans="1:3" x14ac:dyDescent="0.25">
      <c r="A19" s="1" t="s">
        <v>36</v>
      </c>
      <c r="B19" s="1" t="s">
        <v>37</v>
      </c>
      <c r="C19" s="3">
        <f t="shared" ref="C19" si="1">100/C18</f>
        <v>7.6923076923076925</v>
      </c>
    </row>
    <row r="20" spans="1:3" x14ac:dyDescent="0.25">
      <c r="A20" s="1" t="s">
        <v>51</v>
      </c>
      <c r="B20" s="1" t="s">
        <v>6</v>
      </c>
      <c r="C20" s="3">
        <f>C15-(C15*(C9/100))</f>
        <v>185500</v>
      </c>
    </row>
    <row r="21" spans="1:3" x14ac:dyDescent="0.25">
      <c r="A21" s="1" t="s">
        <v>59</v>
      </c>
      <c r="B21" s="1" t="s">
        <v>7</v>
      </c>
      <c r="C21" s="3">
        <f>((C15-C20)/5)</f>
        <v>68900</v>
      </c>
    </row>
    <row r="22" spans="1:3" x14ac:dyDescent="0.25">
      <c r="A22" s="7" t="s">
        <v>21</v>
      </c>
      <c r="B22" s="1" t="s">
        <v>7</v>
      </c>
      <c r="C22" s="3">
        <f>(C10*4)+C13+(C14*12)+C21+C12</f>
        <v>88460</v>
      </c>
    </row>
    <row r="24" spans="1:3" x14ac:dyDescent="0.25">
      <c r="A24" s="1" t="s">
        <v>3</v>
      </c>
      <c r="B24" s="1"/>
    </row>
    <row r="25" spans="1:3" x14ac:dyDescent="0.25">
      <c r="A25" s="6" t="s">
        <v>61</v>
      </c>
      <c r="B25" s="2" t="s">
        <v>14</v>
      </c>
      <c r="C25" s="5">
        <v>0.69205000000000005</v>
      </c>
    </row>
    <row r="26" spans="1:3" x14ac:dyDescent="0.25">
      <c r="A26" s="6" t="s">
        <v>63</v>
      </c>
      <c r="B26" s="2" t="s">
        <v>7</v>
      </c>
      <c r="C26" s="5">
        <v>305.99</v>
      </c>
    </row>
    <row r="27" spans="1:3" x14ac:dyDescent="0.25">
      <c r="A27" s="6" t="s">
        <v>39</v>
      </c>
      <c r="B27" s="2" t="s">
        <v>38</v>
      </c>
      <c r="C27" s="5">
        <v>227</v>
      </c>
    </row>
    <row r="28" spans="1:3" x14ac:dyDescent="0.25">
      <c r="A28" s="6" t="s">
        <v>32</v>
      </c>
      <c r="B28" s="2" t="s">
        <v>33</v>
      </c>
      <c r="C28" s="5">
        <v>100.71299999999999</v>
      </c>
    </row>
    <row r="29" spans="1:3" x14ac:dyDescent="0.25">
      <c r="A29" s="6" t="s">
        <v>2</v>
      </c>
      <c r="B29" s="2" t="s">
        <v>7</v>
      </c>
      <c r="C29" s="5"/>
    </row>
    <row r="30" spans="1:3" x14ac:dyDescent="0.25">
      <c r="A30" s="6" t="s">
        <v>49</v>
      </c>
      <c r="B30" s="2" t="s">
        <v>48</v>
      </c>
      <c r="C30" s="5">
        <v>0.13239999999999999</v>
      </c>
    </row>
    <row r="31" spans="1:3" x14ac:dyDescent="0.25">
      <c r="A31" s="1" t="s">
        <v>12</v>
      </c>
      <c r="B31" s="1" t="s">
        <v>11</v>
      </c>
      <c r="C31" s="3">
        <f t="shared" ref="C31" si="2">C27*C25</f>
        <v>157.09535000000002</v>
      </c>
    </row>
    <row r="32" spans="1:3" x14ac:dyDescent="0.25">
      <c r="A32" s="1" t="s">
        <v>54</v>
      </c>
      <c r="B32" s="1" t="s">
        <v>10</v>
      </c>
      <c r="C32" s="3">
        <f t="shared" ref="C32" si="3">(C31*1000)/C28</f>
        <v>1559.8318985632445</v>
      </c>
    </row>
    <row r="33" spans="1:3" x14ac:dyDescent="0.25">
      <c r="A33" s="1" t="s">
        <v>55</v>
      </c>
      <c r="B33" s="1" t="s">
        <v>7</v>
      </c>
      <c r="C33" s="3">
        <f>(C30*C17) + C26</f>
        <v>17517.990000000002</v>
      </c>
    </row>
    <row r="34" spans="1:3" x14ac:dyDescent="0.25">
      <c r="A34" s="1" t="s">
        <v>43</v>
      </c>
      <c r="B34" s="1" t="s">
        <v>7</v>
      </c>
      <c r="C34" s="3">
        <f>(C32/1000)*C17</f>
        <v>202778.14681322177</v>
      </c>
    </row>
    <row r="35" spans="1:3" x14ac:dyDescent="0.25">
      <c r="A35" s="7" t="s">
        <v>31</v>
      </c>
      <c r="B35" s="1" t="s">
        <v>7</v>
      </c>
      <c r="C35" s="3">
        <f>C34+C29+C33</f>
        <v>220296.13681322176</v>
      </c>
    </row>
    <row r="36" spans="1:3" x14ac:dyDescent="0.25">
      <c r="A36" s="1" t="s">
        <v>56</v>
      </c>
      <c r="B36" s="1" t="s">
        <v>7</v>
      </c>
      <c r="C36" s="3">
        <f>C35+C22</f>
        <v>308756.13681322173</v>
      </c>
    </row>
    <row r="37" spans="1:3" x14ac:dyDescent="0.25">
      <c r="A37" s="1" t="s">
        <v>57</v>
      </c>
      <c r="B37" s="1" t="s">
        <v>48</v>
      </c>
      <c r="C37" s="3">
        <f>(C35+C22)/C17</f>
        <v>2.3750472062555517</v>
      </c>
    </row>
    <row r="38" spans="1:3" x14ac:dyDescent="0.25">
      <c r="A38" s="1" t="s">
        <v>58</v>
      </c>
      <c r="B38" s="1" t="s">
        <v>52</v>
      </c>
      <c r="C38" s="3">
        <f t="shared" ref="C38" si="4">((C22+C35)/((C17*(C6/1000))))</f>
        <v>0.13970865919150305</v>
      </c>
    </row>
    <row r="39" spans="1:3" x14ac:dyDescent="0.25">
      <c r="B39" s="1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2F83-DE8F-42CB-8B5D-5CEB35D5B297}">
  <dimension ref="A1:D39"/>
  <sheetViews>
    <sheetView topLeftCell="A6" workbookViewId="0">
      <selection activeCell="L16" sqref="L16"/>
    </sheetView>
  </sheetViews>
  <sheetFormatPr defaultRowHeight="15" x14ac:dyDescent="0.25"/>
  <cols>
    <col min="1" max="1" width="44.7109375" style="2" customWidth="1"/>
    <col min="2" max="2" width="33.140625" style="2" customWidth="1"/>
    <col min="3" max="3" width="12.140625" style="2" customWidth="1"/>
    <col min="4" max="4" width="11.5703125" style="2" customWidth="1"/>
  </cols>
  <sheetData>
    <row r="1" spans="1:4" ht="20.25" thickBot="1" x14ac:dyDescent="0.3">
      <c r="A1" s="11" t="s">
        <v>67</v>
      </c>
      <c r="B1" s="11"/>
      <c r="C1" s="11"/>
      <c r="D1" s="11"/>
    </row>
    <row r="2" spans="1:4" ht="15.75" thickTop="1" x14ac:dyDescent="0.25"/>
    <row r="3" spans="1:4" x14ac:dyDescent="0.25">
      <c r="A3" s="1"/>
      <c r="B3" s="1" t="s">
        <v>5</v>
      </c>
      <c r="C3" s="12" t="s">
        <v>4</v>
      </c>
      <c r="D3" s="12"/>
    </row>
    <row r="4" spans="1:4" x14ac:dyDescent="0.25">
      <c r="C4" s="1" t="s">
        <v>19</v>
      </c>
      <c r="D4" s="1" t="s">
        <v>20</v>
      </c>
    </row>
    <row r="5" spans="1:4" x14ac:dyDescent="0.25">
      <c r="C5" s="1"/>
      <c r="D5" s="1"/>
    </row>
    <row r="6" spans="1:4" x14ac:dyDescent="0.25">
      <c r="A6" s="2" t="s">
        <v>44</v>
      </c>
      <c r="B6" s="2" t="s">
        <v>45</v>
      </c>
      <c r="C6" s="9">
        <v>18000</v>
      </c>
      <c r="D6" s="9"/>
    </row>
    <row r="7" spans="1:4" x14ac:dyDescent="0.25">
      <c r="C7" s="1"/>
      <c r="D7" s="1"/>
    </row>
    <row r="8" spans="1:4" x14ac:dyDescent="0.25">
      <c r="A8" s="1" t="s">
        <v>0</v>
      </c>
      <c r="B8" s="1"/>
    </row>
    <row r="9" spans="1:4" x14ac:dyDescent="0.25">
      <c r="A9" s="6" t="s">
        <v>50</v>
      </c>
      <c r="B9" s="2" t="s">
        <v>35</v>
      </c>
      <c r="C9" s="15">
        <v>65</v>
      </c>
      <c r="D9" s="16"/>
    </row>
    <row r="10" spans="1:4" x14ac:dyDescent="0.25">
      <c r="A10" s="6" t="s">
        <v>22</v>
      </c>
      <c r="B10" s="2" t="s">
        <v>13</v>
      </c>
      <c r="C10" s="9">
        <v>160</v>
      </c>
      <c r="D10" s="9"/>
    </row>
    <row r="11" spans="1:4" x14ac:dyDescent="0.25">
      <c r="A11" s="6" t="s">
        <v>15</v>
      </c>
      <c r="B11" s="2" t="s">
        <v>13</v>
      </c>
      <c r="C11" s="9">
        <f xml:space="preserve"> 160 + 81</f>
        <v>241</v>
      </c>
      <c r="D11" s="9"/>
    </row>
    <row r="12" spans="1:4" x14ac:dyDescent="0.25">
      <c r="A12" s="6" t="s">
        <v>23</v>
      </c>
      <c r="B12" s="2" t="s">
        <v>7</v>
      </c>
      <c r="C12" s="9">
        <v>926</v>
      </c>
      <c r="D12" s="9"/>
    </row>
    <row r="13" spans="1:4" x14ac:dyDescent="0.25">
      <c r="A13" s="6" t="s">
        <v>9</v>
      </c>
      <c r="B13" s="2" t="s">
        <v>7</v>
      </c>
      <c r="C13" s="15"/>
      <c r="D13" s="16"/>
    </row>
    <row r="14" spans="1:4" x14ac:dyDescent="0.25">
      <c r="A14" s="6" t="s">
        <v>30</v>
      </c>
      <c r="B14" s="2" t="s">
        <v>8</v>
      </c>
      <c r="C14" s="9">
        <v>1600</v>
      </c>
      <c r="D14" s="9"/>
    </row>
    <row r="15" spans="1:4" x14ac:dyDescent="0.25">
      <c r="A15" s="6" t="s">
        <v>1</v>
      </c>
      <c r="B15" s="2" t="s">
        <v>6</v>
      </c>
      <c r="C15" s="9">
        <v>230000</v>
      </c>
      <c r="D15" s="9"/>
    </row>
    <row r="16" spans="1:4" x14ac:dyDescent="0.25">
      <c r="A16" s="6" t="s">
        <v>28</v>
      </c>
      <c r="B16" s="2" t="s">
        <v>33</v>
      </c>
      <c r="C16" s="9">
        <v>1000000</v>
      </c>
      <c r="D16" s="9"/>
    </row>
    <row r="17" spans="1:4" x14ac:dyDescent="0.25">
      <c r="A17" s="6" t="s">
        <v>34</v>
      </c>
      <c r="B17" s="2" t="s">
        <v>62</v>
      </c>
      <c r="C17" s="9">
        <v>130000</v>
      </c>
      <c r="D17" s="9"/>
    </row>
    <row r="18" spans="1:4" x14ac:dyDescent="0.25">
      <c r="A18" s="8" t="s">
        <v>29</v>
      </c>
      <c r="B18" s="1" t="s">
        <v>35</v>
      </c>
      <c r="C18" s="13">
        <f t="shared" ref="C18" si="0">(C17/C16)*100</f>
        <v>13</v>
      </c>
      <c r="D18" s="14"/>
    </row>
    <row r="19" spans="1:4" x14ac:dyDescent="0.25">
      <c r="A19" s="1" t="s">
        <v>36</v>
      </c>
      <c r="B19" s="1" t="s">
        <v>37</v>
      </c>
      <c r="C19" s="13">
        <f t="shared" ref="C19" si="1">100/C18</f>
        <v>7.6923076923076925</v>
      </c>
      <c r="D19" s="14"/>
    </row>
    <row r="20" spans="1:4" x14ac:dyDescent="0.25">
      <c r="A20" s="1" t="s">
        <v>51</v>
      </c>
      <c r="B20" s="1" t="s">
        <v>6</v>
      </c>
      <c r="C20" s="13">
        <f t="shared" ref="C20" si="2">C15-(C15*(C9/100))</f>
        <v>80500</v>
      </c>
      <c r="D20" s="14"/>
    </row>
    <row r="21" spans="1:4" x14ac:dyDescent="0.25">
      <c r="A21" s="1" t="s">
        <v>59</v>
      </c>
      <c r="B21" s="1" t="s">
        <v>7</v>
      </c>
      <c r="C21" s="13">
        <f t="shared" ref="C21" si="3">((C15-C20)/5)</f>
        <v>29900</v>
      </c>
      <c r="D21" s="14"/>
    </row>
    <row r="22" spans="1:4" x14ac:dyDescent="0.25">
      <c r="A22" s="7" t="s">
        <v>21</v>
      </c>
      <c r="B22" s="1" t="s">
        <v>7</v>
      </c>
      <c r="C22" s="13">
        <f t="shared" ref="C22" si="4">(C10*4)+C13+(C14*12)+C21+C12</f>
        <v>50666</v>
      </c>
      <c r="D22" s="14"/>
    </row>
    <row r="24" spans="1:4" x14ac:dyDescent="0.25">
      <c r="A24" s="1" t="s">
        <v>3</v>
      </c>
      <c r="B24" s="1"/>
    </row>
    <row r="25" spans="1:4" x14ac:dyDescent="0.25">
      <c r="A25" s="6" t="s">
        <v>61</v>
      </c>
      <c r="B25" s="2" t="s">
        <v>14</v>
      </c>
      <c r="C25" s="5">
        <v>2.1739999999999999</v>
      </c>
      <c r="D25" s="5">
        <v>0.69205000000000005</v>
      </c>
    </row>
    <row r="26" spans="1:4" x14ac:dyDescent="0.25">
      <c r="A26" s="6" t="s">
        <v>63</v>
      </c>
      <c r="B26" s="2" t="s">
        <v>7</v>
      </c>
      <c r="C26" s="5">
        <v>0</v>
      </c>
      <c r="D26" s="5">
        <v>305.99</v>
      </c>
    </row>
    <row r="27" spans="1:4" x14ac:dyDescent="0.25">
      <c r="A27" s="6" t="s">
        <v>39</v>
      </c>
      <c r="B27" s="2" t="s">
        <v>38</v>
      </c>
      <c r="C27" s="5">
        <v>12.26</v>
      </c>
      <c r="D27" s="5">
        <v>166.95</v>
      </c>
    </row>
    <row r="28" spans="1:4" x14ac:dyDescent="0.25">
      <c r="A28" s="6" t="s">
        <v>32</v>
      </c>
      <c r="B28" s="2" t="s">
        <v>33</v>
      </c>
      <c r="C28" s="5">
        <v>100.71299999999999</v>
      </c>
      <c r="D28" s="5">
        <v>100.71299999999999</v>
      </c>
    </row>
    <row r="29" spans="1:4" x14ac:dyDescent="0.25">
      <c r="A29" s="6" t="s">
        <v>2</v>
      </c>
      <c r="B29" s="2" t="s">
        <v>7</v>
      </c>
      <c r="C29" s="5"/>
      <c r="D29" s="5"/>
    </row>
    <row r="30" spans="1:4" x14ac:dyDescent="0.25">
      <c r="A30" s="6" t="s">
        <v>49</v>
      </c>
      <c r="B30" s="2" t="s">
        <v>48</v>
      </c>
      <c r="C30" s="5">
        <v>6.5000000000000002E-2</v>
      </c>
      <c r="D30" s="5">
        <v>9.1999999999999998E-2</v>
      </c>
    </row>
    <row r="31" spans="1:4" x14ac:dyDescent="0.25">
      <c r="A31" s="1" t="s">
        <v>12</v>
      </c>
      <c r="B31" s="1" t="s">
        <v>11</v>
      </c>
      <c r="C31" s="3">
        <f t="shared" ref="C31:D31" si="5">C27*C25</f>
        <v>26.65324</v>
      </c>
      <c r="D31" s="3">
        <f t="shared" si="5"/>
        <v>115.53774749999999</v>
      </c>
    </row>
    <row r="32" spans="1:4" x14ac:dyDescent="0.25">
      <c r="A32" s="1" t="s">
        <v>54</v>
      </c>
      <c r="B32" s="1" t="s">
        <v>10</v>
      </c>
      <c r="C32" s="3">
        <f t="shared" ref="C32:D32" si="6">(C31*1000)/C28</f>
        <v>264.64547774368754</v>
      </c>
      <c r="D32" s="3">
        <f t="shared" si="6"/>
        <v>1147.197953590897</v>
      </c>
    </row>
    <row r="33" spans="1:4" x14ac:dyDescent="0.25">
      <c r="A33" s="1" t="s">
        <v>55</v>
      </c>
      <c r="B33" s="1" t="s">
        <v>7</v>
      </c>
      <c r="C33" s="3">
        <f>(C30*C17) + C26</f>
        <v>8450</v>
      </c>
      <c r="D33" s="3">
        <f>(D30*C17) + D26</f>
        <v>12265.99</v>
      </c>
    </row>
    <row r="34" spans="1:4" x14ac:dyDescent="0.25">
      <c r="A34" s="1" t="s">
        <v>43</v>
      </c>
      <c r="B34" s="1" t="s">
        <v>7</v>
      </c>
      <c r="C34" s="3">
        <f>(C32/1000)*C17</f>
        <v>34403.912106679374</v>
      </c>
      <c r="D34" s="3">
        <f>(D32/1000)*C17</f>
        <v>149135.7339668166</v>
      </c>
    </row>
    <row r="35" spans="1:4" x14ac:dyDescent="0.25">
      <c r="A35" s="7" t="s">
        <v>31</v>
      </c>
      <c r="B35" s="1" t="s">
        <v>7</v>
      </c>
      <c r="C35" s="3">
        <f t="shared" ref="C35:D35" si="7">C34+C29+C33</f>
        <v>42853.912106679374</v>
      </c>
      <c r="D35" s="3">
        <f t="shared" si="7"/>
        <v>161401.72396681659</v>
      </c>
    </row>
    <row r="36" spans="1:4" x14ac:dyDescent="0.25">
      <c r="A36" s="1" t="s">
        <v>56</v>
      </c>
      <c r="B36" s="1" t="s">
        <v>7</v>
      </c>
      <c r="C36" s="3">
        <f>C35+C22</f>
        <v>93519.912106679374</v>
      </c>
      <c r="D36" s="3">
        <f t="shared" ref="D36" si="8">D35+D22</f>
        <v>161401.72396681659</v>
      </c>
    </row>
    <row r="37" spans="1:4" x14ac:dyDescent="0.25">
      <c r="A37" s="1" t="s">
        <v>57</v>
      </c>
      <c r="B37" s="1" t="s">
        <v>48</v>
      </c>
      <c r="C37" s="10">
        <f>(C35+D35+C22)/C17</f>
        <v>1.960935662103815</v>
      </c>
      <c r="D37" s="10"/>
    </row>
    <row r="38" spans="1:4" x14ac:dyDescent="0.25">
      <c r="A38" s="1" t="s">
        <v>58</v>
      </c>
      <c r="B38" s="1" t="s">
        <v>52</v>
      </c>
      <c r="C38" s="10">
        <f>((C22+C35+D35)/((C17*(C6/1000))))</f>
        <v>0.10894087011687861</v>
      </c>
      <c r="D38" s="10"/>
    </row>
    <row r="39" spans="1:4" x14ac:dyDescent="0.25">
      <c r="B39" s="1"/>
    </row>
  </sheetData>
  <mergeCells count="19">
    <mergeCell ref="C13:D13"/>
    <mergeCell ref="C14:D14"/>
    <mergeCell ref="C15:D15"/>
    <mergeCell ref="C22:D22"/>
    <mergeCell ref="C37:D37"/>
    <mergeCell ref="C38:D38"/>
    <mergeCell ref="A1:D1"/>
    <mergeCell ref="C16:D16"/>
    <mergeCell ref="C17:D17"/>
    <mergeCell ref="C18:D18"/>
    <mergeCell ref="C19:D19"/>
    <mergeCell ref="C20:D20"/>
    <mergeCell ref="C21:D21"/>
    <mergeCell ref="C3:D3"/>
    <mergeCell ref="C6:D6"/>
    <mergeCell ref="C9:D9"/>
    <mergeCell ref="C10:D10"/>
    <mergeCell ref="C11:D11"/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Munich to Leipheim_costs (3)</vt:lpstr>
      <vt:lpstr>Combustion</vt:lpstr>
      <vt:lpstr>Electric</vt:lpstr>
      <vt:lpstr>Hybrid 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Soni</dc:creator>
  <cp:lastModifiedBy>Kshitij Soni</cp:lastModifiedBy>
  <dcterms:created xsi:type="dcterms:W3CDTF">2015-06-05T18:17:20Z</dcterms:created>
  <dcterms:modified xsi:type="dcterms:W3CDTF">2022-12-09T03:16:04Z</dcterms:modified>
</cp:coreProperties>
</file>