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dschleife Data" sheetId="1" r:id="rId3"/>
    <sheet state="visible" name="Car Data" sheetId="2" r:id="rId4"/>
    <sheet state="visible" name="Class Data" sheetId="3" r:id="rId5"/>
    <sheet state="visible" name="Class Data (Nord)" sheetId="4" r:id="rId6"/>
  </sheets>
  <definedNames>
    <definedName hidden="1" localSheetId="0" name="_xlnm._FilterDatabase">'Nordschleife Data'!$A$1:$X$965</definedName>
    <definedName hidden="1" localSheetId="1" name="_xlnm._FilterDatabase">'Car Data'!$A$1:$Z$1007</definedName>
    <definedName hidden="1" localSheetId="3" name="_xlnm._FilterDatabase">'Class Data (Nord)'!$A$1:$M$61</definedName>
    <definedName hidden="1" localSheetId="2" name="_xlnm._FilterDatabase">'Class Data'!$A$1:$Z$1000</definedName>
  </definedNames>
  <calcPr/>
</workbook>
</file>

<file path=xl/sharedStrings.xml><?xml version="1.0" encoding="utf-8"?>
<sst xmlns="http://schemas.openxmlformats.org/spreadsheetml/2006/main" count="1919" uniqueCount="656">
  <si>
    <t>Manufacturer</t>
  </si>
  <si>
    <t>Model</t>
  </si>
  <si>
    <t>Class</t>
  </si>
  <si>
    <t>Top Speed (mph)</t>
  </si>
  <si>
    <t>Top Speed (kph)</t>
  </si>
  <si>
    <t>Peak power (hp)</t>
  </si>
  <si>
    <t>Efficiency factor</t>
  </si>
  <si>
    <t>Weight (lbs)</t>
  </si>
  <si>
    <t>Power/weight (hp/lbs)</t>
  </si>
  <si>
    <t>SMS</t>
  </si>
  <si>
    <t>Fastest car</t>
  </si>
  <si>
    <t>Speed (mph)</t>
  </si>
  <si>
    <t>Lap Time (min:s)</t>
  </si>
  <si>
    <t>Slowest car</t>
  </si>
  <si>
    <t>Lap Time (s)</t>
  </si>
  <si>
    <t>Formula X [ICE + hybrid]</t>
  </si>
  <si>
    <t>Real Time (s)</t>
  </si>
  <si>
    <t>Average TS</t>
  </si>
  <si>
    <t>Formula X</t>
  </si>
  <si>
    <t>Standard dev</t>
  </si>
  <si>
    <t>Most powerful car</t>
  </si>
  <si>
    <t>Power (hp)</t>
  </si>
  <si>
    <t>Least powerful car</t>
  </si>
  <si>
    <t>4:51.642</t>
  </si>
  <si>
    <t>Average power</t>
  </si>
  <si>
    <t>Most efficient car</t>
  </si>
  <si>
    <t>Efficiency</t>
  </si>
  <si>
    <t>Least efficient car</t>
  </si>
  <si>
    <t>Average efficiency</t>
  </si>
  <si>
    <t>Highest power/weight</t>
  </si>
  <si>
    <t>Power/weight</t>
  </si>
  <si>
    <t>Lowest power/weight</t>
  </si>
  <si>
    <t>Average power/weight</t>
  </si>
  <si>
    <t>CanAm</t>
  </si>
  <si>
    <t>Formula A</t>
  </si>
  <si>
    <t>5:04.059</t>
  </si>
  <si>
    <t>Audi</t>
  </si>
  <si>
    <t>R18 (Le Mans 2016)</t>
  </si>
  <si>
    <t>Porsche</t>
  </si>
  <si>
    <t>LMP1 2016</t>
  </si>
  <si>
    <t>917/10</t>
  </si>
  <si>
    <t>5:18.419</t>
  </si>
  <si>
    <t>Mercedes-Benz</t>
  </si>
  <si>
    <t>Sauber C9</t>
  </si>
  <si>
    <t>Group C</t>
  </si>
  <si>
    <t>5:19.400</t>
  </si>
  <si>
    <t>Nissan</t>
  </si>
  <si>
    <t>R89C LM</t>
  </si>
  <si>
    <t>Chevrolet</t>
  </si>
  <si>
    <t>Dallara IR-12 Chevrolet (Road Course)</t>
  </si>
  <si>
    <t>Indycar</t>
  </si>
  <si>
    <t>5:20.059</t>
  </si>
  <si>
    <t>R18 (Fuji 2016)</t>
  </si>
  <si>
    <t>5:20.199</t>
  </si>
  <si>
    <t>Sauber C9 LM</t>
  </si>
  <si>
    <t>919 Hybrid</t>
  </si>
  <si>
    <t>5:22.942</t>
  </si>
  <si>
    <t>R18 e-tron quattro (2014)</t>
  </si>
  <si>
    <t>LMP1</t>
  </si>
  <si>
    <t>5:23.120</t>
  </si>
  <si>
    <t>GTP ZX-Turbo</t>
  </si>
  <si>
    <t>5:23.799</t>
  </si>
  <si>
    <t>917 LH</t>
  </si>
  <si>
    <t>Vintage Prototype A</t>
  </si>
  <si>
    <t>Lotus</t>
  </si>
  <si>
    <t>Type 98T Renault Turbo</t>
  </si>
  <si>
    <t>Vintage Formula A</t>
  </si>
  <si>
    <t>5:24.021</t>
  </si>
  <si>
    <t>Jaguar</t>
  </si>
  <si>
    <t>XJR-9 LM</t>
  </si>
  <si>
    <t>Toyota</t>
  </si>
  <si>
    <t>TS050 Hybrid</t>
  </si>
  <si>
    <t>5:25.422</t>
  </si>
  <si>
    <t>RWD</t>
  </si>
  <si>
    <t>P30 LMP1</t>
  </si>
  <si>
    <t>5:27.840</t>
  </si>
  <si>
    <t>Mazda</t>
  </si>
  <si>
    <t>MX-5 Radbul</t>
  </si>
  <si>
    <t>Drift</t>
  </si>
  <si>
    <t>Group C LM</t>
  </si>
  <si>
    <t>5:28.641</t>
  </si>
  <si>
    <t>918 Spyder Weissach</t>
  </si>
  <si>
    <t>Road A</t>
  </si>
  <si>
    <t>Honda</t>
  </si>
  <si>
    <t>Dallara IR-12 Honda (Road Course)</t>
  </si>
  <si>
    <t>5:30.500</t>
  </si>
  <si>
    <t>W Motors</t>
  </si>
  <si>
    <t>TS040 Hybrid</t>
  </si>
  <si>
    <t>Lykan HyperSport</t>
  </si>
  <si>
    <t>5:32.220</t>
  </si>
  <si>
    <t>Renault</t>
  </si>
  <si>
    <t>Ferrari</t>
  </si>
  <si>
    <t>Formula Renault 3.5</t>
  </si>
  <si>
    <t>512 S</t>
  </si>
  <si>
    <t>Formula Renault</t>
  </si>
  <si>
    <t>5:34.217</t>
  </si>
  <si>
    <t>R89C</t>
  </si>
  <si>
    <t>R18 (Le Mans 2016) [ICE + hybrid]</t>
  </si>
  <si>
    <t>5:34.522</t>
  </si>
  <si>
    <t>Marek</t>
  </si>
  <si>
    <t>RP 339H LMP1</t>
  </si>
  <si>
    <t>5:34.600</t>
  </si>
  <si>
    <t>962C</t>
  </si>
  <si>
    <t>5:40.342</t>
  </si>
  <si>
    <t>935/78</t>
  </si>
  <si>
    <t>Group 5</t>
  </si>
  <si>
    <t>R8 (LMP900)</t>
  </si>
  <si>
    <t>LMP900</t>
  </si>
  <si>
    <t>5:42.000</t>
  </si>
  <si>
    <t>935/78-81</t>
  </si>
  <si>
    <t>XJR-9</t>
  </si>
  <si>
    <t>5:43.740</t>
  </si>
  <si>
    <t>Formula X [ICE only]</t>
  </si>
  <si>
    <t>Dallara IR-12 Honda (Speedway)</t>
  </si>
  <si>
    <t>5:44.318</t>
  </si>
  <si>
    <t>Dallara IR-12 Chevrolet (Speedway)</t>
  </si>
  <si>
    <t>5:46.102</t>
  </si>
  <si>
    <t>962C Langheck</t>
  </si>
  <si>
    <t>Bentley</t>
  </si>
  <si>
    <t>Speed 8</t>
  </si>
  <si>
    <t>5:48.380</t>
  </si>
  <si>
    <t>LaFerrari</t>
  </si>
  <si>
    <t>Ginetta</t>
  </si>
  <si>
    <t>G57</t>
  </si>
  <si>
    <t>Track Day A</t>
  </si>
  <si>
    <t>5:48.601</t>
  </si>
  <si>
    <t>McLaren</t>
  </si>
  <si>
    <t>Ligier</t>
  </si>
  <si>
    <t>JS P2 Nissan</t>
  </si>
  <si>
    <t>F1</t>
  </si>
  <si>
    <t>LMP2</t>
  </si>
  <si>
    <t>Road C</t>
  </si>
  <si>
    <t>5:49.560</t>
  </si>
  <si>
    <t>5:50.076</t>
  </si>
  <si>
    <t>Formula A [ICE + hybrid]</t>
  </si>
  <si>
    <t>GT-One (1999)</t>
  </si>
  <si>
    <t>5:51.540</t>
  </si>
  <si>
    <t>Datsun 280ZX IMSA GTX</t>
  </si>
  <si>
    <t>JS P2 Honda</t>
  </si>
  <si>
    <t>5:52.799</t>
  </si>
  <si>
    <t>F40 LM</t>
  </si>
  <si>
    <t>GTO</t>
  </si>
  <si>
    <t>RP 219D LMP2</t>
  </si>
  <si>
    <t>5:53.721</t>
  </si>
  <si>
    <t>5:54.077</t>
  </si>
  <si>
    <t>Oreca</t>
  </si>
  <si>
    <t>R18 (Fuji 2016) [ICE + hybrid]</t>
  </si>
  <si>
    <t>03 Nissan</t>
  </si>
  <si>
    <t>5:54.616</t>
  </si>
  <si>
    <t>333 SP</t>
  </si>
  <si>
    <t>5:54.620</t>
  </si>
  <si>
    <t>917K</t>
  </si>
  <si>
    <t>5:54.760</t>
  </si>
  <si>
    <t>Mercedes-AMG</t>
  </si>
  <si>
    <t>SL65 AMG Black Series</t>
  </si>
  <si>
    <t>JS P2 Judd</t>
  </si>
  <si>
    <t>5:56.418</t>
  </si>
  <si>
    <t>BMW</t>
  </si>
  <si>
    <t>V12 LMR</t>
  </si>
  <si>
    <t>5:57.180</t>
  </si>
  <si>
    <t>935/77</t>
  </si>
  <si>
    <t>P20 LMP2</t>
  </si>
  <si>
    <t>5:59.060</t>
  </si>
  <si>
    <t>935/80</t>
  </si>
  <si>
    <t>6:01.200</t>
  </si>
  <si>
    <t>Alpine A442B</t>
  </si>
  <si>
    <t>Group 6</t>
  </si>
  <si>
    <t>P1 GTR</t>
  </si>
  <si>
    <t>6:02.200</t>
  </si>
  <si>
    <t>Formula A [ICE only]</t>
  </si>
  <si>
    <t>CLK-LM</t>
  </si>
  <si>
    <t>GT1</t>
  </si>
  <si>
    <t>6:02.238</t>
  </si>
  <si>
    <t>Panoz</t>
  </si>
  <si>
    <t>Esperante GTR1</t>
  </si>
  <si>
    <t>6:03.400</t>
  </si>
  <si>
    <t>Type 78 Cosworth</t>
  </si>
  <si>
    <t>TS050 Hybrid [ICE + hybrid]</t>
  </si>
  <si>
    <t>Vintage Formula B</t>
  </si>
  <si>
    <t>6:03.419</t>
  </si>
  <si>
    <t>GT-One (1998)</t>
  </si>
  <si>
    <t>6:05.279</t>
  </si>
  <si>
    <t>FXX K</t>
  </si>
  <si>
    <t>6:05.359</t>
  </si>
  <si>
    <t>P1</t>
  </si>
  <si>
    <t>F50 GT</t>
  </si>
  <si>
    <t>6:05.458</t>
  </si>
  <si>
    <t>F1 GTR Long Tail</t>
  </si>
  <si>
    <t>6:07.540</t>
  </si>
  <si>
    <t>911 GT1-98</t>
  </si>
  <si>
    <t>6:08.343</t>
  </si>
  <si>
    <t>JS P3</t>
  </si>
  <si>
    <t>LMP3</t>
  </si>
  <si>
    <t>6:09.902</t>
  </si>
  <si>
    <t>6:10.199</t>
  </si>
  <si>
    <t>812 Superfast</t>
  </si>
  <si>
    <t>Road B</t>
  </si>
  <si>
    <t>Aston Martin</t>
  </si>
  <si>
    <t>Vulcan</t>
  </si>
  <si>
    <t>6:12.200</t>
  </si>
  <si>
    <t>Sport R.S. 01</t>
  </si>
  <si>
    <t>RS01 Trophy</t>
  </si>
  <si>
    <t>Pagani</t>
  </si>
  <si>
    <t>6:12.238</t>
  </si>
  <si>
    <t>Huayra BC</t>
  </si>
  <si>
    <t>Zonda Revolución</t>
  </si>
  <si>
    <t>6:12.242</t>
  </si>
  <si>
    <t>XJ220 S</t>
  </si>
  <si>
    <t>Mitsubishi</t>
  </si>
  <si>
    <t>Lancer Evolution VI SVA</t>
  </si>
  <si>
    <t>6:13.675</t>
  </si>
  <si>
    <t>Corvette C7.R</t>
  </si>
  <si>
    <t>GTE</t>
  </si>
  <si>
    <t>6:17.999</t>
  </si>
  <si>
    <t>Ford</t>
  </si>
  <si>
    <t>512 M</t>
  </si>
  <si>
    <t>GT LM GTE</t>
  </si>
  <si>
    <t>6:18.481</t>
  </si>
  <si>
    <t>Falcon FG V8 Supercar</t>
  </si>
  <si>
    <t>936 Spyder</t>
  </si>
  <si>
    <t>V8 Supercars</t>
  </si>
  <si>
    <t>6:18.561</t>
  </si>
  <si>
    <t>911 RSR</t>
  </si>
  <si>
    <t>6:18.638</t>
  </si>
  <si>
    <t>Ferrari F355 Series</t>
  </si>
  <si>
    <t>919 Hybrid [ICE + hybrid]</t>
  </si>
  <si>
    <t>6:19.140</t>
  </si>
  <si>
    <t>6:19.301</t>
  </si>
  <si>
    <t>F12tdf</t>
  </si>
  <si>
    <t>6:19.519</t>
  </si>
  <si>
    <t>488 GTE</t>
  </si>
  <si>
    <t>6:19.619</t>
  </si>
  <si>
    <t>90 IMSA GTO</t>
  </si>
  <si>
    <t>6:19.859</t>
  </si>
  <si>
    <t>Radical</t>
  </si>
  <si>
    <t>SR8-RS</t>
  </si>
  <si>
    <t>6:20.060</t>
  </si>
  <si>
    <t>6:48.28 (SR8 LM)</t>
  </si>
  <si>
    <t>488 Pista</t>
  </si>
  <si>
    <t>M6 GTLM</t>
  </si>
  <si>
    <t>6:21.339</t>
  </si>
  <si>
    <t>320 Turbo Group 5</t>
  </si>
  <si>
    <t>6:22.140</t>
  </si>
  <si>
    <t>7:45.44</t>
  </si>
  <si>
    <t>Mustang Cobra TransAm</t>
  </si>
  <si>
    <t>6:22.301</t>
  </si>
  <si>
    <t>R390 GT1</t>
  </si>
  <si>
    <t>6:22.460</t>
  </si>
  <si>
    <t>Vantage GTE</t>
  </si>
  <si>
    <t>6:22.920</t>
  </si>
  <si>
    <t>Zakspeed Ford Capri Group 5</t>
  </si>
  <si>
    <t>6:23.060</t>
  </si>
  <si>
    <t>Mustang RTR Spec - 5D</t>
  </si>
  <si>
    <t>6:25.177</t>
  </si>
  <si>
    <t>6:25.719</t>
  </si>
  <si>
    <t>908/03 Spyder</t>
  </si>
  <si>
    <t>Vintage Prototype B</t>
  </si>
  <si>
    <t>6:26.379</t>
  </si>
  <si>
    <t>Enzo</t>
  </si>
  <si>
    <t>6:26.820</t>
  </si>
  <si>
    <t>6:26.901</t>
  </si>
  <si>
    <t>DBS Superleggera</t>
  </si>
  <si>
    <t>Type 72D Cosworth</t>
  </si>
  <si>
    <t>Vintage Formula C</t>
  </si>
  <si>
    <t>6:28.057</t>
  </si>
  <si>
    <t>300ZX Turbo IMSA GTS</t>
  </si>
  <si>
    <t>6:28.359</t>
  </si>
  <si>
    <t>300ZX Turbo LM</t>
  </si>
  <si>
    <t>488 GT3</t>
  </si>
  <si>
    <t>GT3</t>
  </si>
  <si>
    <t>6:28.518</t>
  </si>
  <si>
    <t>6:28.879</t>
  </si>
  <si>
    <t>R18 (Le Mans 2016) [ICE only]</t>
  </si>
  <si>
    <t>6:29.300</t>
  </si>
  <si>
    <t>Lexus</t>
  </si>
  <si>
    <t>LFA</t>
  </si>
  <si>
    <t>Caterham</t>
  </si>
  <si>
    <t>SP/300.R</t>
  </si>
  <si>
    <t>Track Day B</t>
  </si>
  <si>
    <t>6:29.660</t>
  </si>
  <si>
    <t>MkIV</t>
  </si>
  <si>
    <t>650S GT3</t>
  </si>
  <si>
    <t>6:29.699</t>
  </si>
  <si>
    <t>6:30.136</t>
  </si>
  <si>
    <t>6:43.22</t>
  </si>
  <si>
    <t>6:30.179</t>
  </si>
  <si>
    <t>Fusion Stockcar</t>
  </si>
  <si>
    <t>Modern Stockcar</t>
  </si>
  <si>
    <t>Ferrari Series</t>
  </si>
  <si>
    <t>M6 GT3</t>
  </si>
  <si>
    <t>6:30.303</t>
  </si>
  <si>
    <t>Lamborghini</t>
  </si>
  <si>
    <t>Huracán GT3</t>
  </si>
  <si>
    <t>6:30.576</t>
  </si>
  <si>
    <t>6:30.820</t>
  </si>
  <si>
    <t>720S</t>
  </si>
  <si>
    <t>6:31.382</t>
  </si>
  <si>
    <t>R8 LMS</t>
  </si>
  <si>
    <t>6:31.463</t>
  </si>
  <si>
    <t>GT-R Nismo GT3 (R35)</t>
  </si>
  <si>
    <t>6:31.739</t>
  </si>
  <si>
    <t>6:31.820</t>
  </si>
  <si>
    <t>911 GT3 R Endurance</t>
  </si>
  <si>
    <t>6:32.240</t>
  </si>
  <si>
    <t>TS050 Hybrid [ICE only]</t>
  </si>
  <si>
    <t>SLS AMG GT3</t>
  </si>
  <si>
    <t>6:33.020</t>
  </si>
  <si>
    <t>Acura</t>
  </si>
  <si>
    <t>NSX GT3</t>
  </si>
  <si>
    <t>6:33.081</t>
  </si>
  <si>
    <t>911 GT3 R</t>
  </si>
  <si>
    <t>6:33.580</t>
  </si>
  <si>
    <t>G55 GT3</t>
  </si>
  <si>
    <t>6:33.581</t>
  </si>
  <si>
    <t>919 Hybrid [ICE only]</t>
  </si>
  <si>
    <t>R8 LMS Endurance</t>
  </si>
  <si>
    <t>6:33.819</t>
  </si>
  <si>
    <t>6:34.518</t>
  </si>
  <si>
    <t>Carrera GT</t>
  </si>
  <si>
    <t>Sport R.S. 01 GT3</t>
  </si>
  <si>
    <t>6:34.781</t>
  </si>
  <si>
    <t>Gumpert</t>
  </si>
  <si>
    <t>Apollo S</t>
  </si>
  <si>
    <t>6:34.877</t>
  </si>
  <si>
    <t>Aventador LP700-4</t>
  </si>
  <si>
    <t>Vantage GT3</t>
  </si>
  <si>
    <t>6:35.039</t>
  </si>
  <si>
    <t>Continental GT3 Endurance</t>
  </si>
  <si>
    <t>911 R</t>
  </si>
  <si>
    <t>6:35.381</t>
  </si>
  <si>
    <t>458 Challenge (APAC)</t>
  </si>
  <si>
    <t>Agajanian</t>
  </si>
  <si>
    <t>Watson Roadster</t>
  </si>
  <si>
    <t>6:35.401</t>
  </si>
  <si>
    <t>Vintage Indycar</t>
  </si>
  <si>
    <t>6:35.599</t>
  </si>
  <si>
    <t>458 Challenge (EU)</t>
  </si>
  <si>
    <t>6:35.778</t>
  </si>
  <si>
    <t>Z4 GT3</t>
  </si>
  <si>
    <t>6:36.325</t>
  </si>
  <si>
    <t>570S</t>
  </si>
  <si>
    <t>458 Challenge (NA)</t>
  </si>
  <si>
    <t>6:36.459</t>
  </si>
  <si>
    <t>Type 56</t>
  </si>
  <si>
    <t>Continental GT3 (2016)</t>
  </si>
  <si>
    <t>6:36.759</t>
  </si>
  <si>
    <t>6:37.439</t>
  </si>
  <si>
    <t>R18 (Fuji 2016) [ICE only]</t>
  </si>
  <si>
    <t>Continental GT3 (2015)</t>
  </si>
  <si>
    <t>6:38.479</t>
  </si>
  <si>
    <t>Veneno LP750-4</t>
  </si>
  <si>
    <t>RXC Turbo</t>
  </si>
  <si>
    <t>6:39.340</t>
  </si>
  <si>
    <t>BAC</t>
  </si>
  <si>
    <t>Mono</t>
  </si>
  <si>
    <t>RX-7 Rocket Bunny Road</t>
  </si>
  <si>
    <t>6:39.840</t>
  </si>
  <si>
    <t>Skyline Super Silhouette</t>
  </si>
  <si>
    <t>F40</t>
  </si>
  <si>
    <t>Road D</t>
  </si>
  <si>
    <t>6:40.220</t>
  </si>
  <si>
    <t>6:40.279</t>
  </si>
  <si>
    <t>6:40.698</t>
  </si>
  <si>
    <t>Type 49C Cosworth</t>
  </si>
  <si>
    <t>6:40.776</t>
  </si>
  <si>
    <t>Aventador LP770-4 SVJ</t>
  </si>
  <si>
    <t>Cadillac</t>
  </si>
  <si>
    <t>ATS-V.R GT3</t>
  </si>
  <si>
    <t>6:40.820</t>
  </si>
  <si>
    <t>Huracán LP620-2 Super Trofeo</t>
  </si>
  <si>
    <t>Super Trofeo</t>
  </si>
  <si>
    <t>GT</t>
  </si>
  <si>
    <t>6:41.461</t>
  </si>
  <si>
    <t>6:41.661</t>
  </si>
  <si>
    <t>911 GT3 RS</t>
  </si>
  <si>
    <t>430 Scuderia</t>
  </si>
  <si>
    <t>Type 49 Cosworth</t>
  </si>
  <si>
    <t>6:42.021</t>
  </si>
  <si>
    <t>GT R</t>
  </si>
  <si>
    <t>Diablo GTR</t>
  </si>
  <si>
    <t>6:42.296</t>
  </si>
  <si>
    <t>911 GT3 2018</t>
  </si>
  <si>
    <t>6:43.519</t>
  </si>
  <si>
    <t>M1 Procar</t>
  </si>
  <si>
    <t>Group 4</t>
  </si>
  <si>
    <t>6:43.599</t>
  </si>
  <si>
    <t>Zonda Cinque Roadster</t>
  </si>
  <si>
    <t>7:24.29</t>
  </si>
  <si>
    <t>Mégane Trophy V6</t>
  </si>
  <si>
    <t>Megane Trophy</t>
  </si>
  <si>
    <t>6:45.361</t>
  </si>
  <si>
    <t>F50 (Closed)</t>
  </si>
  <si>
    <t>6:46.180</t>
  </si>
  <si>
    <t>SR3-RS</t>
  </si>
  <si>
    <t>6:47.400</t>
  </si>
  <si>
    <t>6:47.722</t>
  </si>
  <si>
    <t>7:25.21</t>
  </si>
  <si>
    <t>Formula C</t>
  </si>
  <si>
    <t>Silvia S15 Rocket Bunny</t>
  </si>
  <si>
    <t>6:48.119</t>
  </si>
  <si>
    <t>Civic Coupé GRC</t>
  </si>
  <si>
    <t>WRX</t>
  </si>
  <si>
    <t>6:49.198</t>
  </si>
  <si>
    <t>Skyline GT-R (R34) SMS-R</t>
  </si>
  <si>
    <t>458 Speciale A</t>
  </si>
  <si>
    <t>6:49.299</t>
  </si>
  <si>
    <t>Focus RS RX</t>
  </si>
  <si>
    <t>6:49.700</t>
  </si>
  <si>
    <t>6:50.159</t>
  </si>
  <si>
    <t>Mégane R.S. SMS-R Rallycross</t>
  </si>
  <si>
    <t>6:50.539</t>
  </si>
  <si>
    <t>959 S</t>
  </si>
  <si>
    <t>Road E</t>
  </si>
  <si>
    <t>2&amp;4 Concept</t>
  </si>
  <si>
    <t>6:51.037</t>
  </si>
  <si>
    <t>6:51.203</t>
  </si>
  <si>
    <t>Sesto Elemento</t>
  </si>
  <si>
    <t>6:52.239</t>
  </si>
  <si>
    <t>A 45 SMS-R Rallycross</t>
  </si>
  <si>
    <t>6:52.322</t>
  </si>
  <si>
    <t>Lancer Evolution VI SVA [ICE + hybrid]</t>
  </si>
  <si>
    <t>512 BB LM</t>
  </si>
  <si>
    <t>6:52.580</t>
  </si>
  <si>
    <t>Type 38 Ford</t>
  </si>
  <si>
    <t>Vintage Formula D</t>
  </si>
  <si>
    <t>6:52.602</t>
  </si>
  <si>
    <t>330 P4</t>
  </si>
  <si>
    <t>6:53.060</t>
  </si>
  <si>
    <t>S1 EKS RX quattro</t>
  </si>
  <si>
    <t>6:53.415</t>
  </si>
  <si>
    <t>6:53.540</t>
  </si>
  <si>
    <t>Sierra Cosworth RS500 Group A</t>
  </si>
  <si>
    <t>Group A</t>
  </si>
  <si>
    <t>6:54.440</t>
  </si>
  <si>
    <t>C 63 Coupé S</t>
  </si>
  <si>
    <t>6:54.897</t>
  </si>
  <si>
    <t>6:56.180</t>
  </si>
  <si>
    <t>6:56.580</t>
  </si>
  <si>
    <t>6:57.300</t>
  </si>
  <si>
    <t>Camaro ZL-1</t>
  </si>
  <si>
    <t>Volkswagen</t>
  </si>
  <si>
    <t>Polo RX Supercar</t>
  </si>
  <si>
    <t>6:57.340</t>
  </si>
  <si>
    <t>Cayman GT4</t>
  </si>
  <si>
    <t>6:58.682</t>
  </si>
  <si>
    <t>Lancer Evolution VI SVA [ICE only]</t>
  </si>
  <si>
    <t>7:28.0</t>
  </si>
  <si>
    <t>Mini</t>
  </si>
  <si>
    <t>Countryman RX</t>
  </si>
  <si>
    <t>6:58.740</t>
  </si>
  <si>
    <t>Citroen</t>
  </si>
  <si>
    <t>Type 40 Ford</t>
  </si>
  <si>
    <t>DS3 RX Supercar</t>
  </si>
  <si>
    <t>6:59.161</t>
  </si>
  <si>
    <t>6:59.700</t>
  </si>
  <si>
    <t>7:10.92</t>
  </si>
  <si>
    <t>R8 V10 Plus</t>
  </si>
  <si>
    <t>C63 AMG Black Series Coupe</t>
  </si>
  <si>
    <t>7:00.517</t>
  </si>
  <si>
    <t>NSX</t>
  </si>
  <si>
    <t>7:00.680</t>
  </si>
  <si>
    <t>F-Type SVR Coupé</t>
  </si>
  <si>
    <t>924 Carrera GTP</t>
  </si>
  <si>
    <t>7:00.977</t>
  </si>
  <si>
    <t>200SX (S14) Tuned</t>
  </si>
  <si>
    <t>Huracán LP610-4</t>
  </si>
  <si>
    <t>7:01.300</t>
  </si>
  <si>
    <t>GT-R Nismo (R35)</t>
  </si>
  <si>
    <t>7:01.600</t>
  </si>
  <si>
    <t>7:08.679</t>
  </si>
  <si>
    <t>Seven 620 R</t>
  </si>
  <si>
    <t>7:02.320</t>
  </si>
  <si>
    <t>F355 Challenge</t>
  </si>
  <si>
    <t>7:02.580</t>
  </si>
  <si>
    <t>G55 GT4</t>
  </si>
  <si>
    <t>GT4</t>
  </si>
  <si>
    <t>7:02.959</t>
  </si>
  <si>
    <t>Skyline GT-R (BNR32) Group A</t>
  </si>
  <si>
    <t>7:03.103</t>
  </si>
  <si>
    <t>Corvette C7 Z06</t>
  </si>
  <si>
    <t>7:03.300</t>
  </si>
  <si>
    <t>7:03.737</t>
  </si>
  <si>
    <t>Cayman GT4 Clubsport MR</t>
  </si>
  <si>
    <t>7:04.240</t>
  </si>
  <si>
    <t>Mégane R.S. SMS-R Touring</t>
  </si>
  <si>
    <t>Touring Car</t>
  </si>
  <si>
    <t>7:04.258</t>
  </si>
  <si>
    <t>7:04.641</t>
  </si>
  <si>
    <t>7:13.90</t>
  </si>
  <si>
    <t>7:04.779</t>
  </si>
  <si>
    <t>DB11</t>
  </si>
  <si>
    <t>320 TC (E90)</t>
  </si>
  <si>
    <t>7:07.038</t>
  </si>
  <si>
    <t>M3 GT4 (E92)</t>
  </si>
  <si>
    <t>7:08.080</t>
  </si>
  <si>
    <t>7:08.097</t>
  </si>
  <si>
    <t>Vantage GT12</t>
  </si>
  <si>
    <t>7:08.840</t>
  </si>
  <si>
    <t>7:09.220</t>
  </si>
  <si>
    <t>Vantage GT4</t>
  </si>
  <si>
    <t>7:09.459</t>
  </si>
  <si>
    <t>Opel</t>
  </si>
  <si>
    <t>Astra TCR</t>
  </si>
  <si>
    <t>7:09.500</t>
  </si>
  <si>
    <t>7:09.618</t>
  </si>
  <si>
    <t>7:09.660</t>
  </si>
  <si>
    <t>7:29.60</t>
  </si>
  <si>
    <t>Mustang RTR GT4</t>
  </si>
  <si>
    <t>7:09.759</t>
  </si>
  <si>
    <t>A 45 SMS-R Touring</t>
  </si>
  <si>
    <t>7:09.780</t>
  </si>
  <si>
    <t>V8 quattro DTM</t>
  </si>
  <si>
    <t>7:09.979</t>
  </si>
  <si>
    <t>7:11.019</t>
  </si>
  <si>
    <t>7:11.140</t>
  </si>
  <si>
    <t>RS200 Evolution Group B</t>
  </si>
  <si>
    <t>Group B</t>
  </si>
  <si>
    <t>GT-86 Rocket Bunny Street</t>
  </si>
  <si>
    <t>7:11.560</t>
  </si>
  <si>
    <t>KTM</t>
  </si>
  <si>
    <t>X-Bow R</t>
  </si>
  <si>
    <t>1 Series M Coupé StanceWorks Edition</t>
  </si>
  <si>
    <t>7:12.182</t>
  </si>
  <si>
    <t>7:25.72</t>
  </si>
  <si>
    <t>Mustang Boss 302R</t>
  </si>
  <si>
    <t>7:12.260</t>
  </si>
  <si>
    <t>7:12.599</t>
  </si>
  <si>
    <t>Formula Rookie</t>
  </si>
  <si>
    <t>X-Bow GT4</t>
  </si>
  <si>
    <t>7:12.637</t>
  </si>
  <si>
    <t>7:12.881</t>
  </si>
  <si>
    <t>E-Type V12 Group44</t>
  </si>
  <si>
    <t>Vintage Grand Touring A</t>
  </si>
  <si>
    <t>7:13.780</t>
  </si>
  <si>
    <t>Camaro Z/28 '69 TransAm</t>
  </si>
  <si>
    <t>7:14.637</t>
  </si>
  <si>
    <t>190E 2.5-16 Evolution 2 DTM</t>
  </si>
  <si>
    <t>7:16.219</t>
  </si>
  <si>
    <t>288 GTO</t>
  </si>
  <si>
    <t>GT-86 Rocket Bunny GT4</t>
  </si>
  <si>
    <t>7:16.519</t>
  </si>
  <si>
    <t>5 Maxi Turbo</t>
  </si>
  <si>
    <t>7:16.541</t>
  </si>
  <si>
    <t>7:17.519</t>
  </si>
  <si>
    <t>F50 (Open)</t>
  </si>
  <si>
    <t>Sport quattro S1</t>
  </si>
  <si>
    <t>7:18.260</t>
  </si>
  <si>
    <t>Mustang '66 RTR TransAm</t>
  </si>
  <si>
    <t>7:19.699</t>
  </si>
  <si>
    <t>Holden</t>
  </si>
  <si>
    <t>Commodore V8 Supercar</t>
  </si>
  <si>
    <t>7:19.797</t>
  </si>
  <si>
    <t>Lancer Evolution X FQ400</t>
  </si>
  <si>
    <t>7:19.820</t>
  </si>
  <si>
    <t>365 GTB4 Competizione</t>
  </si>
  <si>
    <t>7:19.900</t>
  </si>
  <si>
    <t>911 Carrera RSR 2.8</t>
  </si>
  <si>
    <t>7:19.959</t>
  </si>
  <si>
    <t>Lancer Evolution IX FQ360</t>
  </si>
  <si>
    <t>7:20.657</t>
  </si>
  <si>
    <t>Type 25 Climax</t>
  </si>
  <si>
    <t>7:21.320</t>
  </si>
  <si>
    <t>M3 Sport Evo Group A</t>
  </si>
  <si>
    <t>7:21.779</t>
  </si>
  <si>
    <t>A 45 4MATIC</t>
  </si>
  <si>
    <t>7:23.360</t>
  </si>
  <si>
    <t>7:23.579</t>
  </si>
  <si>
    <t>Mustang GT</t>
  </si>
  <si>
    <t>7:25.437</t>
  </si>
  <si>
    <t>1 Series M Coupé</t>
  </si>
  <si>
    <t>7:27.360</t>
  </si>
  <si>
    <t>300 SEL 6.8 AMG</t>
  </si>
  <si>
    <t>Vintage Grand Touring B</t>
  </si>
  <si>
    <t>7:30.199</t>
  </si>
  <si>
    <t>Fairlady 240ZG GTS-II</t>
  </si>
  <si>
    <t>Vintange Grand Touring A</t>
  </si>
  <si>
    <t>7:30.740</t>
  </si>
  <si>
    <t>2002 StanceWorks Edition</t>
  </si>
  <si>
    <t>7:35.720</t>
  </si>
  <si>
    <t>Civic Type-R</t>
  </si>
  <si>
    <t>Road F</t>
  </si>
  <si>
    <t>7:37.843</t>
  </si>
  <si>
    <t>7:43.8</t>
  </si>
  <si>
    <t>250 Testa Rossa</t>
  </si>
  <si>
    <t>Vintage Grand Touring C</t>
  </si>
  <si>
    <t>7:38.320</t>
  </si>
  <si>
    <t>G40 GT5</t>
  </si>
  <si>
    <t>GT5</t>
  </si>
  <si>
    <t>7:39.961</t>
  </si>
  <si>
    <t>Olsbergs MSE</t>
  </si>
  <si>
    <t>RX Supercar Lite</t>
  </si>
  <si>
    <t>RX Lites</t>
  </si>
  <si>
    <t>7:42.280</t>
  </si>
  <si>
    <t>Mégane R.S. 275 Trophy-R</t>
  </si>
  <si>
    <t>7:43.717</t>
  </si>
  <si>
    <t>7:54.36</t>
  </si>
  <si>
    <t>250 GT Berlinetta</t>
  </si>
  <si>
    <t>7:44.760</t>
  </si>
  <si>
    <t>Clio Cup</t>
  </si>
  <si>
    <t>Touring Class 1</t>
  </si>
  <si>
    <t>7:45.979</t>
  </si>
  <si>
    <t>Escort RS1600 (Racing)</t>
  </si>
  <si>
    <t>7:48.399</t>
  </si>
  <si>
    <t>DBR1/300</t>
  </si>
  <si>
    <t>7:50.503</t>
  </si>
  <si>
    <t>SP/300.R [Push-to-pass]</t>
  </si>
  <si>
    <t>7:51.122</t>
  </si>
  <si>
    <t>Lancer Evolution VI T.M.E.</t>
  </si>
  <si>
    <t>7:55.521</t>
  </si>
  <si>
    <t>A1 quattro</t>
  </si>
  <si>
    <t>7:55.620</t>
  </si>
  <si>
    <t>Mustang 2+2 Fastback</t>
  </si>
  <si>
    <t>Road G</t>
  </si>
  <si>
    <t>8:13.859</t>
  </si>
  <si>
    <t>Escort RS1600 (Rallycross)</t>
  </si>
  <si>
    <t>Vintage RX</t>
  </si>
  <si>
    <t>8:16.759</t>
  </si>
  <si>
    <t>F-150 RTR Ultimate Funhaver</t>
  </si>
  <si>
    <t>8:18.120</t>
  </si>
  <si>
    <t>8:20.359</t>
  </si>
  <si>
    <t>GT-86</t>
  </si>
  <si>
    <t>8:20.438</t>
  </si>
  <si>
    <t>300 SL (W194)</t>
  </si>
  <si>
    <t>Vintage Grand Touring D</t>
  </si>
  <si>
    <t>8:22.675</t>
  </si>
  <si>
    <t>2002 Turbo</t>
  </si>
  <si>
    <t>8:24.060</t>
  </si>
  <si>
    <t>Type 51</t>
  </si>
  <si>
    <t>Vintage Formula 3</t>
  </si>
  <si>
    <t>8:25.860</t>
  </si>
  <si>
    <t>Bronco Brocky</t>
  </si>
  <si>
    <t>Trophy Truck</t>
  </si>
  <si>
    <t>8:28.219</t>
  </si>
  <si>
    <t>Escort RS1600</t>
  </si>
  <si>
    <t>8:36.360</t>
  </si>
  <si>
    <t>G40 Junior</t>
  </si>
  <si>
    <t>8:46.563</t>
  </si>
  <si>
    <t>Corolla GTS (AE86) Turbo</t>
  </si>
  <si>
    <t>Time (m:s)</t>
  </si>
  <si>
    <t>Time (s)</t>
  </si>
  <si>
    <t>Average time (m:s)</t>
  </si>
  <si>
    <t>Average time (s)</t>
  </si>
  <si>
    <t>Lap time below avg (s)</t>
  </si>
  <si>
    <t>% below avg</t>
  </si>
  <si>
    <t>Lap time above avg (s)</t>
  </si>
  <si>
    <t>% above avg</t>
  </si>
  <si>
    <t>GT-86 48V feTT full electric Turbo Technology</t>
  </si>
  <si>
    <t>RX-7 Turbo (FC3S, Initial D)</t>
  </si>
  <si>
    <t>Focus RS AWD Tuned</t>
  </si>
  <si>
    <t>Lotus Cars</t>
  </si>
  <si>
    <t>Elise 111R Tuned</t>
  </si>
  <si>
    <t>RX-7 Turbo (FC3S)</t>
  </si>
  <si>
    <t>Fiat</t>
  </si>
  <si>
    <t>500 Abarth Tuned</t>
  </si>
  <si>
    <t>Kart</t>
  </si>
  <si>
    <t>Kart1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</si>
</sst>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Helvetica Neue"/>
    </font>
    <font>
      <b/>
    </font>
    <font>
      <b/>
      <name val="Arial"/>
    </font>
    <font/>
    <font>
      <color rgb="FF000000"/>
      <name val="Helvetica Neue"/>
    </font>
    <font>
      <sz val="11.0"/>
      <color rgb="FF000000"/>
      <name val="Inconsolata"/>
    </font>
    <font>
      <sz val="11.0"/>
      <color rgb="FF000000"/>
      <name val="Arial"/>
    </font>
    <font>
      <sz val="10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top" wrapText="1"/>
    </xf>
    <xf borderId="0" fillId="2" fontId="1" numFmtId="0" xfId="0" applyAlignment="1" applyFill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3" fontId="3" numFmtId="0" xfId="0" applyAlignment="1" applyFill="1" applyFont="1">
      <alignment readingOrder="0" shrinkToFit="0" vertical="top" wrapText="1"/>
    </xf>
    <xf borderId="0" fillId="3" fontId="3" numFmtId="0" xfId="0" applyAlignment="1" applyFont="1">
      <alignment readingOrder="0" shrinkToFit="0" vertical="top" wrapText="1"/>
    </xf>
    <xf borderId="0" fillId="3" fontId="3" numFmtId="0" xfId="0" applyAlignment="1" applyFont="1">
      <alignment horizontal="right" readingOrder="0" shrinkToFit="0" vertical="top" wrapText="1"/>
    </xf>
    <xf borderId="0" fillId="4" fontId="3" numFmtId="0" xfId="0" applyAlignment="1" applyFill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3" fontId="3" numFmtId="0" xfId="0" applyAlignment="1" applyFont="1">
      <alignment shrinkToFit="0" vertical="top" wrapText="1"/>
    </xf>
    <xf borderId="0" fillId="4" fontId="3" numFmtId="0" xfId="0" applyAlignment="1" applyFont="1">
      <alignment horizontal="right" readingOrder="0" shrinkToFit="0" vertical="top" wrapText="1"/>
    </xf>
    <xf borderId="0" fillId="3" fontId="4" numFmtId="0" xfId="0" applyAlignment="1" applyFont="1">
      <alignment horizontal="left" readingOrder="0" shrinkToFit="0" vertical="top" wrapText="1"/>
    </xf>
    <xf borderId="0" fillId="4" fontId="3" numFmtId="0" xfId="0" applyAlignment="1" applyFont="1">
      <alignment shrinkToFit="0" vertical="top" wrapText="1"/>
    </xf>
    <xf borderId="0" fillId="3" fontId="3" numFmtId="164" xfId="0" applyAlignment="1" applyFont="1" applyNumberFormat="1">
      <alignment readingOrder="0" shrinkToFit="0" vertical="top" wrapText="1"/>
    </xf>
    <xf borderId="0" fillId="4" fontId="4" numFmtId="0" xfId="0" applyAlignment="1" applyFont="1">
      <alignment horizontal="left" readingOrder="0" shrinkToFit="0" vertical="top" wrapText="1"/>
    </xf>
    <xf borderId="0" fillId="3" fontId="5" numFmtId="0" xfId="0" applyAlignment="1" applyFont="1">
      <alignment horizontal="left" shrinkToFit="0" vertical="top" wrapText="1"/>
    </xf>
    <xf borderId="0" fillId="4" fontId="5" numFmtId="0" xfId="0" applyAlignment="1" applyFont="1">
      <alignment horizontal="left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4" fontId="3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right" readingOrder="0" shrinkToFit="0" vertical="top" wrapText="1"/>
    </xf>
    <xf borderId="0" fillId="4" fontId="3" numFmtId="0" xfId="0" applyAlignment="1" applyFont="1">
      <alignment horizontal="right" readingOrder="0" shrinkToFit="0" vertical="top" wrapText="1"/>
    </xf>
    <xf borderId="0" fillId="4" fontId="3" numFmtId="20" xfId="0" applyAlignment="1" applyFont="1" applyNumberFormat="1">
      <alignment horizontal="right" readingOrder="0" shrinkToFit="0" vertical="top" wrapText="1"/>
    </xf>
    <xf borderId="0" fillId="3" fontId="3" numFmtId="20" xfId="0" applyAlignment="1" applyFont="1" applyNumberFormat="1">
      <alignment horizontal="right" readingOrder="0" shrinkToFit="0" vertical="top" wrapText="1"/>
    </xf>
    <xf borderId="0" fillId="4" fontId="6" numFmtId="0" xfId="0" applyAlignment="1" applyFont="1">
      <alignment horizontal="left" readingOrder="0" shrinkToFit="0" vertical="top" wrapText="1"/>
    </xf>
    <xf borderId="0" fillId="3" fontId="7" numFmtId="46" xfId="0" applyAlignment="1" applyFont="1" applyNumberFormat="1">
      <alignment horizontal="left" shrinkToFit="0" vertical="top" wrapText="1"/>
    </xf>
    <xf borderId="0" fillId="3" fontId="7" numFmtId="0" xfId="0" applyAlignment="1" applyFont="1">
      <alignment horizontal="left" shrinkToFit="0" vertical="top" wrapText="1"/>
    </xf>
    <xf borderId="0" fillId="4" fontId="7" numFmtId="46" xfId="0" applyAlignment="1" applyFont="1" applyNumberFormat="1">
      <alignment horizontal="left" shrinkToFit="0" vertical="top" wrapText="1"/>
    </xf>
    <xf borderId="0" fillId="4" fontId="7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39.43"/>
    <col customWidth="1" min="3" max="3" width="22.57"/>
    <col customWidth="1" min="4" max="4" width="19.71"/>
    <col customWidth="1" min="5" max="5" width="15.43"/>
    <col customWidth="1" min="6" max="6" width="16.0"/>
  </cols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14</v>
      </c>
      <c r="F1" s="1" t="s">
        <v>16</v>
      </c>
    </row>
    <row r="2">
      <c r="A2" s="3" t="s">
        <v>9</v>
      </c>
      <c r="B2" s="3" t="s">
        <v>18</v>
      </c>
      <c r="C2" s="3" t="s">
        <v>18</v>
      </c>
      <c r="D2" s="3" t="s">
        <v>23</v>
      </c>
      <c r="E2" s="4">
        <f>IFERROR(__xludf.DUMMYFUNCTION("INDEX(SPLIT(D2,"":""),0,1)*60+INDEX(SPLIT(D2,"":""),0,2)"),291.642)</f>
        <v>291.642</v>
      </c>
      <c r="F2" s="5"/>
    </row>
    <row r="3">
      <c r="A3" s="6" t="s">
        <v>9</v>
      </c>
      <c r="B3" s="6" t="s">
        <v>34</v>
      </c>
      <c r="C3" s="6" t="s">
        <v>34</v>
      </c>
      <c r="D3" s="6" t="s">
        <v>35</v>
      </c>
      <c r="E3" s="7">
        <f>IFERROR(__xludf.DUMMYFUNCTION("INDEX(SPLIT(D3,"":""),0,1)*60+INDEX(SPLIT(D3,"":""),0,2)"),304.059)</f>
        <v>304.059</v>
      </c>
      <c r="F3" s="9"/>
    </row>
    <row r="4">
      <c r="A4" s="3" t="s">
        <v>36</v>
      </c>
      <c r="B4" s="10" t="s">
        <v>37</v>
      </c>
      <c r="C4" s="3" t="s">
        <v>39</v>
      </c>
      <c r="D4" s="3" t="s">
        <v>41</v>
      </c>
      <c r="E4" s="4">
        <f>IFERROR(__xludf.DUMMYFUNCTION("INDEX(SPLIT(D4,"":""),0,1)*60+INDEX(SPLIT(D4,"":""),0,2)"),318.419)</f>
        <v>318.419</v>
      </c>
      <c r="F4" s="5"/>
    </row>
    <row r="5">
      <c r="A5" s="6" t="s">
        <v>42</v>
      </c>
      <c r="B5" s="6" t="s">
        <v>43</v>
      </c>
      <c r="C5" s="6" t="s">
        <v>44</v>
      </c>
      <c r="D5" s="6" t="s">
        <v>45</v>
      </c>
      <c r="E5" s="7">
        <f>IFERROR(__xludf.DUMMYFUNCTION("INDEX(SPLIT(D5,"":""),0,1)*60+INDEX(SPLIT(D5,"":""),0,2)"),319.4)</f>
        <v>319.4</v>
      </c>
      <c r="F5" s="9"/>
    </row>
    <row r="6">
      <c r="A6" s="3" t="s">
        <v>48</v>
      </c>
      <c r="B6" s="3" t="s">
        <v>49</v>
      </c>
      <c r="C6" s="3" t="s">
        <v>50</v>
      </c>
      <c r="D6" s="3" t="s">
        <v>51</v>
      </c>
      <c r="E6" s="4">
        <f>IFERROR(__xludf.DUMMYFUNCTION("INDEX(SPLIT(D6,"":""),0,1)*60+INDEX(SPLIT(D6,"":""),0,2)"),320.059)</f>
        <v>320.059</v>
      </c>
      <c r="F6" s="5"/>
    </row>
    <row r="7">
      <c r="A7" s="6" t="s">
        <v>36</v>
      </c>
      <c r="B7" s="6" t="s">
        <v>52</v>
      </c>
      <c r="C7" s="6" t="s">
        <v>39</v>
      </c>
      <c r="D7" s="6" t="s">
        <v>53</v>
      </c>
      <c r="E7" s="7">
        <f>IFERROR(__xludf.DUMMYFUNCTION("INDEX(SPLIT(D7,"":""),0,1)*60+INDEX(SPLIT(D7,"":""),0,2)"),320.199)</f>
        <v>320.199</v>
      </c>
      <c r="F7" s="9"/>
    </row>
    <row r="8">
      <c r="A8" s="3" t="s">
        <v>38</v>
      </c>
      <c r="B8" s="3" t="s">
        <v>55</v>
      </c>
      <c r="C8" s="3" t="s">
        <v>39</v>
      </c>
      <c r="D8" s="3" t="s">
        <v>56</v>
      </c>
      <c r="E8" s="4">
        <f>IFERROR(__xludf.DUMMYFUNCTION("INDEX(SPLIT(D8,"":""),0,1)*60+INDEX(SPLIT(D8,"":""),0,2)"),322.942)</f>
        <v>322.942</v>
      </c>
      <c r="F8" s="5"/>
    </row>
    <row r="9">
      <c r="A9" s="6" t="s">
        <v>36</v>
      </c>
      <c r="B9" s="6" t="s">
        <v>57</v>
      </c>
      <c r="C9" s="6" t="s">
        <v>58</v>
      </c>
      <c r="D9" s="6" t="s">
        <v>59</v>
      </c>
      <c r="E9" s="7">
        <f>IFERROR(__xludf.DUMMYFUNCTION("INDEX(SPLIT(D9,"":""),0,1)*60+INDEX(SPLIT(D9,"":""),0,2)"),323.12)</f>
        <v>323.12</v>
      </c>
      <c r="F9" s="9"/>
    </row>
    <row r="10">
      <c r="A10" s="3" t="s">
        <v>46</v>
      </c>
      <c r="B10" s="3" t="s">
        <v>60</v>
      </c>
      <c r="C10" s="3" t="s">
        <v>44</v>
      </c>
      <c r="D10" s="3" t="s">
        <v>61</v>
      </c>
      <c r="E10" s="4">
        <f>IFERROR(__xludf.DUMMYFUNCTION("INDEX(SPLIT(D10,"":""),0,1)*60+INDEX(SPLIT(D10,"":""),0,2)"),323.799)</f>
        <v>323.799</v>
      </c>
      <c r="F10" s="5"/>
    </row>
    <row r="11">
      <c r="A11" s="6" t="s">
        <v>64</v>
      </c>
      <c r="B11" s="6" t="s">
        <v>65</v>
      </c>
      <c r="C11" s="6" t="s">
        <v>66</v>
      </c>
      <c r="D11" s="6" t="s">
        <v>67</v>
      </c>
      <c r="E11" s="7">
        <f>IFERROR(__xludf.DUMMYFUNCTION("INDEX(SPLIT(D11,"":""),0,1)*60+INDEX(SPLIT(D11,"":""),0,2)"),324.021)</f>
        <v>324.021</v>
      </c>
      <c r="F11" s="9"/>
    </row>
    <row r="12">
      <c r="A12" s="3" t="s">
        <v>70</v>
      </c>
      <c r="B12" s="3" t="s">
        <v>71</v>
      </c>
      <c r="C12" s="3" t="s">
        <v>39</v>
      </c>
      <c r="D12" s="3" t="s">
        <v>72</v>
      </c>
      <c r="E12" s="4">
        <f>IFERROR(__xludf.DUMMYFUNCTION("INDEX(SPLIT(D12,"":""),0,1)*60+INDEX(SPLIT(D12,"":""),0,2)"),325.422)</f>
        <v>325.422</v>
      </c>
      <c r="F12" s="5"/>
    </row>
    <row r="13">
      <c r="A13" s="6" t="s">
        <v>73</v>
      </c>
      <c r="B13" s="6" t="s">
        <v>74</v>
      </c>
      <c r="C13" s="6" t="s">
        <v>58</v>
      </c>
      <c r="D13" s="6" t="s">
        <v>75</v>
      </c>
      <c r="E13" s="7">
        <f>IFERROR(__xludf.DUMMYFUNCTION("INDEX(SPLIT(D13,"":""),0,1)*60+INDEX(SPLIT(D13,"":""),0,2)"),327.84)</f>
        <v>327.84</v>
      </c>
      <c r="F13" s="9"/>
    </row>
    <row r="14">
      <c r="A14" s="3" t="s">
        <v>42</v>
      </c>
      <c r="B14" s="3" t="s">
        <v>54</v>
      </c>
      <c r="C14" s="3" t="s">
        <v>79</v>
      </c>
      <c r="D14" s="3" t="s">
        <v>80</v>
      </c>
      <c r="E14" s="4">
        <f>IFERROR(__xludf.DUMMYFUNCTION("INDEX(SPLIT(D14,"":""),0,1)*60+INDEX(SPLIT(D14,"":""),0,2)"),328.641)</f>
        <v>328.641</v>
      </c>
      <c r="F14" s="5"/>
    </row>
    <row r="15">
      <c r="A15" s="6" t="s">
        <v>83</v>
      </c>
      <c r="B15" s="6" t="s">
        <v>84</v>
      </c>
      <c r="C15" s="6" t="s">
        <v>50</v>
      </c>
      <c r="D15" s="6" t="s">
        <v>85</v>
      </c>
      <c r="E15" s="7">
        <f>IFERROR(__xludf.DUMMYFUNCTION("INDEX(SPLIT(D15,"":""),0,1)*60+INDEX(SPLIT(D15,"":""),0,2)"),330.5)</f>
        <v>330.5</v>
      </c>
      <c r="F15" s="9"/>
    </row>
    <row r="16">
      <c r="A16" s="3" t="s">
        <v>70</v>
      </c>
      <c r="B16" s="3" t="s">
        <v>87</v>
      </c>
      <c r="C16" s="3" t="s">
        <v>58</v>
      </c>
      <c r="D16" s="3" t="s">
        <v>89</v>
      </c>
      <c r="E16" s="4">
        <f>IFERROR(__xludf.DUMMYFUNCTION("INDEX(SPLIT(D16,"":""),0,1)*60+INDEX(SPLIT(D16,"":""),0,2)"),332.22)</f>
        <v>332.22</v>
      </c>
      <c r="F16" s="5"/>
    </row>
    <row r="17">
      <c r="A17" s="6" t="s">
        <v>90</v>
      </c>
      <c r="B17" s="6" t="s">
        <v>92</v>
      </c>
      <c r="C17" s="6" t="s">
        <v>94</v>
      </c>
      <c r="D17" s="6" t="s">
        <v>95</v>
      </c>
      <c r="E17" s="7">
        <f>IFERROR(__xludf.DUMMYFUNCTION("INDEX(SPLIT(D17,"":""),0,1)*60+INDEX(SPLIT(D17,"":""),0,2)"),334.217)</f>
        <v>334.217</v>
      </c>
      <c r="F17" s="9"/>
    </row>
    <row r="18">
      <c r="A18" s="3" t="s">
        <v>46</v>
      </c>
      <c r="B18" s="3" t="s">
        <v>96</v>
      </c>
      <c r="C18" s="3" t="s">
        <v>44</v>
      </c>
      <c r="D18" s="3" t="s">
        <v>98</v>
      </c>
      <c r="E18" s="4">
        <f>IFERROR(__xludf.DUMMYFUNCTION("INDEX(SPLIT(D18,"":""),0,1)*60+INDEX(SPLIT(D18,"":""),0,2)"),334.522)</f>
        <v>334.522</v>
      </c>
      <c r="F18" s="5"/>
    </row>
    <row r="19">
      <c r="A19" s="6" t="s">
        <v>99</v>
      </c>
      <c r="B19" s="6" t="s">
        <v>100</v>
      </c>
      <c r="C19" s="6" t="s">
        <v>58</v>
      </c>
      <c r="D19" s="6" t="s">
        <v>101</v>
      </c>
      <c r="E19" s="7">
        <f>IFERROR(__xludf.DUMMYFUNCTION("INDEX(SPLIT(D19,"":""),0,1)*60+INDEX(SPLIT(D19,"":""),0,2)"),334.6)</f>
        <v>334.6</v>
      </c>
      <c r="F19" s="9"/>
    </row>
    <row r="20">
      <c r="A20" s="3" t="s">
        <v>38</v>
      </c>
      <c r="B20" s="3" t="s">
        <v>102</v>
      </c>
      <c r="C20" s="3" t="s">
        <v>44</v>
      </c>
      <c r="D20" s="3" t="s">
        <v>103</v>
      </c>
      <c r="E20" s="4">
        <f>IFERROR(__xludf.DUMMYFUNCTION("INDEX(SPLIT(D20,"":""),0,1)*60+INDEX(SPLIT(D20,"":""),0,2)"),340.342)</f>
        <v>340.342</v>
      </c>
      <c r="F20" s="5"/>
    </row>
    <row r="21">
      <c r="A21" s="6" t="s">
        <v>36</v>
      </c>
      <c r="B21" s="6" t="s">
        <v>106</v>
      </c>
      <c r="C21" s="6" t="s">
        <v>107</v>
      </c>
      <c r="D21" s="6" t="s">
        <v>108</v>
      </c>
      <c r="E21" s="7">
        <f>IFERROR(__xludf.DUMMYFUNCTION("INDEX(SPLIT(D21,"":""),0,1)*60+INDEX(SPLIT(D21,"":""),0,2)"),342.0)</f>
        <v>342</v>
      </c>
      <c r="F21" s="9"/>
    </row>
    <row r="22">
      <c r="A22" s="3" t="s">
        <v>68</v>
      </c>
      <c r="B22" s="3" t="s">
        <v>110</v>
      </c>
      <c r="C22" s="3" t="s">
        <v>44</v>
      </c>
      <c r="D22" s="3" t="s">
        <v>111</v>
      </c>
      <c r="E22" s="4">
        <f>IFERROR(__xludf.DUMMYFUNCTION("INDEX(SPLIT(D22,"":""),0,1)*60+INDEX(SPLIT(D22,"":""),0,2)"),343.74)</f>
        <v>343.74</v>
      </c>
      <c r="F22" s="5"/>
    </row>
    <row r="23">
      <c r="A23" s="6" t="s">
        <v>83</v>
      </c>
      <c r="B23" s="6" t="s">
        <v>113</v>
      </c>
      <c r="C23" s="6" t="s">
        <v>50</v>
      </c>
      <c r="D23" s="6" t="s">
        <v>114</v>
      </c>
      <c r="E23" s="7">
        <f>IFERROR(__xludf.DUMMYFUNCTION("INDEX(SPLIT(D23,"":""),0,1)*60+INDEX(SPLIT(D23,"":""),0,2)"),344.318)</f>
        <v>344.318</v>
      </c>
      <c r="F23" s="9"/>
    </row>
    <row r="24">
      <c r="A24" s="3" t="s">
        <v>48</v>
      </c>
      <c r="B24" s="3" t="s">
        <v>115</v>
      </c>
      <c r="C24" s="3" t="s">
        <v>50</v>
      </c>
      <c r="D24" s="3" t="s">
        <v>116</v>
      </c>
      <c r="E24" s="4">
        <f>IFERROR(__xludf.DUMMYFUNCTION("INDEX(SPLIT(D24,"":""),0,1)*60+INDEX(SPLIT(D24,"":""),0,2)"),346.102)</f>
        <v>346.102</v>
      </c>
      <c r="F24" s="5"/>
    </row>
    <row r="25">
      <c r="A25" s="6" t="s">
        <v>118</v>
      </c>
      <c r="B25" s="6" t="s">
        <v>119</v>
      </c>
      <c r="C25" s="6" t="s">
        <v>107</v>
      </c>
      <c r="D25" s="6" t="s">
        <v>120</v>
      </c>
      <c r="E25" s="7">
        <f>IFERROR(__xludf.DUMMYFUNCTION("INDEX(SPLIT(D25,"":""),0,1)*60+INDEX(SPLIT(D25,"":""),0,2)"),348.38)</f>
        <v>348.38</v>
      </c>
      <c r="F25" s="9"/>
    </row>
    <row r="26">
      <c r="A26" s="3" t="s">
        <v>122</v>
      </c>
      <c r="B26" s="3" t="s">
        <v>123</v>
      </c>
      <c r="C26" s="3" t="s">
        <v>124</v>
      </c>
      <c r="D26" s="3" t="s">
        <v>125</v>
      </c>
      <c r="E26" s="4">
        <f>IFERROR(__xludf.DUMMYFUNCTION("INDEX(SPLIT(D26,"":""),0,1)*60+INDEX(SPLIT(D26,"":""),0,2)"),348.601)</f>
        <v>348.601</v>
      </c>
      <c r="F26" s="5"/>
    </row>
    <row r="27">
      <c r="A27" s="6" t="s">
        <v>127</v>
      </c>
      <c r="B27" s="6" t="s">
        <v>128</v>
      </c>
      <c r="C27" s="6" t="s">
        <v>130</v>
      </c>
      <c r="D27" s="6" t="s">
        <v>132</v>
      </c>
      <c r="E27" s="7">
        <f>IFERROR(__xludf.DUMMYFUNCTION("INDEX(SPLIT(D27,"":""),0,1)*60+INDEX(SPLIT(D27,"":""),0,2)"),349.56)</f>
        <v>349.56</v>
      </c>
      <c r="F27" s="9"/>
    </row>
    <row r="28">
      <c r="A28" s="3" t="s">
        <v>38</v>
      </c>
      <c r="B28" s="3" t="s">
        <v>40</v>
      </c>
      <c r="C28" s="3" t="s">
        <v>33</v>
      </c>
      <c r="D28" s="3" t="s">
        <v>133</v>
      </c>
      <c r="E28" s="4">
        <f>IFERROR(__xludf.DUMMYFUNCTION("INDEX(SPLIT(D28,"":""),0,1)*60+INDEX(SPLIT(D28,"":""),0,2)"),350.076)</f>
        <v>350.076</v>
      </c>
      <c r="F28" s="5"/>
    </row>
    <row r="29">
      <c r="A29" s="6" t="s">
        <v>70</v>
      </c>
      <c r="B29" s="6" t="s">
        <v>135</v>
      </c>
      <c r="C29" s="6" t="s">
        <v>107</v>
      </c>
      <c r="D29" s="6" t="s">
        <v>136</v>
      </c>
      <c r="E29" s="7">
        <f>IFERROR(__xludf.DUMMYFUNCTION("INDEX(SPLIT(D29,"":""),0,1)*60+INDEX(SPLIT(D29,"":""),0,2)"),351.54)</f>
        <v>351.54</v>
      </c>
      <c r="F29" s="9"/>
    </row>
    <row r="30">
      <c r="A30" s="3" t="s">
        <v>127</v>
      </c>
      <c r="B30" s="3" t="s">
        <v>138</v>
      </c>
      <c r="C30" s="3" t="s">
        <v>130</v>
      </c>
      <c r="D30" s="3" t="s">
        <v>139</v>
      </c>
      <c r="E30" s="4">
        <f>IFERROR(__xludf.DUMMYFUNCTION("INDEX(SPLIT(D30,"":""),0,1)*60+INDEX(SPLIT(D30,"":""),0,2)"),352.799)</f>
        <v>352.799</v>
      </c>
      <c r="F30" s="5"/>
    </row>
    <row r="31">
      <c r="A31" s="6" t="s">
        <v>99</v>
      </c>
      <c r="B31" s="6" t="s">
        <v>142</v>
      </c>
      <c r="C31" s="6" t="s">
        <v>130</v>
      </c>
      <c r="D31" s="6" t="s">
        <v>143</v>
      </c>
      <c r="E31" s="7">
        <f>IFERROR(__xludf.DUMMYFUNCTION("INDEX(SPLIT(D31,"":""),0,1)*60+INDEX(SPLIT(D31,"":""),0,2)"),353.721)</f>
        <v>353.721</v>
      </c>
      <c r="F31" s="9"/>
    </row>
    <row r="32">
      <c r="A32" s="3" t="s">
        <v>46</v>
      </c>
      <c r="B32" s="3" t="s">
        <v>47</v>
      </c>
      <c r="C32" s="3" t="s">
        <v>79</v>
      </c>
      <c r="D32" s="3" t="s">
        <v>144</v>
      </c>
      <c r="E32" s="4">
        <f>IFERROR(__xludf.DUMMYFUNCTION("INDEX(SPLIT(D32,"":""),0,1)*60+INDEX(SPLIT(D32,"":""),0,2)"),354.077)</f>
        <v>354.077</v>
      </c>
      <c r="F32" s="5"/>
    </row>
    <row r="33">
      <c r="A33" s="6" t="s">
        <v>145</v>
      </c>
      <c r="B33" s="6" t="s">
        <v>147</v>
      </c>
      <c r="C33" s="6" t="s">
        <v>130</v>
      </c>
      <c r="D33" s="6" t="s">
        <v>148</v>
      </c>
      <c r="E33" s="7">
        <f>IFERROR(__xludf.DUMMYFUNCTION("INDEX(SPLIT(D33,"":""),0,1)*60+INDEX(SPLIT(D33,"":""),0,2)"),354.616)</f>
        <v>354.616</v>
      </c>
      <c r="F33" s="9"/>
    </row>
    <row r="34">
      <c r="A34" s="3" t="s">
        <v>91</v>
      </c>
      <c r="B34" s="3" t="s">
        <v>149</v>
      </c>
      <c r="C34" s="3" t="s">
        <v>107</v>
      </c>
      <c r="D34" s="3" t="s">
        <v>150</v>
      </c>
      <c r="E34" s="4">
        <f>IFERROR(__xludf.DUMMYFUNCTION("INDEX(SPLIT(D34,"":""),0,1)*60+INDEX(SPLIT(D34,"":""),0,2)"),354.62)</f>
        <v>354.62</v>
      </c>
      <c r="F34" s="5"/>
    </row>
    <row r="35">
      <c r="A35" s="6" t="s">
        <v>38</v>
      </c>
      <c r="B35" s="6" t="s">
        <v>117</v>
      </c>
      <c r="C35" s="6" t="s">
        <v>79</v>
      </c>
      <c r="D35" s="6" t="s">
        <v>152</v>
      </c>
      <c r="E35" s="7">
        <f>IFERROR(__xludf.DUMMYFUNCTION("INDEX(SPLIT(D35,"":""),0,1)*60+INDEX(SPLIT(D35,"":""),0,2)"),354.76)</f>
        <v>354.76</v>
      </c>
      <c r="F35" s="9"/>
    </row>
    <row r="36">
      <c r="A36" s="3" t="s">
        <v>127</v>
      </c>
      <c r="B36" s="3" t="s">
        <v>155</v>
      </c>
      <c r="C36" s="3" t="s">
        <v>130</v>
      </c>
      <c r="D36" s="3" t="s">
        <v>156</v>
      </c>
      <c r="E36" s="4">
        <f>IFERROR(__xludf.DUMMYFUNCTION("INDEX(SPLIT(D36,"":""),0,1)*60+INDEX(SPLIT(D36,"":""),0,2)"),356.418)</f>
        <v>356.418</v>
      </c>
      <c r="F36" s="5"/>
    </row>
    <row r="37">
      <c r="A37" s="6" t="s">
        <v>157</v>
      </c>
      <c r="B37" s="6" t="s">
        <v>158</v>
      </c>
      <c r="C37" s="6" t="s">
        <v>107</v>
      </c>
      <c r="D37" s="6" t="s">
        <v>159</v>
      </c>
      <c r="E37" s="7">
        <f>IFERROR(__xludf.DUMMYFUNCTION("INDEX(SPLIT(D37,"":""),0,1)*60+INDEX(SPLIT(D37,"":""),0,2)"),357.18)</f>
        <v>357.18</v>
      </c>
      <c r="F37" s="9"/>
    </row>
    <row r="38">
      <c r="A38" s="3" t="s">
        <v>73</v>
      </c>
      <c r="B38" s="3" t="s">
        <v>161</v>
      </c>
      <c r="C38" s="3" t="s">
        <v>130</v>
      </c>
      <c r="D38" s="3" t="s">
        <v>162</v>
      </c>
      <c r="E38" s="4">
        <f>IFERROR(__xludf.DUMMYFUNCTION("INDEX(SPLIT(D38,"":""),0,1)*60+INDEX(SPLIT(D38,"":""),0,2)"),359.06)</f>
        <v>359.06</v>
      </c>
      <c r="F38" s="5"/>
    </row>
    <row r="39">
      <c r="A39" s="6" t="s">
        <v>68</v>
      </c>
      <c r="B39" s="6" t="s">
        <v>69</v>
      </c>
      <c r="C39" s="6" t="s">
        <v>79</v>
      </c>
      <c r="D39" s="6" t="s">
        <v>164</v>
      </c>
      <c r="E39" s="7">
        <f>IFERROR(__xludf.DUMMYFUNCTION("INDEX(SPLIT(D39,"":""),0,1)*60+INDEX(SPLIT(D39,"":""),0,2)"),361.2)</f>
        <v>361.2</v>
      </c>
      <c r="F39" s="9"/>
    </row>
    <row r="40">
      <c r="A40" s="3" t="s">
        <v>126</v>
      </c>
      <c r="B40" s="3" t="s">
        <v>167</v>
      </c>
      <c r="C40" s="3" t="s">
        <v>124</v>
      </c>
      <c r="D40" s="3" t="s">
        <v>168</v>
      </c>
      <c r="E40" s="4">
        <f>IFERROR(__xludf.DUMMYFUNCTION("INDEX(SPLIT(D40,"":""),0,1)*60+INDEX(SPLIT(D40,"":""),0,2)"),362.2)</f>
        <v>362.2</v>
      </c>
      <c r="F40" s="5"/>
    </row>
    <row r="41">
      <c r="A41" s="6" t="s">
        <v>42</v>
      </c>
      <c r="B41" s="6" t="s">
        <v>170</v>
      </c>
      <c r="C41" s="6" t="s">
        <v>171</v>
      </c>
      <c r="D41" s="6" t="s">
        <v>172</v>
      </c>
      <c r="E41" s="7">
        <f>IFERROR(__xludf.DUMMYFUNCTION("INDEX(SPLIT(D41,"":""),0,1)*60+INDEX(SPLIT(D41,"":""),0,2)"),362.238)</f>
        <v>362.238</v>
      </c>
      <c r="F41" s="9"/>
    </row>
    <row r="42">
      <c r="A42" s="3" t="s">
        <v>173</v>
      </c>
      <c r="B42" s="3" t="s">
        <v>174</v>
      </c>
      <c r="C42" s="3" t="s">
        <v>171</v>
      </c>
      <c r="D42" s="3" t="s">
        <v>175</v>
      </c>
      <c r="E42" s="4">
        <f>IFERROR(__xludf.DUMMYFUNCTION("INDEX(SPLIT(D42,"":""),0,1)*60+INDEX(SPLIT(D42,"":""),0,2)"),363.4)</f>
        <v>363.4</v>
      </c>
      <c r="F42" s="5"/>
    </row>
    <row r="43">
      <c r="A43" s="6" t="s">
        <v>64</v>
      </c>
      <c r="B43" s="6" t="s">
        <v>176</v>
      </c>
      <c r="C43" s="6" t="s">
        <v>178</v>
      </c>
      <c r="D43" s="6" t="s">
        <v>179</v>
      </c>
      <c r="E43" s="7">
        <f>IFERROR(__xludf.DUMMYFUNCTION("INDEX(SPLIT(D43,"":""),0,1)*60+INDEX(SPLIT(D43,"":""),0,2)"),363.419)</f>
        <v>363.419</v>
      </c>
      <c r="F43" s="9"/>
    </row>
    <row r="44">
      <c r="A44" s="3" t="s">
        <v>70</v>
      </c>
      <c r="B44" s="3" t="s">
        <v>180</v>
      </c>
      <c r="C44" s="3" t="s">
        <v>171</v>
      </c>
      <c r="D44" s="3" t="s">
        <v>181</v>
      </c>
      <c r="E44" s="4">
        <f>IFERROR(__xludf.DUMMYFUNCTION("INDEX(SPLIT(D44,"":""),0,1)*60+INDEX(SPLIT(D44,"":""),0,2)"),365.279)</f>
        <v>365.279</v>
      </c>
      <c r="F44" s="5"/>
    </row>
    <row r="45">
      <c r="A45" s="6" t="s">
        <v>91</v>
      </c>
      <c r="B45" s="6" t="s">
        <v>182</v>
      </c>
      <c r="C45" s="6" t="s">
        <v>124</v>
      </c>
      <c r="D45" s="6" t="s">
        <v>183</v>
      </c>
      <c r="E45" s="7">
        <f>IFERROR(__xludf.DUMMYFUNCTION("INDEX(SPLIT(D45,"":""),0,1)*60+INDEX(SPLIT(D45,"":""),0,2)"),365.359)</f>
        <v>365.359</v>
      </c>
      <c r="F45" s="9"/>
    </row>
    <row r="46">
      <c r="A46" s="3" t="s">
        <v>91</v>
      </c>
      <c r="B46" s="3" t="s">
        <v>185</v>
      </c>
      <c r="C46" s="3" t="s">
        <v>171</v>
      </c>
      <c r="D46" s="3" t="s">
        <v>186</v>
      </c>
      <c r="E46" s="4">
        <f>IFERROR(__xludf.DUMMYFUNCTION("INDEX(SPLIT(D46,"":""),0,1)*60+INDEX(SPLIT(D46,"":""),0,2)"),365.458)</f>
        <v>365.458</v>
      </c>
      <c r="F46" s="5"/>
    </row>
    <row r="47">
      <c r="A47" s="6" t="s">
        <v>126</v>
      </c>
      <c r="B47" s="6" t="s">
        <v>187</v>
      </c>
      <c r="C47" s="6" t="s">
        <v>171</v>
      </c>
      <c r="D47" s="6" t="s">
        <v>188</v>
      </c>
      <c r="E47" s="7">
        <f>IFERROR(__xludf.DUMMYFUNCTION("INDEX(SPLIT(D47,"":""),0,1)*60+INDEX(SPLIT(D47,"":""),0,2)"),367.54)</f>
        <v>367.54</v>
      </c>
      <c r="F47" s="9"/>
    </row>
    <row r="48">
      <c r="A48" s="3" t="s">
        <v>38</v>
      </c>
      <c r="B48" s="3" t="s">
        <v>189</v>
      </c>
      <c r="C48" s="3" t="s">
        <v>171</v>
      </c>
      <c r="D48" s="3" t="s">
        <v>190</v>
      </c>
      <c r="E48" s="4">
        <f>IFERROR(__xludf.DUMMYFUNCTION("INDEX(SPLIT(D48,"":""),0,1)*60+INDEX(SPLIT(D48,"":""),0,2)"),368.343)</f>
        <v>368.343</v>
      </c>
      <c r="F48" s="5"/>
    </row>
    <row r="49">
      <c r="A49" s="6" t="s">
        <v>127</v>
      </c>
      <c r="B49" s="6" t="s">
        <v>191</v>
      </c>
      <c r="C49" s="6" t="s">
        <v>192</v>
      </c>
      <c r="D49" s="6" t="s">
        <v>193</v>
      </c>
      <c r="E49" s="7">
        <f>IFERROR(__xludf.DUMMYFUNCTION("INDEX(SPLIT(D49,"":""),0,1)*60+INDEX(SPLIT(D49,"":""),0,2)"),369.902)</f>
        <v>369.902</v>
      </c>
      <c r="F49" s="9"/>
    </row>
    <row r="50">
      <c r="A50" s="3" t="s">
        <v>122</v>
      </c>
      <c r="B50" s="3" t="s">
        <v>192</v>
      </c>
      <c r="C50" s="3" t="s">
        <v>192</v>
      </c>
      <c r="D50" s="3" t="s">
        <v>194</v>
      </c>
      <c r="E50" s="4">
        <f>IFERROR(__xludf.DUMMYFUNCTION("INDEX(SPLIT(D50,"":""),0,1)*60+INDEX(SPLIT(D50,"":""),0,2)"),370.199)</f>
        <v>370.199</v>
      </c>
      <c r="F50" s="5"/>
    </row>
    <row r="51">
      <c r="A51" s="6" t="s">
        <v>197</v>
      </c>
      <c r="B51" s="6" t="s">
        <v>198</v>
      </c>
      <c r="C51" s="6" t="s">
        <v>124</v>
      </c>
      <c r="D51" s="6" t="s">
        <v>199</v>
      </c>
      <c r="E51" s="7">
        <f>IFERROR(__xludf.DUMMYFUNCTION("INDEX(SPLIT(D51,"":""),0,1)*60+INDEX(SPLIT(D51,"":""),0,2)"),372.2)</f>
        <v>372.2</v>
      </c>
      <c r="F51" s="9"/>
    </row>
    <row r="52">
      <c r="A52" s="3" t="s">
        <v>90</v>
      </c>
      <c r="B52" s="3" t="s">
        <v>200</v>
      </c>
      <c r="C52" s="3" t="s">
        <v>201</v>
      </c>
      <c r="D52" s="3" t="s">
        <v>203</v>
      </c>
      <c r="E52" s="4">
        <f>IFERROR(__xludf.DUMMYFUNCTION("INDEX(SPLIT(D52,"":""),0,1)*60+INDEX(SPLIT(D52,"":""),0,2)"),372.238)</f>
        <v>372.238</v>
      </c>
      <c r="F52" s="5"/>
    </row>
    <row r="53">
      <c r="A53" s="6" t="s">
        <v>202</v>
      </c>
      <c r="B53" s="6" t="s">
        <v>205</v>
      </c>
      <c r="C53" s="6" t="s">
        <v>124</v>
      </c>
      <c r="D53" s="6" t="s">
        <v>206</v>
      </c>
      <c r="E53" s="7">
        <f>IFERROR(__xludf.DUMMYFUNCTION("INDEX(SPLIT(D53,"":""),0,1)*60+INDEX(SPLIT(D53,"":""),0,2)"),372.242)</f>
        <v>372.242</v>
      </c>
      <c r="F53" s="9"/>
    </row>
    <row r="54">
      <c r="A54" s="16" t="s">
        <v>208</v>
      </c>
      <c r="B54" s="3" t="s">
        <v>209</v>
      </c>
      <c r="C54" s="3" t="s">
        <v>124</v>
      </c>
      <c r="D54" s="3" t="s">
        <v>210</v>
      </c>
      <c r="E54" s="4">
        <f>IFERROR(__xludf.DUMMYFUNCTION("INDEX(SPLIT(D54,"":""),0,1)*60+INDEX(SPLIT(D54,"":""),0,2)"),373.675)</f>
        <v>373.675</v>
      </c>
      <c r="F54" s="5"/>
    </row>
    <row r="55">
      <c r="A55" s="6" t="s">
        <v>48</v>
      </c>
      <c r="B55" s="6" t="s">
        <v>211</v>
      </c>
      <c r="C55" s="6" t="s">
        <v>212</v>
      </c>
      <c r="D55" s="6" t="s">
        <v>213</v>
      </c>
      <c r="E55" s="7">
        <f>IFERROR(__xludf.DUMMYFUNCTION("INDEX(SPLIT(D55,"":""),0,1)*60+INDEX(SPLIT(D55,"":""),0,2)"),377.999)</f>
        <v>377.999</v>
      </c>
      <c r="F55" s="9"/>
    </row>
    <row r="56">
      <c r="A56" s="3" t="s">
        <v>214</v>
      </c>
      <c r="B56" s="3" t="s">
        <v>216</v>
      </c>
      <c r="C56" s="3" t="s">
        <v>212</v>
      </c>
      <c r="D56" s="3" t="s">
        <v>217</v>
      </c>
      <c r="E56" s="4">
        <f>IFERROR(__xludf.DUMMYFUNCTION("INDEX(SPLIT(D56,"":""),0,1)*60+INDEX(SPLIT(D56,"":""),0,2)"),378.481)</f>
        <v>378.481</v>
      </c>
      <c r="F56" s="5"/>
    </row>
    <row r="57">
      <c r="A57" s="6" t="s">
        <v>214</v>
      </c>
      <c r="B57" s="6" t="s">
        <v>218</v>
      </c>
      <c r="C57" s="6" t="s">
        <v>220</v>
      </c>
      <c r="D57" s="6" t="s">
        <v>221</v>
      </c>
      <c r="E57" s="7">
        <f>IFERROR(__xludf.DUMMYFUNCTION("INDEX(SPLIT(D57,"":""),0,1)*60+INDEX(SPLIT(D57,"":""),0,2)"),378.561)</f>
        <v>378.561</v>
      </c>
      <c r="F57" s="9"/>
    </row>
    <row r="58">
      <c r="A58" s="3" t="s">
        <v>38</v>
      </c>
      <c r="B58" s="3" t="s">
        <v>222</v>
      </c>
      <c r="C58" s="3" t="s">
        <v>212</v>
      </c>
      <c r="D58" s="3" t="s">
        <v>223</v>
      </c>
      <c r="E58" s="4">
        <f>IFERROR(__xludf.DUMMYFUNCTION("INDEX(SPLIT(D58,"":""),0,1)*60+INDEX(SPLIT(D58,"":""),0,2)"),378.638)</f>
        <v>378.638</v>
      </c>
      <c r="F58" s="5"/>
    </row>
    <row r="59">
      <c r="A59" s="6" t="s">
        <v>91</v>
      </c>
      <c r="B59" s="6" t="s">
        <v>140</v>
      </c>
      <c r="C59" s="6" t="s">
        <v>141</v>
      </c>
      <c r="D59" s="6" t="s">
        <v>226</v>
      </c>
      <c r="E59" s="7">
        <f>IFERROR(__xludf.DUMMYFUNCTION("INDEX(SPLIT(D59,"":""),0,1)*60+INDEX(SPLIT(D59,"":""),0,2)"),379.14)</f>
        <v>379.14</v>
      </c>
      <c r="F59" s="9"/>
    </row>
    <row r="60">
      <c r="A60" s="3" t="s">
        <v>38</v>
      </c>
      <c r="B60" s="3" t="s">
        <v>104</v>
      </c>
      <c r="C60" s="3" t="s">
        <v>105</v>
      </c>
      <c r="D60" s="3" t="s">
        <v>227</v>
      </c>
      <c r="E60" s="4">
        <f>IFERROR(__xludf.DUMMYFUNCTION("INDEX(SPLIT(D60,"":""),0,1)*60+INDEX(SPLIT(D60,"":""),0,2)"),379.301)</f>
        <v>379.301</v>
      </c>
      <c r="F60" s="5"/>
    </row>
    <row r="61">
      <c r="A61" s="6" t="s">
        <v>38</v>
      </c>
      <c r="B61" s="6" t="s">
        <v>109</v>
      </c>
      <c r="C61" s="6" t="s">
        <v>105</v>
      </c>
      <c r="D61" s="6" t="s">
        <v>229</v>
      </c>
      <c r="E61" s="7">
        <f>IFERROR(__xludf.DUMMYFUNCTION("INDEX(SPLIT(D61,"":""),0,1)*60+INDEX(SPLIT(D61,"":""),0,2)"),379.519)</f>
        <v>379.519</v>
      </c>
      <c r="F61" s="9"/>
    </row>
    <row r="62">
      <c r="A62" s="3" t="s">
        <v>91</v>
      </c>
      <c r="B62" s="3" t="s">
        <v>230</v>
      </c>
      <c r="C62" s="3" t="s">
        <v>212</v>
      </c>
      <c r="D62" s="3" t="s">
        <v>231</v>
      </c>
      <c r="E62" s="4">
        <f>IFERROR(__xludf.DUMMYFUNCTION("INDEX(SPLIT(D62,"":""),0,1)*60+INDEX(SPLIT(D62,"":""),0,2)"),379.619)</f>
        <v>379.619</v>
      </c>
      <c r="F62" s="5"/>
    </row>
    <row r="63">
      <c r="A63" s="6" t="s">
        <v>36</v>
      </c>
      <c r="B63" s="6" t="s">
        <v>232</v>
      </c>
      <c r="C63" s="6" t="s">
        <v>141</v>
      </c>
      <c r="D63" s="6" t="s">
        <v>233</v>
      </c>
      <c r="E63" s="7">
        <f>IFERROR(__xludf.DUMMYFUNCTION("INDEX(SPLIT(D63,"":""),0,1)*60+INDEX(SPLIT(D63,"":""),0,2)"),379.859)</f>
        <v>379.859</v>
      </c>
      <c r="F63" s="9"/>
    </row>
    <row r="64">
      <c r="A64" s="3" t="s">
        <v>234</v>
      </c>
      <c r="B64" s="3" t="s">
        <v>235</v>
      </c>
      <c r="C64" s="3" t="s">
        <v>124</v>
      </c>
      <c r="D64" s="3" t="s">
        <v>236</v>
      </c>
      <c r="E64" s="4">
        <f>IFERROR(__xludf.DUMMYFUNCTION("INDEX(SPLIT(D64,"":""),0,1)*60+INDEX(SPLIT(D64,"":""),0,2)"),380.06)</f>
        <v>380.06</v>
      </c>
      <c r="F64" s="18" t="s">
        <v>237</v>
      </c>
    </row>
    <row r="65">
      <c r="A65" s="6" t="s">
        <v>157</v>
      </c>
      <c r="B65" s="6" t="s">
        <v>239</v>
      </c>
      <c r="C65" s="6" t="s">
        <v>212</v>
      </c>
      <c r="D65" s="6" t="s">
        <v>240</v>
      </c>
      <c r="E65" s="7">
        <f>IFERROR(__xludf.DUMMYFUNCTION("INDEX(SPLIT(D65,"":""),0,1)*60+INDEX(SPLIT(D65,"":""),0,2)"),381.339)</f>
        <v>381.339</v>
      </c>
      <c r="F65" s="9"/>
    </row>
    <row r="66">
      <c r="A66" s="3" t="s">
        <v>157</v>
      </c>
      <c r="B66" s="3" t="s">
        <v>241</v>
      </c>
      <c r="C66" s="3" t="s">
        <v>105</v>
      </c>
      <c r="D66" s="3" t="s">
        <v>242</v>
      </c>
      <c r="E66" s="4">
        <f>IFERROR(__xludf.DUMMYFUNCTION("INDEX(SPLIT(D66,"":""),0,1)*60+INDEX(SPLIT(D66,"":""),0,2)"),382.14)</f>
        <v>382.14</v>
      </c>
      <c r="F66" s="18" t="s">
        <v>243</v>
      </c>
    </row>
    <row r="67">
      <c r="A67" s="6" t="s">
        <v>38</v>
      </c>
      <c r="B67" s="6" t="s">
        <v>219</v>
      </c>
      <c r="C67" s="6" t="s">
        <v>166</v>
      </c>
      <c r="D67" s="6" t="s">
        <v>245</v>
      </c>
      <c r="E67" s="7">
        <f>IFERROR(__xludf.DUMMYFUNCTION("INDEX(SPLIT(D67,"":""),0,1)*60+INDEX(SPLIT(D67,"":""),0,2)"),382.301)</f>
        <v>382.301</v>
      </c>
      <c r="F67" s="9"/>
    </row>
    <row r="68">
      <c r="A68" s="3" t="s">
        <v>46</v>
      </c>
      <c r="B68" s="3" t="s">
        <v>246</v>
      </c>
      <c r="C68" s="3" t="s">
        <v>171</v>
      </c>
      <c r="D68" s="3" t="s">
        <v>247</v>
      </c>
      <c r="E68" s="4">
        <f>IFERROR(__xludf.DUMMYFUNCTION("INDEX(SPLIT(D68,"":""),0,1)*60+INDEX(SPLIT(D68,"":""),0,2)"),382.46)</f>
        <v>382.46</v>
      </c>
      <c r="F68" s="5"/>
    </row>
    <row r="69">
      <c r="A69" s="6" t="s">
        <v>197</v>
      </c>
      <c r="B69" s="6" t="s">
        <v>248</v>
      </c>
      <c r="C69" s="6" t="s">
        <v>212</v>
      </c>
      <c r="D69" s="6" t="s">
        <v>249</v>
      </c>
      <c r="E69" s="7">
        <f>IFERROR(__xludf.DUMMYFUNCTION("INDEX(SPLIT(D69,"":""),0,1)*60+INDEX(SPLIT(D69,"":""),0,2)"),382.92)</f>
        <v>382.92</v>
      </c>
      <c r="F69" s="9"/>
    </row>
    <row r="70">
      <c r="A70" s="3" t="s">
        <v>214</v>
      </c>
      <c r="B70" s="3" t="s">
        <v>250</v>
      </c>
      <c r="C70" s="3" t="s">
        <v>105</v>
      </c>
      <c r="D70" s="3" t="s">
        <v>251</v>
      </c>
      <c r="E70" s="4">
        <f>IFERROR(__xludf.DUMMYFUNCTION("INDEX(SPLIT(D70,"":""),0,1)*60+INDEX(SPLIT(D70,"":""),0,2)"),383.06)</f>
        <v>383.06</v>
      </c>
      <c r="F70" s="18"/>
    </row>
    <row r="71">
      <c r="A71" s="6" t="s">
        <v>38</v>
      </c>
      <c r="B71" s="17">
        <v>962.0</v>
      </c>
      <c r="C71" s="6" t="s">
        <v>141</v>
      </c>
      <c r="D71" s="6" t="s">
        <v>253</v>
      </c>
      <c r="E71" s="7">
        <f>IFERROR(__xludf.DUMMYFUNCTION("INDEX(SPLIT(D71,"":""),0,1)*60+INDEX(SPLIT(D71,"":""),0,2)"),385.177)</f>
        <v>385.177</v>
      </c>
      <c r="F71" s="9"/>
    </row>
    <row r="72">
      <c r="A72" s="3" t="s">
        <v>38</v>
      </c>
      <c r="B72" s="3" t="s">
        <v>151</v>
      </c>
      <c r="C72" s="3" t="s">
        <v>63</v>
      </c>
      <c r="D72" s="3" t="s">
        <v>254</v>
      </c>
      <c r="E72" s="4">
        <f>IFERROR(__xludf.DUMMYFUNCTION("INDEX(SPLIT(D72,"":""),0,1)*60+INDEX(SPLIT(D72,"":""),0,2)"),385.719)</f>
        <v>385.719</v>
      </c>
      <c r="F72" s="5"/>
    </row>
    <row r="73">
      <c r="A73" s="6" t="s">
        <v>38</v>
      </c>
      <c r="B73" s="6" t="s">
        <v>255</v>
      </c>
      <c r="C73" s="6" t="s">
        <v>256</v>
      </c>
      <c r="D73" s="6" t="s">
        <v>257</v>
      </c>
      <c r="E73" s="7">
        <f>IFERROR(__xludf.DUMMYFUNCTION("INDEX(SPLIT(D73,"":""),0,1)*60+INDEX(SPLIT(D73,"":""),0,2)"),386.379)</f>
        <v>386.379</v>
      </c>
      <c r="F73" s="9"/>
    </row>
    <row r="74">
      <c r="A74" s="3" t="s">
        <v>38</v>
      </c>
      <c r="B74" s="3" t="s">
        <v>163</v>
      </c>
      <c r="C74" s="3" t="s">
        <v>105</v>
      </c>
      <c r="D74" s="3" t="s">
        <v>259</v>
      </c>
      <c r="E74" s="4">
        <f>IFERROR(__xludf.DUMMYFUNCTION("INDEX(SPLIT(D74,"":""),0,1)*60+INDEX(SPLIT(D74,"":""),0,2)"),386.82)</f>
        <v>386.82</v>
      </c>
      <c r="F74" s="5"/>
    </row>
    <row r="75">
      <c r="A75" s="6" t="s">
        <v>90</v>
      </c>
      <c r="B75" s="6" t="s">
        <v>165</v>
      </c>
      <c r="C75" s="6" t="s">
        <v>166</v>
      </c>
      <c r="D75" s="6" t="s">
        <v>260</v>
      </c>
      <c r="E75" s="7">
        <f>IFERROR(__xludf.DUMMYFUNCTION("INDEX(SPLIT(D75,"":""),0,1)*60+INDEX(SPLIT(D75,"":""),0,2)"),386.901)</f>
        <v>386.901</v>
      </c>
      <c r="F75" s="9"/>
    </row>
    <row r="76">
      <c r="A76" s="3" t="s">
        <v>64</v>
      </c>
      <c r="B76" s="3" t="s">
        <v>262</v>
      </c>
      <c r="C76" s="3" t="s">
        <v>263</v>
      </c>
      <c r="D76" s="3" t="s">
        <v>264</v>
      </c>
      <c r="E76" s="4">
        <f>IFERROR(__xludf.DUMMYFUNCTION("INDEX(SPLIT(D76,"":""),0,1)*60+INDEX(SPLIT(D76,"":""),0,2)"),388.057)</f>
        <v>388.057</v>
      </c>
      <c r="F76" s="5"/>
    </row>
    <row r="77">
      <c r="A77" s="6" t="s">
        <v>91</v>
      </c>
      <c r="B77" s="6" t="s">
        <v>121</v>
      </c>
      <c r="C77" s="6" t="s">
        <v>82</v>
      </c>
      <c r="D77" s="6" t="s">
        <v>266</v>
      </c>
      <c r="E77" s="7">
        <f>IFERROR(__xludf.DUMMYFUNCTION("INDEX(SPLIT(D77,"":""),0,1)*60+INDEX(SPLIT(D77,"":""),0,2)"),388.359)</f>
        <v>388.359</v>
      </c>
      <c r="F77" s="9"/>
    </row>
    <row r="78">
      <c r="A78" s="3" t="s">
        <v>91</v>
      </c>
      <c r="B78" s="3" t="s">
        <v>268</v>
      </c>
      <c r="C78" s="3" t="s">
        <v>269</v>
      </c>
      <c r="D78" s="3" t="s">
        <v>270</v>
      </c>
      <c r="E78" s="4">
        <f>IFERROR(__xludf.DUMMYFUNCTION("INDEX(SPLIT(D78,"":""),0,1)*60+INDEX(SPLIT(D78,"":""),0,2)"),388.51800000000003)</f>
        <v>388.518</v>
      </c>
      <c r="F78" s="5"/>
    </row>
    <row r="79">
      <c r="A79" s="6" t="s">
        <v>46</v>
      </c>
      <c r="B79" s="6" t="s">
        <v>265</v>
      </c>
      <c r="C79" s="6" t="s">
        <v>141</v>
      </c>
      <c r="D79" s="6" t="s">
        <v>271</v>
      </c>
      <c r="E79" s="7">
        <f>IFERROR(__xludf.DUMMYFUNCTION("INDEX(SPLIT(D79,"":""),0,1)*60+INDEX(SPLIT(D79,"":""),0,2)"),388.879)</f>
        <v>388.879</v>
      </c>
      <c r="F79" s="9"/>
    </row>
    <row r="80">
      <c r="A80" s="3" t="s">
        <v>153</v>
      </c>
      <c r="B80" s="3" t="s">
        <v>269</v>
      </c>
      <c r="C80" s="3" t="s">
        <v>269</v>
      </c>
      <c r="D80" s="3" t="s">
        <v>273</v>
      </c>
      <c r="E80" s="4">
        <f>IFERROR(__xludf.DUMMYFUNCTION("INDEX(SPLIT(D80,"":""),0,1)*60+INDEX(SPLIT(D80,"":""),0,2)"),389.3)</f>
        <v>389.3</v>
      </c>
      <c r="F80" s="5"/>
    </row>
    <row r="81">
      <c r="A81" s="6" t="s">
        <v>276</v>
      </c>
      <c r="B81" s="6" t="s">
        <v>277</v>
      </c>
      <c r="C81" s="6" t="s">
        <v>278</v>
      </c>
      <c r="D81" s="6" t="s">
        <v>279</v>
      </c>
      <c r="E81" s="7">
        <f>IFERROR(__xludf.DUMMYFUNCTION("INDEX(SPLIT(D81,"":""),0,1)*60+INDEX(SPLIT(D81,"":""),0,2)"),389.66)</f>
        <v>389.66</v>
      </c>
      <c r="F81" s="9"/>
    </row>
    <row r="82">
      <c r="A82" s="3" t="s">
        <v>126</v>
      </c>
      <c r="B82" s="3" t="s">
        <v>281</v>
      </c>
      <c r="C82" s="3" t="s">
        <v>269</v>
      </c>
      <c r="D82" s="3" t="s">
        <v>282</v>
      </c>
      <c r="E82" s="4">
        <f>IFERROR(__xludf.DUMMYFUNCTION("INDEX(SPLIT(D82,"":""),0,1)*60+INDEX(SPLIT(D82,"":""),0,2)"),389.699)</f>
        <v>389.699</v>
      </c>
      <c r="F82" s="5"/>
    </row>
    <row r="83">
      <c r="A83" s="6" t="s">
        <v>126</v>
      </c>
      <c r="B83" s="6" t="s">
        <v>184</v>
      </c>
      <c r="C83" s="6" t="s">
        <v>82</v>
      </c>
      <c r="D83" s="6" t="s">
        <v>283</v>
      </c>
      <c r="E83" s="7">
        <f>IFERROR(__xludf.DUMMYFUNCTION("INDEX(SPLIT(D83,"":""),0,1)*60+INDEX(SPLIT(D83,"":""),0,2)"),390.136)</f>
        <v>390.136</v>
      </c>
      <c r="F83" s="19" t="s">
        <v>284</v>
      </c>
    </row>
    <row r="84">
      <c r="A84" s="3" t="s">
        <v>46</v>
      </c>
      <c r="B84" s="3" t="s">
        <v>267</v>
      </c>
      <c r="C84" s="3" t="s">
        <v>141</v>
      </c>
      <c r="D84" s="3" t="s">
        <v>285</v>
      </c>
      <c r="E84" s="4">
        <f>IFERROR(__xludf.DUMMYFUNCTION("INDEX(SPLIT(D84,"":""),0,1)*60+INDEX(SPLIT(D84,"":""),0,2)"),390.179)</f>
        <v>390.179</v>
      </c>
      <c r="F84" s="5"/>
    </row>
    <row r="85">
      <c r="A85" s="6" t="s">
        <v>157</v>
      </c>
      <c r="B85" s="6" t="s">
        <v>289</v>
      </c>
      <c r="C85" s="6" t="s">
        <v>269</v>
      </c>
      <c r="D85" s="6" t="s">
        <v>290</v>
      </c>
      <c r="E85" s="7">
        <f>IFERROR(__xludf.DUMMYFUNCTION("INDEX(SPLIT(D85,"":""),0,1)*60+INDEX(SPLIT(D85,"":""),0,2)"),390.303)</f>
        <v>390.303</v>
      </c>
      <c r="F85" s="9"/>
    </row>
    <row r="86">
      <c r="A86" s="3" t="s">
        <v>291</v>
      </c>
      <c r="B86" s="3" t="s">
        <v>292</v>
      </c>
      <c r="C86" s="3" t="s">
        <v>269</v>
      </c>
      <c r="D86" s="3" t="s">
        <v>293</v>
      </c>
      <c r="E86" s="4">
        <f>IFERROR(__xludf.DUMMYFUNCTION("INDEX(SPLIT(D86,"":""),0,1)*60+INDEX(SPLIT(D86,"":""),0,2)"),390.576)</f>
        <v>390.576</v>
      </c>
      <c r="F86" s="5"/>
    </row>
    <row r="87">
      <c r="A87" s="6" t="s">
        <v>214</v>
      </c>
      <c r="B87" s="6" t="s">
        <v>244</v>
      </c>
      <c r="C87" s="6" t="s">
        <v>141</v>
      </c>
      <c r="D87" s="6" t="s">
        <v>294</v>
      </c>
      <c r="E87" s="7">
        <f>IFERROR(__xludf.DUMMYFUNCTION("INDEX(SPLIT(D87,"":""),0,1)*60+INDEX(SPLIT(D87,"":""),0,2)"),390.82)</f>
        <v>390.82</v>
      </c>
      <c r="F87" s="9"/>
    </row>
    <row r="88">
      <c r="A88" s="3" t="s">
        <v>91</v>
      </c>
      <c r="B88" s="3" t="s">
        <v>215</v>
      </c>
      <c r="C88" s="3" t="s">
        <v>63</v>
      </c>
      <c r="D88" s="3" t="s">
        <v>296</v>
      </c>
      <c r="E88" s="4">
        <f>IFERROR(__xludf.DUMMYFUNCTION("INDEX(SPLIT(D88,"":""),0,1)*60+INDEX(SPLIT(D88,"":""),0,2)"),391.382)</f>
        <v>391.382</v>
      </c>
      <c r="F88" s="5"/>
    </row>
    <row r="89">
      <c r="A89" s="6" t="s">
        <v>36</v>
      </c>
      <c r="B89" s="6" t="s">
        <v>297</v>
      </c>
      <c r="C89" s="6" t="s">
        <v>269</v>
      </c>
      <c r="D89" s="6" t="s">
        <v>298</v>
      </c>
      <c r="E89" s="7">
        <f>IFERROR(__xludf.DUMMYFUNCTION("INDEX(SPLIT(D89,"":""),0,1)*60+INDEX(SPLIT(D89,"":""),0,2)"),391.463)</f>
        <v>391.463</v>
      </c>
      <c r="F89" s="9"/>
    </row>
    <row r="90">
      <c r="A90" s="3" t="s">
        <v>46</v>
      </c>
      <c r="B90" s="3" t="s">
        <v>299</v>
      </c>
      <c r="C90" s="3" t="s">
        <v>269</v>
      </c>
      <c r="D90" s="3" t="s">
        <v>300</v>
      </c>
      <c r="E90" s="4">
        <f>IFERROR(__xludf.DUMMYFUNCTION("INDEX(SPLIT(D90,"":""),0,1)*60+INDEX(SPLIT(D90,"":""),0,2)"),391.739)</f>
        <v>391.739</v>
      </c>
      <c r="F90" s="5"/>
    </row>
    <row r="91">
      <c r="A91" s="6" t="s">
        <v>38</v>
      </c>
      <c r="B91" s="6" t="s">
        <v>160</v>
      </c>
      <c r="C91" s="6" t="s">
        <v>105</v>
      </c>
      <c r="D91" s="6" t="s">
        <v>301</v>
      </c>
      <c r="E91" s="7">
        <f>IFERROR(__xludf.DUMMYFUNCTION("INDEX(SPLIT(D91,"":""),0,1)*60+INDEX(SPLIT(D91,"":""),0,2)"),391.82)</f>
        <v>391.82</v>
      </c>
      <c r="F91" s="9"/>
    </row>
    <row r="92">
      <c r="A92" s="3" t="s">
        <v>38</v>
      </c>
      <c r="B92" s="3" t="s">
        <v>302</v>
      </c>
      <c r="C92" s="3" t="s">
        <v>269</v>
      </c>
      <c r="D92" s="3" t="s">
        <v>303</v>
      </c>
      <c r="E92" s="4">
        <f>IFERROR(__xludf.DUMMYFUNCTION("INDEX(SPLIT(D92,"":""),0,1)*60+INDEX(SPLIT(D92,"":""),0,2)"),392.24)</f>
        <v>392.24</v>
      </c>
      <c r="F92" s="5"/>
    </row>
    <row r="93">
      <c r="A93" s="6" t="s">
        <v>42</v>
      </c>
      <c r="B93" s="6" t="s">
        <v>305</v>
      </c>
      <c r="C93" s="6" t="s">
        <v>269</v>
      </c>
      <c r="D93" s="6" t="s">
        <v>306</v>
      </c>
      <c r="E93" s="7">
        <f>IFERROR(__xludf.DUMMYFUNCTION("INDEX(SPLIT(D93,"":""),0,1)*60+INDEX(SPLIT(D93,"":""),0,2)"),393.02)</f>
        <v>393.02</v>
      </c>
      <c r="F93" s="9"/>
    </row>
    <row r="94">
      <c r="A94" s="3" t="s">
        <v>307</v>
      </c>
      <c r="B94" s="3" t="s">
        <v>308</v>
      </c>
      <c r="C94" s="3" t="s">
        <v>269</v>
      </c>
      <c r="D94" s="3" t="s">
        <v>309</v>
      </c>
      <c r="E94" s="4">
        <f>IFERROR(__xludf.DUMMYFUNCTION("INDEX(SPLIT(D94,"":""),0,1)*60+INDEX(SPLIT(D94,"":""),0,2)"),393.081)</f>
        <v>393.081</v>
      </c>
      <c r="F94" s="5"/>
    </row>
    <row r="95">
      <c r="A95" s="6" t="s">
        <v>38</v>
      </c>
      <c r="B95" s="6" t="s">
        <v>310</v>
      </c>
      <c r="C95" s="6" t="s">
        <v>269</v>
      </c>
      <c r="D95" s="6" t="s">
        <v>311</v>
      </c>
      <c r="E95" s="7">
        <f>IFERROR(__xludf.DUMMYFUNCTION("INDEX(SPLIT(D95,"":""),0,1)*60+INDEX(SPLIT(D95,"":""),0,2)"),393.58)</f>
        <v>393.58</v>
      </c>
      <c r="F95" s="9"/>
    </row>
    <row r="96">
      <c r="A96" s="3" t="s">
        <v>122</v>
      </c>
      <c r="B96" s="3" t="s">
        <v>312</v>
      </c>
      <c r="C96" s="3" t="s">
        <v>269</v>
      </c>
      <c r="D96" s="3" t="s">
        <v>313</v>
      </c>
      <c r="E96" s="4">
        <f>IFERROR(__xludf.DUMMYFUNCTION("INDEX(SPLIT(D96,"":""),0,1)*60+INDEX(SPLIT(D96,"":""),0,2)"),393.581)</f>
        <v>393.581</v>
      </c>
      <c r="F96" s="5"/>
    </row>
    <row r="97">
      <c r="A97" s="6" t="s">
        <v>36</v>
      </c>
      <c r="B97" s="6" t="s">
        <v>315</v>
      </c>
      <c r="C97" s="6" t="s">
        <v>269</v>
      </c>
      <c r="D97" s="6" t="s">
        <v>316</v>
      </c>
      <c r="E97" s="7">
        <f>IFERROR(__xludf.DUMMYFUNCTION("INDEX(SPLIT(D97,"":""),0,1)*60+INDEX(SPLIT(D97,"":""),0,2)"),393.819)</f>
        <v>393.819</v>
      </c>
      <c r="F97" s="9"/>
    </row>
    <row r="98">
      <c r="A98" s="3" t="s">
        <v>38</v>
      </c>
      <c r="B98" s="3" t="s">
        <v>62</v>
      </c>
      <c r="C98" s="3" t="s">
        <v>63</v>
      </c>
      <c r="D98" s="3" t="s">
        <v>317</v>
      </c>
      <c r="E98" s="4">
        <f>IFERROR(__xludf.DUMMYFUNCTION("INDEX(SPLIT(D98,"":""),0,1)*60+INDEX(SPLIT(D98,"":""),0,2)"),394.51800000000003)</f>
        <v>394.518</v>
      </c>
      <c r="F98" s="5"/>
    </row>
    <row r="99">
      <c r="A99" s="6" t="s">
        <v>90</v>
      </c>
      <c r="B99" s="6" t="s">
        <v>319</v>
      </c>
      <c r="C99" s="6" t="s">
        <v>269</v>
      </c>
      <c r="D99" s="6" t="s">
        <v>320</v>
      </c>
      <c r="E99" s="7">
        <f>IFERROR(__xludf.DUMMYFUNCTION("INDEX(SPLIT(D99,"":""),0,1)*60+INDEX(SPLIT(D99,"":""),0,2)"),394.781)</f>
        <v>394.781</v>
      </c>
      <c r="F99" s="9"/>
    </row>
    <row r="100">
      <c r="A100" s="3" t="s">
        <v>91</v>
      </c>
      <c r="B100" s="3" t="s">
        <v>93</v>
      </c>
      <c r="C100" s="3" t="s">
        <v>63</v>
      </c>
      <c r="D100" s="3" t="s">
        <v>323</v>
      </c>
      <c r="E100" s="4">
        <f>IFERROR(__xludf.DUMMYFUNCTION("INDEX(SPLIT(D100,"":""),0,1)*60+INDEX(SPLIT(D100,"":""),0,2)"),394.877)</f>
        <v>394.877</v>
      </c>
      <c r="F100" s="5"/>
    </row>
    <row r="101">
      <c r="A101" s="6" t="s">
        <v>197</v>
      </c>
      <c r="B101" s="6" t="s">
        <v>325</v>
      </c>
      <c r="C101" s="6" t="s">
        <v>269</v>
      </c>
      <c r="D101" s="6" t="s">
        <v>326</v>
      </c>
      <c r="E101" s="7">
        <f>IFERROR(__xludf.DUMMYFUNCTION("INDEX(SPLIT(D101,"":""),0,1)*60+INDEX(SPLIT(D101,"":""),0,2)"),395.039)</f>
        <v>395.039</v>
      </c>
      <c r="F101" s="9"/>
    </row>
    <row r="102">
      <c r="A102" s="3" t="s">
        <v>118</v>
      </c>
      <c r="B102" s="3" t="s">
        <v>327</v>
      </c>
      <c r="C102" s="3" t="s">
        <v>269</v>
      </c>
      <c r="D102" s="3" t="s">
        <v>329</v>
      </c>
      <c r="E102" s="4">
        <f>IFERROR(__xludf.DUMMYFUNCTION("INDEX(SPLIT(D102,"":""),0,1)*60+INDEX(SPLIT(D102,"":""),0,2)"),395.381)</f>
        <v>395.381</v>
      </c>
      <c r="F102" s="5"/>
    </row>
    <row r="103">
      <c r="A103" s="6" t="s">
        <v>91</v>
      </c>
      <c r="B103" s="6" t="s">
        <v>330</v>
      </c>
      <c r="C103" s="6" t="s">
        <v>288</v>
      </c>
      <c r="D103" s="6" t="s">
        <v>333</v>
      </c>
      <c r="E103" s="7">
        <f>IFERROR(__xludf.DUMMYFUNCTION("INDEX(SPLIT(D103,"":""),0,1)*60+INDEX(SPLIT(D103,"":""),0,2)"),395.401)</f>
        <v>395.401</v>
      </c>
      <c r="F103" s="9"/>
    </row>
    <row r="104">
      <c r="A104" s="3" t="s">
        <v>126</v>
      </c>
      <c r="B104" s="3" t="s">
        <v>295</v>
      </c>
      <c r="C104" s="3" t="s">
        <v>82</v>
      </c>
      <c r="D104" s="3" t="s">
        <v>335</v>
      </c>
      <c r="E104" s="4">
        <f>IFERROR(__xludf.DUMMYFUNCTION("INDEX(SPLIT(D104,"":""),0,1)*60+INDEX(SPLIT(D104,"":""),0,2)"),395.599)</f>
        <v>395.599</v>
      </c>
      <c r="F104" s="5"/>
    </row>
    <row r="105">
      <c r="A105" s="6" t="s">
        <v>91</v>
      </c>
      <c r="B105" s="6" t="s">
        <v>336</v>
      </c>
      <c r="C105" s="6" t="s">
        <v>288</v>
      </c>
      <c r="D105" s="6" t="s">
        <v>337</v>
      </c>
      <c r="E105" s="7">
        <f>IFERROR(__xludf.DUMMYFUNCTION("INDEX(SPLIT(D105,"":""),0,1)*60+INDEX(SPLIT(D105,"":""),0,2)"),395.778)</f>
        <v>395.778</v>
      </c>
      <c r="F105" s="9"/>
    </row>
    <row r="106">
      <c r="A106" s="3" t="s">
        <v>157</v>
      </c>
      <c r="B106" s="3" t="s">
        <v>338</v>
      </c>
      <c r="C106" s="3" t="s">
        <v>269</v>
      </c>
      <c r="D106" s="3" t="s">
        <v>339</v>
      </c>
      <c r="E106" s="4">
        <f>IFERROR(__xludf.DUMMYFUNCTION("INDEX(SPLIT(D106,"":""),0,1)*60+INDEX(SPLIT(D106,"":""),0,2)"),396.325)</f>
        <v>396.325</v>
      </c>
      <c r="F106" s="5"/>
    </row>
    <row r="107">
      <c r="A107" s="6" t="s">
        <v>91</v>
      </c>
      <c r="B107" s="6" t="s">
        <v>341</v>
      </c>
      <c r="C107" s="6" t="s">
        <v>288</v>
      </c>
      <c r="D107" s="6" t="s">
        <v>342</v>
      </c>
      <c r="E107" s="7">
        <f>IFERROR(__xludf.DUMMYFUNCTION("INDEX(SPLIT(D107,"":""),0,1)*60+INDEX(SPLIT(D107,"":""),0,2)"),396.459)</f>
        <v>396.459</v>
      </c>
      <c r="F107" s="9"/>
    </row>
    <row r="108">
      <c r="A108" s="3" t="s">
        <v>118</v>
      </c>
      <c r="B108" s="3" t="s">
        <v>344</v>
      </c>
      <c r="C108" s="3" t="s">
        <v>269</v>
      </c>
      <c r="D108" s="3" t="s">
        <v>345</v>
      </c>
      <c r="E108" s="4">
        <f>IFERROR(__xludf.DUMMYFUNCTION("INDEX(SPLIT(D108,"":""),0,1)*60+INDEX(SPLIT(D108,"":""),0,2)"),396.759)</f>
        <v>396.759</v>
      </c>
      <c r="F108" s="5"/>
    </row>
    <row r="109">
      <c r="A109" s="6" t="s">
        <v>46</v>
      </c>
      <c r="B109" s="6" t="s">
        <v>137</v>
      </c>
      <c r="C109" s="6" t="s">
        <v>105</v>
      </c>
      <c r="D109" s="6" t="s">
        <v>346</v>
      </c>
      <c r="E109" s="7">
        <f>IFERROR(__xludf.DUMMYFUNCTION("INDEX(SPLIT(D109,"":""),0,1)*60+INDEX(SPLIT(D109,"":""),0,2)"),397.439)</f>
        <v>397.439</v>
      </c>
      <c r="F109" s="9"/>
    </row>
    <row r="110">
      <c r="A110" s="3" t="s">
        <v>118</v>
      </c>
      <c r="B110" s="3" t="s">
        <v>348</v>
      </c>
      <c r="C110" s="3" t="s">
        <v>269</v>
      </c>
      <c r="D110" s="3" t="s">
        <v>349</v>
      </c>
      <c r="E110" s="4">
        <f>IFERROR(__xludf.DUMMYFUNCTION("INDEX(SPLIT(D110,"":""),0,1)*60+INDEX(SPLIT(D110,"":""),0,2)"),398.479)</f>
        <v>398.479</v>
      </c>
      <c r="F110" s="5"/>
    </row>
    <row r="111">
      <c r="A111" s="6" t="s">
        <v>234</v>
      </c>
      <c r="B111" s="6" t="s">
        <v>351</v>
      </c>
      <c r="C111" s="6" t="s">
        <v>82</v>
      </c>
      <c r="D111" s="6" t="s">
        <v>352</v>
      </c>
      <c r="E111" s="7">
        <f>IFERROR(__xludf.DUMMYFUNCTION("INDEX(SPLIT(D111,"":""),0,1)*60+INDEX(SPLIT(D111,"":""),0,2)"),399.34000000000003)</f>
        <v>399.34</v>
      </c>
      <c r="F111" s="9"/>
    </row>
    <row r="112">
      <c r="A112" s="3" t="s">
        <v>353</v>
      </c>
      <c r="B112" s="3" t="s">
        <v>354</v>
      </c>
      <c r="C112" s="3" t="s">
        <v>196</v>
      </c>
      <c r="D112" s="3" t="s">
        <v>356</v>
      </c>
      <c r="E112" s="4">
        <f>IFERROR(__xludf.DUMMYFUNCTION("INDEX(SPLIT(D112,"":""),0,1)*60+INDEX(SPLIT(D112,"":""),0,2)"),399.84000000000003)</f>
        <v>399.84</v>
      </c>
      <c r="F112" s="5"/>
    </row>
    <row r="113">
      <c r="A113" s="6" t="s">
        <v>46</v>
      </c>
      <c r="B113" s="6" t="s">
        <v>357</v>
      </c>
      <c r="C113" s="6" t="s">
        <v>105</v>
      </c>
      <c r="D113" s="6" t="s">
        <v>360</v>
      </c>
      <c r="E113" s="7">
        <f>IFERROR(__xludf.DUMMYFUNCTION("INDEX(SPLIT(D113,"":""),0,1)*60+INDEX(SPLIT(D113,"":""),0,2)"),400.22)</f>
        <v>400.22</v>
      </c>
      <c r="F113" s="9"/>
    </row>
    <row r="114">
      <c r="A114" s="3" t="s">
        <v>202</v>
      </c>
      <c r="B114" s="3" t="s">
        <v>204</v>
      </c>
      <c r="C114" s="3" t="s">
        <v>82</v>
      </c>
      <c r="D114" s="3" t="s">
        <v>361</v>
      </c>
      <c r="E114" s="4">
        <f>IFERROR(__xludf.DUMMYFUNCTION("INDEX(SPLIT(D114,"":""),0,1)*60+INDEX(SPLIT(D114,"":""),0,2)"),400.279)</f>
        <v>400.279</v>
      </c>
      <c r="F114" s="5"/>
    </row>
    <row r="115">
      <c r="A115" s="6" t="s">
        <v>91</v>
      </c>
      <c r="B115" s="6" t="s">
        <v>228</v>
      </c>
      <c r="C115" s="6" t="s">
        <v>82</v>
      </c>
      <c r="D115" s="6" t="s">
        <v>362</v>
      </c>
      <c r="E115" s="7">
        <f>IFERROR(__xludf.DUMMYFUNCTION("INDEX(SPLIT(D115,"":""),0,1)*60+INDEX(SPLIT(D115,"":""),0,2)"),400.698)</f>
        <v>400.698</v>
      </c>
      <c r="F115" s="9"/>
    </row>
    <row r="116">
      <c r="A116" s="3" t="s">
        <v>64</v>
      </c>
      <c r="B116" s="3" t="s">
        <v>363</v>
      </c>
      <c r="C116" s="3" t="s">
        <v>263</v>
      </c>
      <c r="D116" s="3" t="s">
        <v>364</v>
      </c>
      <c r="E116" s="4">
        <f>IFERROR(__xludf.DUMMYFUNCTION("INDEX(SPLIT(D116,"":""),0,1)*60+INDEX(SPLIT(D116,"":""),0,2)"),400.776)</f>
        <v>400.776</v>
      </c>
      <c r="F116" s="5"/>
    </row>
    <row r="117">
      <c r="A117" s="6" t="s">
        <v>366</v>
      </c>
      <c r="B117" s="6" t="s">
        <v>367</v>
      </c>
      <c r="C117" s="6" t="s">
        <v>269</v>
      </c>
      <c r="D117" s="6" t="s">
        <v>368</v>
      </c>
      <c r="E117" s="7">
        <f>IFERROR(__xludf.DUMMYFUNCTION("INDEX(SPLIT(D117,"":""),0,1)*60+INDEX(SPLIT(D117,"":""),0,2)"),400.82)</f>
        <v>400.82</v>
      </c>
      <c r="F117" s="9"/>
    </row>
    <row r="118">
      <c r="A118" s="3" t="s">
        <v>291</v>
      </c>
      <c r="B118" s="3" t="s">
        <v>369</v>
      </c>
      <c r="C118" s="3" t="s">
        <v>370</v>
      </c>
      <c r="D118" s="3" t="s">
        <v>372</v>
      </c>
      <c r="E118" s="4">
        <f>IFERROR(__xludf.DUMMYFUNCTION("INDEX(SPLIT(D118,"":""),0,1)*60+INDEX(SPLIT(D118,"":""),0,2)"),401.461)</f>
        <v>401.461</v>
      </c>
      <c r="F118" s="5"/>
    </row>
    <row r="119">
      <c r="A119" s="6" t="s">
        <v>38</v>
      </c>
      <c r="B119" s="6" t="s">
        <v>81</v>
      </c>
      <c r="C119" s="6" t="s">
        <v>82</v>
      </c>
      <c r="D119" s="6" t="s">
        <v>373</v>
      </c>
      <c r="E119" s="7">
        <f>IFERROR(__xludf.DUMMYFUNCTION("INDEX(SPLIT(D119,"":""),0,1)*60+INDEX(SPLIT(D119,"":""),0,2)"),401.661)</f>
        <v>401.661</v>
      </c>
      <c r="F119" s="20">
        <v>0.28958333333333336</v>
      </c>
    </row>
    <row r="120">
      <c r="A120" s="3" t="s">
        <v>64</v>
      </c>
      <c r="B120" s="3" t="s">
        <v>376</v>
      </c>
      <c r="C120" s="3" t="s">
        <v>263</v>
      </c>
      <c r="D120" s="3" t="s">
        <v>377</v>
      </c>
      <c r="E120" s="4">
        <f>IFERROR(__xludf.DUMMYFUNCTION("INDEX(SPLIT(D120,"":""),0,1)*60+INDEX(SPLIT(D120,"":""),0,2)"),402.021)</f>
        <v>402.021</v>
      </c>
      <c r="F120" s="5"/>
    </row>
    <row r="121">
      <c r="A121" s="6" t="s">
        <v>291</v>
      </c>
      <c r="B121" s="6" t="s">
        <v>379</v>
      </c>
      <c r="C121" s="6" t="s">
        <v>141</v>
      </c>
      <c r="D121" s="6" t="s">
        <v>380</v>
      </c>
      <c r="E121" s="7">
        <f>IFERROR(__xludf.DUMMYFUNCTION("INDEX(SPLIT(D121,"":""),0,1)*60+INDEX(SPLIT(D121,"":""),0,2)"),402.296)</f>
        <v>402.296</v>
      </c>
      <c r="F121" s="9"/>
    </row>
    <row r="122">
      <c r="A122" s="3" t="s">
        <v>68</v>
      </c>
      <c r="B122" s="3" t="s">
        <v>207</v>
      </c>
      <c r="C122" s="3" t="s">
        <v>196</v>
      </c>
      <c r="D122" s="3" t="s">
        <v>382</v>
      </c>
      <c r="E122" s="4">
        <f>IFERROR(__xludf.DUMMYFUNCTION("INDEX(SPLIT(D122,"":""),0,1)*60+INDEX(SPLIT(D122,"":""),0,2)"),403.519)</f>
        <v>403.519</v>
      </c>
      <c r="F122" s="21">
        <v>0.3236111111111111</v>
      </c>
    </row>
    <row r="123">
      <c r="A123" s="6" t="s">
        <v>157</v>
      </c>
      <c r="B123" s="6" t="s">
        <v>383</v>
      </c>
      <c r="C123" s="6" t="s">
        <v>384</v>
      </c>
      <c r="D123" s="6" t="s">
        <v>385</v>
      </c>
      <c r="E123" s="7">
        <f>IFERROR(__xludf.DUMMYFUNCTION("INDEX(SPLIT(D123,"":""),0,1)*60+INDEX(SPLIT(D123,"":""),0,2)"),403.599)</f>
        <v>403.599</v>
      </c>
      <c r="F123" s="19" t="s">
        <v>387</v>
      </c>
    </row>
    <row r="124">
      <c r="A124" s="3" t="s">
        <v>90</v>
      </c>
      <c r="B124" s="3" t="s">
        <v>388</v>
      </c>
      <c r="C124" s="3" t="s">
        <v>389</v>
      </c>
      <c r="D124" s="3" t="s">
        <v>390</v>
      </c>
      <c r="E124" s="4">
        <f>IFERROR(__xludf.DUMMYFUNCTION("INDEX(SPLIT(D124,"":""),0,1)*60+INDEX(SPLIT(D124,"":""),0,2)"),405.361)</f>
        <v>405.361</v>
      </c>
      <c r="F124" s="5"/>
    </row>
    <row r="125">
      <c r="A125" s="6" t="s">
        <v>214</v>
      </c>
      <c r="B125" s="6" t="s">
        <v>371</v>
      </c>
      <c r="C125" s="6" t="s">
        <v>196</v>
      </c>
      <c r="D125" s="6" t="s">
        <v>392</v>
      </c>
      <c r="E125" s="7">
        <f>IFERROR(__xludf.DUMMYFUNCTION("INDEX(SPLIT(D125,"":""),0,1)*60+INDEX(SPLIT(D125,"":""),0,2)"),406.18)</f>
        <v>406.18</v>
      </c>
      <c r="F125" s="9"/>
    </row>
    <row r="126">
      <c r="A126" s="3" t="s">
        <v>234</v>
      </c>
      <c r="B126" s="3" t="s">
        <v>393</v>
      </c>
      <c r="C126" s="3" t="s">
        <v>278</v>
      </c>
      <c r="D126" s="3" t="s">
        <v>394</v>
      </c>
      <c r="E126" s="4">
        <f>IFERROR(__xludf.DUMMYFUNCTION("INDEX(SPLIT(D126,"":""),0,1)*60+INDEX(SPLIT(D126,"":""),0,2)"),407.4)</f>
        <v>407.4</v>
      </c>
      <c r="F126" s="5"/>
    </row>
    <row r="127">
      <c r="A127" s="6" t="s">
        <v>91</v>
      </c>
      <c r="B127" s="6" t="s">
        <v>258</v>
      </c>
      <c r="C127" s="6" t="s">
        <v>196</v>
      </c>
      <c r="D127" s="6" t="s">
        <v>395</v>
      </c>
      <c r="E127" s="7">
        <f>IFERROR(__xludf.DUMMYFUNCTION("INDEX(SPLIT(D127,"":""),0,1)*60+INDEX(SPLIT(D127,"":""),0,2)"),407.722)</f>
        <v>407.722</v>
      </c>
      <c r="F127" s="19" t="s">
        <v>396</v>
      </c>
    </row>
    <row r="128">
      <c r="A128" s="3" t="s">
        <v>9</v>
      </c>
      <c r="B128" s="3" t="s">
        <v>397</v>
      </c>
      <c r="C128" s="3" t="s">
        <v>397</v>
      </c>
      <c r="D128" s="3" t="s">
        <v>399</v>
      </c>
      <c r="E128" s="4">
        <f>IFERROR(__xludf.DUMMYFUNCTION("INDEX(SPLIT(D128,"":""),0,1)*60+INDEX(SPLIT(D128,"":""),0,2)"),408.119)</f>
        <v>408.119</v>
      </c>
      <c r="F128" s="5"/>
    </row>
    <row r="129">
      <c r="A129" s="6" t="s">
        <v>83</v>
      </c>
      <c r="B129" s="6" t="s">
        <v>400</v>
      </c>
      <c r="C129" s="6" t="s">
        <v>401</v>
      </c>
      <c r="D129" s="6" t="s">
        <v>402</v>
      </c>
      <c r="E129" s="7">
        <f>IFERROR(__xludf.DUMMYFUNCTION("INDEX(SPLIT(D129,"":""),0,1)*60+INDEX(SPLIT(D129,"":""),0,2)"),409.198)</f>
        <v>409.198</v>
      </c>
      <c r="F129" s="9"/>
    </row>
    <row r="130">
      <c r="A130" s="3" t="s">
        <v>91</v>
      </c>
      <c r="B130" s="3" t="s">
        <v>404</v>
      </c>
      <c r="C130" s="3" t="s">
        <v>196</v>
      </c>
      <c r="D130" s="3" t="s">
        <v>405</v>
      </c>
      <c r="E130" s="4">
        <f>IFERROR(__xludf.DUMMYFUNCTION("INDEX(SPLIT(D130,"":""),0,1)*60+INDEX(SPLIT(D130,"":""),0,2)"),409.299)</f>
        <v>409.299</v>
      </c>
      <c r="F130" s="5"/>
    </row>
    <row r="131">
      <c r="A131" s="6" t="s">
        <v>214</v>
      </c>
      <c r="B131" s="6" t="s">
        <v>406</v>
      </c>
      <c r="C131" s="6" t="s">
        <v>401</v>
      </c>
      <c r="D131" s="6" t="s">
        <v>407</v>
      </c>
      <c r="E131" s="7">
        <f>IFERROR(__xludf.DUMMYFUNCTION("INDEX(SPLIT(D131,"":""),0,1)*60+INDEX(SPLIT(D131,"":""),0,2)"),409.7)</f>
        <v>409.7</v>
      </c>
      <c r="F131" s="9"/>
    </row>
    <row r="132">
      <c r="A132" s="3" t="s">
        <v>38</v>
      </c>
      <c r="B132" s="3" t="s">
        <v>374</v>
      </c>
      <c r="C132" s="3" t="s">
        <v>196</v>
      </c>
      <c r="D132" s="3" t="s">
        <v>408</v>
      </c>
      <c r="E132" s="4">
        <f>IFERROR(__xludf.DUMMYFUNCTION("INDEX(SPLIT(D132,"":""),0,1)*60+INDEX(SPLIT(D132,"":""),0,2)"),410.159)</f>
        <v>410.159</v>
      </c>
      <c r="F132" s="5"/>
    </row>
    <row r="133">
      <c r="A133" s="6" t="s">
        <v>90</v>
      </c>
      <c r="B133" s="6" t="s">
        <v>409</v>
      </c>
      <c r="C133" s="6" t="s">
        <v>401</v>
      </c>
      <c r="D133" s="6" t="s">
        <v>410</v>
      </c>
      <c r="E133" s="7">
        <f>IFERROR(__xludf.DUMMYFUNCTION("INDEX(SPLIT(D133,"":""),0,1)*60+INDEX(SPLIT(D133,"":""),0,2)"),410.539)</f>
        <v>410.539</v>
      </c>
      <c r="F133" s="9"/>
    </row>
    <row r="134">
      <c r="A134" s="3" t="s">
        <v>83</v>
      </c>
      <c r="B134" s="3" t="s">
        <v>413</v>
      </c>
      <c r="C134" s="3" t="s">
        <v>278</v>
      </c>
      <c r="D134" s="3" t="s">
        <v>414</v>
      </c>
      <c r="E134" s="4">
        <f>IFERROR(__xludf.DUMMYFUNCTION("INDEX(SPLIT(D134,"":""),0,1)*60+INDEX(SPLIT(D134,"":""),0,2)"),411.037)</f>
        <v>411.037</v>
      </c>
      <c r="F134" s="5"/>
    </row>
    <row r="135">
      <c r="A135" s="6" t="s">
        <v>46</v>
      </c>
      <c r="B135" s="6" t="s">
        <v>403</v>
      </c>
      <c r="C135" s="6" t="s">
        <v>278</v>
      </c>
      <c r="D135" s="6" t="s">
        <v>415</v>
      </c>
      <c r="E135" s="7">
        <f>IFERROR(__xludf.DUMMYFUNCTION("INDEX(SPLIT(D135,"":""),0,1)*60+INDEX(SPLIT(D135,"":""),0,2)"),411.203)</f>
        <v>411.203</v>
      </c>
      <c r="F135" s="9"/>
    </row>
    <row r="136">
      <c r="A136" s="3" t="s">
        <v>291</v>
      </c>
      <c r="B136" s="3" t="s">
        <v>416</v>
      </c>
      <c r="C136" s="3" t="s">
        <v>278</v>
      </c>
      <c r="D136" s="3" t="s">
        <v>417</v>
      </c>
      <c r="E136" s="4">
        <f>IFERROR(__xludf.DUMMYFUNCTION("INDEX(SPLIT(D136,"":""),0,1)*60+INDEX(SPLIT(D136,"":""),0,2)"),412.239)</f>
        <v>412.239</v>
      </c>
      <c r="F136" s="5"/>
    </row>
    <row r="137">
      <c r="A137" s="6" t="s">
        <v>153</v>
      </c>
      <c r="B137" s="6" t="s">
        <v>418</v>
      </c>
      <c r="C137" s="6" t="s">
        <v>401</v>
      </c>
      <c r="D137" s="6" t="s">
        <v>419</v>
      </c>
      <c r="E137" s="7">
        <f>IFERROR(__xludf.DUMMYFUNCTION("INDEX(SPLIT(D137,"":""),0,1)*60+INDEX(SPLIT(D137,"":""),0,2)"),412.322)</f>
        <v>412.322</v>
      </c>
      <c r="F137" s="9"/>
    </row>
    <row r="138">
      <c r="A138" s="3" t="s">
        <v>91</v>
      </c>
      <c r="B138" s="3" t="s">
        <v>421</v>
      </c>
      <c r="C138" s="3" t="s">
        <v>384</v>
      </c>
      <c r="D138" s="3" t="s">
        <v>422</v>
      </c>
      <c r="E138" s="4">
        <f>IFERROR(__xludf.DUMMYFUNCTION("INDEX(SPLIT(D138,"":""),0,1)*60+INDEX(SPLIT(D138,"":""),0,2)"),412.58)</f>
        <v>412.58</v>
      </c>
      <c r="F138" s="5"/>
    </row>
    <row r="139">
      <c r="A139" s="6" t="s">
        <v>214</v>
      </c>
      <c r="B139" s="6" t="s">
        <v>280</v>
      </c>
      <c r="C139" s="6" t="s">
        <v>256</v>
      </c>
      <c r="D139" s="6" t="s">
        <v>425</v>
      </c>
      <c r="E139" s="7">
        <f>IFERROR(__xludf.DUMMYFUNCTION("INDEX(SPLIT(D139,"":""),0,1)*60+INDEX(SPLIT(D139,"":""),0,2)"),412.602)</f>
        <v>412.602</v>
      </c>
      <c r="F139" s="9"/>
    </row>
    <row r="140">
      <c r="A140" s="3" t="s">
        <v>291</v>
      </c>
      <c r="B140" s="3" t="s">
        <v>350</v>
      </c>
      <c r="C140" s="3" t="s">
        <v>196</v>
      </c>
      <c r="D140" s="3" t="s">
        <v>427</v>
      </c>
      <c r="E140" s="4">
        <f>IFERROR(__xludf.DUMMYFUNCTION("INDEX(SPLIT(D140,"":""),0,1)*60+INDEX(SPLIT(D140,"":""),0,2)"),413.06)</f>
        <v>413.06</v>
      </c>
      <c r="F140" s="5"/>
    </row>
    <row r="141">
      <c r="A141" s="6" t="s">
        <v>36</v>
      </c>
      <c r="B141" s="6" t="s">
        <v>428</v>
      </c>
      <c r="C141" s="6" t="s">
        <v>401</v>
      </c>
      <c r="D141" s="6" t="s">
        <v>429</v>
      </c>
      <c r="E141" s="7">
        <f>IFERROR(__xludf.DUMMYFUNCTION("INDEX(SPLIT(D141,"":""),0,1)*60+INDEX(SPLIT(D141,"":""),0,2)"),413.415)</f>
        <v>413.415</v>
      </c>
      <c r="F141" s="9"/>
    </row>
    <row r="142">
      <c r="A142" s="3" t="s">
        <v>126</v>
      </c>
      <c r="B142" s="3" t="s">
        <v>129</v>
      </c>
      <c r="C142" s="3" t="s">
        <v>131</v>
      </c>
      <c r="D142" s="3" t="s">
        <v>430</v>
      </c>
      <c r="E142" s="4">
        <f>IFERROR(__xludf.DUMMYFUNCTION("INDEX(SPLIT(D142,"":""),0,1)*60+INDEX(SPLIT(D142,"":""),0,2)"),413.54)</f>
        <v>413.54</v>
      </c>
      <c r="F142" s="5"/>
    </row>
    <row r="143">
      <c r="A143" s="6" t="s">
        <v>202</v>
      </c>
      <c r="B143" s="6" t="s">
        <v>386</v>
      </c>
      <c r="C143" s="6" t="s">
        <v>196</v>
      </c>
      <c r="D143" s="6" t="s">
        <v>433</v>
      </c>
      <c r="E143" s="7">
        <f>IFERROR(__xludf.DUMMYFUNCTION("INDEX(SPLIT(D143,"":""),0,1)*60+INDEX(SPLIT(D143,"":""),0,2)"),414.44)</f>
        <v>414.44</v>
      </c>
      <c r="F143" s="9"/>
    </row>
    <row r="144">
      <c r="A144" s="3" t="s">
        <v>64</v>
      </c>
      <c r="B144" s="3" t="s">
        <v>343</v>
      </c>
      <c r="C144" s="3" t="s">
        <v>334</v>
      </c>
      <c r="D144" s="3" t="s">
        <v>435</v>
      </c>
      <c r="E144" s="4">
        <f>IFERROR(__xludf.DUMMYFUNCTION("INDEX(SPLIT(D144,"":""),0,1)*60+INDEX(SPLIT(D144,"":""),0,2)"),414.897)</f>
        <v>414.897</v>
      </c>
      <c r="F144" s="5"/>
    </row>
    <row r="145">
      <c r="A145" s="6" t="s">
        <v>291</v>
      </c>
      <c r="B145" s="6" t="s">
        <v>324</v>
      </c>
      <c r="C145" s="6" t="s">
        <v>196</v>
      </c>
      <c r="D145" s="6" t="s">
        <v>436</v>
      </c>
      <c r="E145" s="7">
        <f>IFERROR(__xludf.DUMMYFUNCTION("INDEX(SPLIT(D145,"":""),0,1)*60+INDEX(SPLIT(D145,"":""),0,2)"),416.18)</f>
        <v>416.18</v>
      </c>
      <c r="F145" s="20">
        <v>0.3090277777777778</v>
      </c>
    </row>
    <row r="146">
      <c r="A146" s="3" t="s">
        <v>126</v>
      </c>
      <c r="B146" s="3" t="s">
        <v>340</v>
      </c>
      <c r="C146" s="3" t="s">
        <v>131</v>
      </c>
      <c r="D146" s="3" t="s">
        <v>437</v>
      </c>
      <c r="E146" s="4">
        <f>IFERROR(__xludf.DUMMYFUNCTION("INDEX(SPLIT(D146,"":""),0,1)*60+INDEX(SPLIT(D146,"":""),0,2)"),416.58)</f>
        <v>416.58</v>
      </c>
      <c r="F146" s="5"/>
    </row>
    <row r="147">
      <c r="A147" s="6" t="s">
        <v>214</v>
      </c>
      <c r="B147" s="6" t="s">
        <v>286</v>
      </c>
      <c r="C147" s="6" t="s">
        <v>287</v>
      </c>
      <c r="D147" s="6" t="s">
        <v>438</v>
      </c>
      <c r="E147" s="7">
        <f>IFERROR(__xludf.DUMMYFUNCTION("INDEX(SPLIT(D147,"":""),0,1)*60+INDEX(SPLIT(D147,"":""),0,2)"),417.3)</f>
        <v>417.3</v>
      </c>
      <c r="F147" s="9"/>
    </row>
    <row r="148">
      <c r="A148" s="3" t="s">
        <v>440</v>
      </c>
      <c r="B148" s="3" t="s">
        <v>441</v>
      </c>
      <c r="C148" s="3" t="s">
        <v>401</v>
      </c>
      <c r="D148" s="3" t="s">
        <v>442</v>
      </c>
      <c r="E148" s="4">
        <f>IFERROR(__xludf.DUMMYFUNCTION("INDEX(SPLIT(D148,"":""),0,1)*60+INDEX(SPLIT(D148,"":""),0,2)"),417.34000000000003)</f>
        <v>417.34</v>
      </c>
      <c r="F148" s="5"/>
    </row>
    <row r="149">
      <c r="A149" s="6" t="s">
        <v>38</v>
      </c>
      <c r="B149" s="6" t="s">
        <v>318</v>
      </c>
      <c r="C149" s="6" t="s">
        <v>131</v>
      </c>
      <c r="D149" s="6" t="s">
        <v>444</v>
      </c>
      <c r="E149" s="7">
        <f>IFERROR(__xludf.DUMMYFUNCTION("INDEX(SPLIT(D149,"":""),0,1)*60+INDEX(SPLIT(D149,"":""),0,2)"),418.682)</f>
        <v>418.682</v>
      </c>
      <c r="F149" s="19" t="s">
        <v>446</v>
      </c>
    </row>
    <row r="150">
      <c r="A150" s="3" t="s">
        <v>447</v>
      </c>
      <c r="B150" s="3" t="s">
        <v>448</v>
      </c>
      <c r="C150" s="3" t="s">
        <v>401</v>
      </c>
      <c r="D150" s="3" t="s">
        <v>449</v>
      </c>
      <c r="E150" s="4">
        <f>IFERROR(__xludf.DUMMYFUNCTION("INDEX(SPLIT(D150,"":""),0,1)*60+INDEX(SPLIT(D150,"":""),0,2)"),418.74)</f>
        <v>418.74</v>
      </c>
      <c r="F150" s="5"/>
    </row>
    <row r="151">
      <c r="A151" s="6" t="s">
        <v>450</v>
      </c>
      <c r="B151" s="6" t="s">
        <v>452</v>
      </c>
      <c r="C151" s="6" t="s">
        <v>401</v>
      </c>
      <c r="D151" s="6" t="s">
        <v>453</v>
      </c>
      <c r="E151" s="7">
        <f>IFERROR(__xludf.DUMMYFUNCTION("INDEX(SPLIT(D151,"":""),0,1)*60+INDEX(SPLIT(D151,"":""),0,2)"),419.161)</f>
        <v>419.161</v>
      </c>
      <c r="F151" s="9"/>
    </row>
    <row r="152">
      <c r="A152" s="3" t="s">
        <v>153</v>
      </c>
      <c r="B152" s="3" t="s">
        <v>378</v>
      </c>
      <c r="C152" s="3" t="s">
        <v>131</v>
      </c>
      <c r="D152" s="3" t="s">
        <v>454</v>
      </c>
      <c r="E152" s="4">
        <f>IFERROR(__xludf.DUMMYFUNCTION("INDEX(SPLIT(D152,"":""),0,1)*60+INDEX(SPLIT(D152,"":""),0,2)"),419.7)</f>
        <v>419.7</v>
      </c>
      <c r="F152" s="18" t="s">
        <v>455</v>
      </c>
    </row>
    <row r="153">
      <c r="A153" s="6" t="s">
        <v>36</v>
      </c>
      <c r="B153" s="6" t="s">
        <v>456</v>
      </c>
      <c r="C153" s="6" t="s">
        <v>131</v>
      </c>
      <c r="D153" s="6" t="s">
        <v>458</v>
      </c>
      <c r="E153" s="7">
        <f>IFERROR(__xludf.DUMMYFUNCTION("INDEX(SPLIT(D153,"":""),0,1)*60+INDEX(SPLIT(D153,"":""),0,2)"),420.517)</f>
        <v>420.517</v>
      </c>
      <c r="F153" s="20">
        <v>0.3138888888888889</v>
      </c>
    </row>
    <row r="154">
      <c r="A154" s="3" t="s">
        <v>307</v>
      </c>
      <c r="B154" s="3" t="s">
        <v>459</v>
      </c>
      <c r="C154" s="3" t="s">
        <v>131</v>
      </c>
      <c r="D154" s="3" t="s">
        <v>460</v>
      </c>
      <c r="E154" s="4">
        <f>IFERROR(__xludf.DUMMYFUNCTION("INDEX(SPLIT(D154,"":""),0,1)*60+INDEX(SPLIT(D154,"":""),0,2)"),420.68)</f>
        <v>420.68</v>
      </c>
      <c r="F154" s="5"/>
    </row>
    <row r="155">
      <c r="A155" s="6" t="s">
        <v>38</v>
      </c>
      <c r="B155" s="6" t="s">
        <v>462</v>
      </c>
      <c r="C155" s="6" t="s">
        <v>384</v>
      </c>
      <c r="D155" s="6" t="s">
        <v>463</v>
      </c>
      <c r="E155" s="7">
        <f>IFERROR(__xludf.DUMMYFUNCTION("INDEX(SPLIT(D155,"":""),0,1)*60+INDEX(SPLIT(D155,"":""),0,2)"),420.977)</f>
        <v>420.977</v>
      </c>
      <c r="F155" s="9"/>
    </row>
    <row r="156">
      <c r="A156" s="3" t="s">
        <v>291</v>
      </c>
      <c r="B156" s="3" t="s">
        <v>465</v>
      </c>
      <c r="C156" s="3" t="s">
        <v>131</v>
      </c>
      <c r="D156" s="3" t="s">
        <v>466</v>
      </c>
      <c r="E156" s="4">
        <f>IFERROR(__xludf.DUMMYFUNCTION("INDEX(SPLIT(D156,"":""),0,1)*60+INDEX(SPLIT(D156,"":""),0,2)"),421.3)</f>
        <v>421.3</v>
      </c>
      <c r="F156" s="5"/>
    </row>
    <row r="157">
      <c r="A157" s="6" t="s">
        <v>46</v>
      </c>
      <c r="B157" s="6" t="s">
        <v>467</v>
      </c>
      <c r="C157" s="6" t="s">
        <v>131</v>
      </c>
      <c r="D157" s="6" t="s">
        <v>468</v>
      </c>
      <c r="E157" s="7">
        <f>IFERROR(__xludf.DUMMYFUNCTION("INDEX(SPLIT(D157,"":""),0,1)*60+INDEX(SPLIT(D157,"":""),0,2)"),421.6)</f>
        <v>421.6</v>
      </c>
      <c r="F157" s="19" t="s">
        <v>469</v>
      </c>
    </row>
    <row r="158">
      <c r="A158" s="3" t="s">
        <v>276</v>
      </c>
      <c r="B158" s="3" t="s">
        <v>470</v>
      </c>
      <c r="C158" s="3" t="s">
        <v>359</v>
      </c>
      <c r="D158" s="3" t="s">
        <v>471</v>
      </c>
      <c r="E158" s="4">
        <f>IFERROR(__xludf.DUMMYFUNCTION("INDEX(SPLIT(D158,"":""),0,1)*60+INDEX(SPLIT(D158,"":""),0,2)"),422.32)</f>
        <v>422.32</v>
      </c>
      <c r="F158" s="5"/>
    </row>
    <row r="159">
      <c r="A159" s="6" t="s">
        <v>91</v>
      </c>
      <c r="B159" s="6" t="s">
        <v>472</v>
      </c>
      <c r="C159" s="6" t="s">
        <v>224</v>
      </c>
      <c r="D159" s="6" t="s">
        <v>473</v>
      </c>
      <c r="E159" s="7">
        <f>IFERROR(__xludf.DUMMYFUNCTION("INDEX(SPLIT(D159,"":""),0,1)*60+INDEX(SPLIT(D159,"":""),0,2)"),422.58)</f>
        <v>422.58</v>
      </c>
      <c r="F159" s="9"/>
    </row>
    <row r="160">
      <c r="A160" s="3" t="s">
        <v>122</v>
      </c>
      <c r="B160" s="3" t="s">
        <v>474</v>
      </c>
      <c r="C160" s="3" t="s">
        <v>475</v>
      </c>
      <c r="D160" s="3" t="s">
        <v>476</v>
      </c>
      <c r="E160" s="4">
        <f>IFERROR(__xludf.DUMMYFUNCTION("INDEX(SPLIT(D160,"":""),0,1)*60+INDEX(SPLIT(D160,"":""),0,2)"),422.959)</f>
        <v>422.959</v>
      </c>
      <c r="F160" s="5"/>
    </row>
    <row r="161">
      <c r="A161" s="6" t="s">
        <v>46</v>
      </c>
      <c r="B161" s="6" t="s">
        <v>477</v>
      </c>
      <c r="C161" s="6" t="s">
        <v>432</v>
      </c>
      <c r="D161" s="6" t="s">
        <v>478</v>
      </c>
      <c r="E161" s="7">
        <f>IFERROR(__xludf.DUMMYFUNCTION("INDEX(SPLIT(D161,"":""),0,1)*60+INDEX(SPLIT(D161,"":""),0,2)"),423.103)</f>
        <v>423.103</v>
      </c>
      <c r="F161" s="9"/>
    </row>
    <row r="162">
      <c r="A162" s="3" t="s">
        <v>91</v>
      </c>
      <c r="B162" s="3" t="s">
        <v>358</v>
      </c>
      <c r="C162" s="3" t="s">
        <v>359</v>
      </c>
      <c r="D162" s="3" t="s">
        <v>480</v>
      </c>
      <c r="E162" s="4">
        <f>IFERROR(__xludf.DUMMYFUNCTION("INDEX(SPLIT(D162,"":""),0,1)*60+INDEX(SPLIT(D162,"":""),0,2)"),423.3)</f>
        <v>423.3</v>
      </c>
      <c r="F162" s="5"/>
    </row>
    <row r="163">
      <c r="A163" s="6" t="s">
        <v>91</v>
      </c>
      <c r="B163" s="6" t="s">
        <v>426</v>
      </c>
      <c r="C163" s="6" t="s">
        <v>256</v>
      </c>
      <c r="D163" s="6" t="s">
        <v>481</v>
      </c>
      <c r="E163" s="7">
        <f>IFERROR(__xludf.DUMMYFUNCTION("INDEX(SPLIT(D163,"":""),0,1)*60+INDEX(SPLIT(D163,"":""),0,2)"),423.737)</f>
        <v>423.737</v>
      </c>
      <c r="F163" s="9"/>
    </row>
    <row r="164">
      <c r="A164" s="3" t="s">
        <v>38</v>
      </c>
      <c r="B164" s="3" t="s">
        <v>482</v>
      </c>
      <c r="C164" s="3" t="s">
        <v>475</v>
      </c>
      <c r="D164" s="3" t="s">
        <v>483</v>
      </c>
      <c r="E164" s="4">
        <f>IFERROR(__xludf.DUMMYFUNCTION("INDEX(SPLIT(D164,"":""),0,1)*60+INDEX(SPLIT(D164,"":""),0,2)"),424.24)</f>
        <v>424.24</v>
      </c>
      <c r="F164" s="5"/>
    </row>
    <row r="165">
      <c r="A165" s="6" t="s">
        <v>90</v>
      </c>
      <c r="B165" s="6" t="s">
        <v>484</v>
      </c>
      <c r="C165" s="6" t="s">
        <v>485</v>
      </c>
      <c r="D165" s="6" t="s">
        <v>486</v>
      </c>
      <c r="E165" s="7">
        <f>IFERROR(__xludf.DUMMYFUNCTION("INDEX(SPLIT(D165,"":""),0,1)*60+INDEX(SPLIT(D165,"":""),0,2)"),424.258)</f>
        <v>424.258</v>
      </c>
      <c r="F165" s="9"/>
    </row>
    <row r="166">
      <c r="A166" s="3" t="s">
        <v>48</v>
      </c>
      <c r="B166" s="3" t="s">
        <v>479</v>
      </c>
      <c r="C166" s="3" t="s">
        <v>131</v>
      </c>
      <c r="D166" s="3" t="s">
        <v>487</v>
      </c>
      <c r="E166" s="4">
        <f>IFERROR(__xludf.DUMMYFUNCTION("INDEX(SPLIT(D166,"":""),0,1)*60+INDEX(SPLIT(D166,"":""),0,2)"),424.641)</f>
        <v>424.641</v>
      </c>
      <c r="F166" s="18" t="s">
        <v>488</v>
      </c>
    </row>
    <row r="167">
      <c r="A167" s="6" t="s">
        <v>214</v>
      </c>
      <c r="B167" s="6" t="s">
        <v>252</v>
      </c>
      <c r="C167" s="6" t="s">
        <v>78</v>
      </c>
      <c r="D167" s="6" t="s">
        <v>489</v>
      </c>
      <c r="E167" s="7">
        <f>IFERROR(__xludf.DUMMYFUNCTION("INDEX(SPLIT(D167,"":""),0,1)*60+INDEX(SPLIT(D167,"":""),0,2)"),424.779)</f>
        <v>424.779</v>
      </c>
      <c r="F167" s="9"/>
    </row>
    <row r="168">
      <c r="A168" s="3" t="s">
        <v>64</v>
      </c>
      <c r="B168" s="3" t="s">
        <v>451</v>
      </c>
      <c r="C168" s="3" t="s">
        <v>256</v>
      </c>
      <c r="D168" s="3" t="s">
        <v>489</v>
      </c>
      <c r="E168" s="4">
        <f>IFERROR(__xludf.DUMMYFUNCTION("INDEX(SPLIT(D168,"":""),0,1)*60+INDEX(SPLIT(D168,"":""),0,2)"),424.779)</f>
        <v>424.779</v>
      </c>
      <c r="F168" s="5"/>
    </row>
    <row r="169">
      <c r="A169" s="6" t="s">
        <v>157</v>
      </c>
      <c r="B169" s="6" t="s">
        <v>491</v>
      </c>
      <c r="C169" s="6" t="s">
        <v>485</v>
      </c>
      <c r="D169" s="6" t="s">
        <v>492</v>
      </c>
      <c r="E169" s="7">
        <f>IFERROR(__xludf.DUMMYFUNCTION("INDEX(SPLIT(D169,"":""),0,1)*60+INDEX(SPLIT(D169,"":""),0,2)"),427.038)</f>
        <v>427.038</v>
      </c>
      <c r="F169" s="9"/>
    </row>
    <row r="170">
      <c r="A170" s="3" t="s">
        <v>157</v>
      </c>
      <c r="B170" s="3" t="s">
        <v>493</v>
      </c>
      <c r="C170" s="3" t="s">
        <v>475</v>
      </c>
      <c r="D170" s="3" t="s">
        <v>494</v>
      </c>
      <c r="E170" s="4">
        <f>IFERROR(__xludf.DUMMYFUNCTION("INDEX(SPLIT(D170,"":""),0,1)*60+INDEX(SPLIT(D170,"":""),0,2)"),428.08)</f>
        <v>428.08</v>
      </c>
      <c r="F170" s="5"/>
    </row>
    <row r="171">
      <c r="A171" s="6" t="s">
        <v>68</v>
      </c>
      <c r="B171" s="6" t="s">
        <v>461</v>
      </c>
      <c r="C171" s="6" t="s">
        <v>359</v>
      </c>
      <c r="D171" s="6" t="s">
        <v>495</v>
      </c>
      <c r="E171" s="7">
        <f>IFERROR(__xludf.DUMMYFUNCTION("INDEX(SPLIT(D171,"":""),0,1)*60+INDEX(SPLIT(D171,"":""),0,2)"),428.097)</f>
        <v>428.097</v>
      </c>
      <c r="F171" s="9"/>
    </row>
    <row r="172">
      <c r="A172" s="3" t="s">
        <v>197</v>
      </c>
      <c r="B172" s="3" t="s">
        <v>496</v>
      </c>
      <c r="C172" s="3" t="s">
        <v>131</v>
      </c>
      <c r="D172" s="3" t="s">
        <v>497</v>
      </c>
      <c r="E172" s="4">
        <f>IFERROR(__xludf.DUMMYFUNCTION("INDEX(SPLIT(D172,"":""),0,1)*60+INDEX(SPLIT(D172,"":""),0,2)"),428.84)</f>
        <v>428.84</v>
      </c>
      <c r="F172" s="5"/>
    </row>
    <row r="173">
      <c r="A173" s="6" t="s">
        <v>64</v>
      </c>
      <c r="B173" s="6" t="s">
        <v>423</v>
      </c>
      <c r="C173" s="6" t="s">
        <v>424</v>
      </c>
      <c r="D173" s="6" t="s">
        <v>498</v>
      </c>
      <c r="E173" s="7">
        <f>IFERROR(__xludf.DUMMYFUNCTION("INDEX(SPLIT(D173,"":""),0,1)*60+INDEX(SPLIT(D173,"":""),0,2)"),429.22)</f>
        <v>429.22</v>
      </c>
      <c r="F173" s="9"/>
    </row>
    <row r="174">
      <c r="A174" s="3" t="s">
        <v>197</v>
      </c>
      <c r="B174" s="3" t="s">
        <v>499</v>
      </c>
      <c r="C174" s="3" t="s">
        <v>475</v>
      </c>
      <c r="D174" s="3" t="s">
        <v>500</v>
      </c>
      <c r="E174" s="4">
        <f>IFERROR(__xludf.DUMMYFUNCTION("INDEX(SPLIT(D174,"":""),0,1)*60+INDEX(SPLIT(D174,"":""),0,2)"),429.459)</f>
        <v>429.459</v>
      </c>
      <c r="F174" s="5"/>
    </row>
    <row r="175">
      <c r="A175" s="6" t="s">
        <v>501</v>
      </c>
      <c r="B175" s="6" t="s">
        <v>502</v>
      </c>
      <c r="C175" s="6" t="s">
        <v>485</v>
      </c>
      <c r="D175" s="6" t="s">
        <v>503</v>
      </c>
      <c r="E175" s="7">
        <f>IFERROR(__xludf.DUMMYFUNCTION("INDEX(SPLIT(D175,"":""),0,1)*60+INDEX(SPLIT(D175,"":""),0,2)"),429.5)</f>
        <v>429.5</v>
      </c>
      <c r="F175" s="9"/>
    </row>
    <row r="176">
      <c r="A176" s="3" t="s">
        <v>76</v>
      </c>
      <c r="B176" s="3" t="s">
        <v>77</v>
      </c>
      <c r="C176" s="3" t="s">
        <v>78</v>
      </c>
      <c r="D176" s="3" t="s">
        <v>504</v>
      </c>
      <c r="E176" s="4">
        <f>IFERROR(__xludf.DUMMYFUNCTION("INDEX(SPLIT(D176,"":""),0,1)*60+INDEX(SPLIT(D176,"":""),0,2)"),429.618)</f>
        <v>429.618</v>
      </c>
      <c r="F176" s="5"/>
    </row>
    <row r="177">
      <c r="A177" s="6" t="s">
        <v>48</v>
      </c>
      <c r="B177" s="6" t="s">
        <v>439</v>
      </c>
      <c r="C177" s="6" t="s">
        <v>359</v>
      </c>
      <c r="D177" s="6" t="s">
        <v>505</v>
      </c>
      <c r="E177" s="7">
        <f>IFERROR(__xludf.DUMMYFUNCTION("INDEX(SPLIT(D177,"":""),0,1)*60+INDEX(SPLIT(D177,"":""),0,2)"),429.66)</f>
        <v>429.66</v>
      </c>
      <c r="F177" s="19" t="s">
        <v>506</v>
      </c>
    </row>
    <row r="178">
      <c r="A178" s="3" t="s">
        <v>214</v>
      </c>
      <c r="B178" s="3" t="s">
        <v>507</v>
      </c>
      <c r="C178" s="3" t="s">
        <v>475</v>
      </c>
      <c r="D178" s="3" t="s">
        <v>508</v>
      </c>
      <c r="E178" s="4">
        <f>IFERROR(__xludf.DUMMYFUNCTION("INDEX(SPLIT(D178,"":""),0,1)*60+INDEX(SPLIT(D178,"":""),0,2)"),429.759)</f>
        <v>429.759</v>
      </c>
      <c r="F178" s="5"/>
    </row>
    <row r="179">
      <c r="A179" s="6" t="s">
        <v>153</v>
      </c>
      <c r="B179" s="6" t="s">
        <v>509</v>
      </c>
      <c r="C179" s="6" t="s">
        <v>485</v>
      </c>
      <c r="D179" s="6" t="s">
        <v>510</v>
      </c>
      <c r="E179" s="7">
        <f>IFERROR(__xludf.DUMMYFUNCTION("INDEX(SPLIT(D179,"":""),0,1)*60+INDEX(SPLIT(D179,"":""),0,2)"),429.78)</f>
        <v>429.78</v>
      </c>
      <c r="F179" s="9"/>
    </row>
    <row r="180">
      <c r="A180" s="3" t="s">
        <v>36</v>
      </c>
      <c r="B180" s="3" t="s">
        <v>511</v>
      </c>
      <c r="C180" s="3" t="s">
        <v>432</v>
      </c>
      <c r="D180" s="3" t="s">
        <v>512</v>
      </c>
      <c r="E180" s="4">
        <f>IFERROR(__xludf.DUMMYFUNCTION("INDEX(SPLIT(D180,"":""),0,1)*60+INDEX(SPLIT(D180,"":""),0,2)"),429.979)</f>
        <v>429.979</v>
      </c>
      <c r="F180" s="5"/>
    </row>
    <row r="181">
      <c r="A181" s="6" t="s">
        <v>197</v>
      </c>
      <c r="B181" s="6" t="s">
        <v>490</v>
      </c>
      <c r="C181" s="6" t="s">
        <v>359</v>
      </c>
      <c r="D181" s="6" t="s">
        <v>513</v>
      </c>
      <c r="E181" s="7">
        <f>IFERROR(__xludf.DUMMYFUNCTION("INDEX(SPLIT(D181,"":""),0,1)*60+INDEX(SPLIT(D181,"":""),0,2)"),431.019)</f>
        <v>431.019</v>
      </c>
      <c r="F181" s="9"/>
    </row>
    <row r="182">
      <c r="A182" s="3" t="s">
        <v>153</v>
      </c>
      <c r="B182" s="3" t="s">
        <v>434</v>
      </c>
      <c r="C182" s="3" t="s">
        <v>412</v>
      </c>
      <c r="D182" s="3" t="s">
        <v>514</v>
      </c>
      <c r="E182" s="4">
        <f>IFERROR(__xludf.DUMMYFUNCTION("INDEX(SPLIT(D182,"":""),0,1)*60+INDEX(SPLIT(D182,"":""),0,2)"),431.14)</f>
        <v>431.14</v>
      </c>
      <c r="F182" s="5"/>
    </row>
    <row r="183">
      <c r="A183" s="6" t="s">
        <v>214</v>
      </c>
      <c r="B183" s="6" t="s">
        <v>515</v>
      </c>
      <c r="C183" s="6" t="s">
        <v>516</v>
      </c>
      <c r="D183" s="6" t="s">
        <v>518</v>
      </c>
      <c r="E183" s="7">
        <f>IFERROR(__xludf.DUMMYFUNCTION("INDEX(SPLIT(D183,"":""),0,1)*60+INDEX(SPLIT(D183,"":""),0,2)"),431.56)</f>
        <v>431.56</v>
      </c>
      <c r="F183" s="9"/>
    </row>
    <row r="184">
      <c r="A184" s="3" t="s">
        <v>519</v>
      </c>
      <c r="B184" s="3" t="s">
        <v>520</v>
      </c>
      <c r="C184" s="3" t="s">
        <v>359</v>
      </c>
      <c r="D184" s="3" t="s">
        <v>522</v>
      </c>
      <c r="E184" s="4">
        <f>IFERROR(__xludf.DUMMYFUNCTION("INDEX(SPLIT(D184,"":""),0,1)*60+INDEX(SPLIT(D184,"":""),0,2)"),432.182)</f>
        <v>432.182</v>
      </c>
      <c r="F184" s="18" t="s">
        <v>523</v>
      </c>
    </row>
    <row r="185">
      <c r="A185" s="6" t="s">
        <v>214</v>
      </c>
      <c r="B185" s="6" t="s">
        <v>524</v>
      </c>
      <c r="C185" s="6" t="s">
        <v>475</v>
      </c>
      <c r="D185" s="6" t="s">
        <v>525</v>
      </c>
      <c r="E185" s="7">
        <f>IFERROR(__xludf.DUMMYFUNCTION("INDEX(SPLIT(D185,"":""),0,1)*60+INDEX(SPLIT(D185,"":""),0,2)"),432.26)</f>
        <v>432.26</v>
      </c>
      <c r="F185" s="9"/>
    </row>
    <row r="186">
      <c r="A186" s="3" t="s">
        <v>70</v>
      </c>
      <c r="B186" s="3" t="s">
        <v>517</v>
      </c>
      <c r="C186" s="3" t="s">
        <v>131</v>
      </c>
      <c r="D186" s="3" t="s">
        <v>526</v>
      </c>
      <c r="E186" s="4">
        <f>IFERROR(__xludf.DUMMYFUNCTION("INDEX(SPLIT(D186,"":""),0,1)*60+INDEX(SPLIT(D186,"":""),0,2)"),432.599)</f>
        <v>432.599</v>
      </c>
      <c r="F186" s="5"/>
    </row>
    <row r="187">
      <c r="A187" s="6" t="s">
        <v>519</v>
      </c>
      <c r="B187" s="6" t="s">
        <v>528</v>
      </c>
      <c r="C187" s="6" t="s">
        <v>475</v>
      </c>
      <c r="D187" s="6" t="s">
        <v>529</v>
      </c>
      <c r="E187" s="7">
        <f>IFERROR(__xludf.DUMMYFUNCTION("INDEX(SPLIT(D187,"":""),0,1)*60+INDEX(SPLIT(D187,"":""),0,2)"),432.637)</f>
        <v>432.637</v>
      </c>
      <c r="F187" s="9"/>
    </row>
    <row r="188">
      <c r="A188" s="3" t="s">
        <v>214</v>
      </c>
      <c r="B188" s="3" t="s">
        <v>431</v>
      </c>
      <c r="C188" s="3" t="s">
        <v>432</v>
      </c>
      <c r="D188" s="3" t="s">
        <v>530</v>
      </c>
      <c r="E188" s="4">
        <f>IFERROR(__xludf.DUMMYFUNCTION("INDEX(SPLIT(D188,"":""),0,1)*60+INDEX(SPLIT(D188,"":""),0,2)"),432.881)</f>
        <v>432.881</v>
      </c>
      <c r="F188" s="5"/>
    </row>
    <row r="189">
      <c r="A189" s="6" t="s">
        <v>157</v>
      </c>
      <c r="B189" s="6" t="s">
        <v>521</v>
      </c>
      <c r="C189" s="6" t="s">
        <v>359</v>
      </c>
      <c r="D189" s="6" t="s">
        <v>533</v>
      </c>
      <c r="E189" s="7">
        <f>IFERROR(__xludf.DUMMYFUNCTION("INDEX(SPLIT(D189,"":""),0,1)*60+INDEX(SPLIT(D189,"":""),0,2)"),433.78)</f>
        <v>433.78</v>
      </c>
      <c r="F189" s="9"/>
    </row>
    <row r="190">
      <c r="A190" s="3" t="s">
        <v>48</v>
      </c>
      <c r="B190" s="3" t="s">
        <v>534</v>
      </c>
      <c r="C190" s="3" t="s">
        <v>532</v>
      </c>
      <c r="D190" s="3" t="s">
        <v>535</v>
      </c>
      <c r="E190" s="4">
        <f>IFERROR(__xludf.DUMMYFUNCTION("INDEX(SPLIT(D190,"":""),0,1)*60+INDEX(SPLIT(D190,"":""),0,2)"),434.637)</f>
        <v>434.637</v>
      </c>
      <c r="F190" s="5"/>
    </row>
    <row r="191">
      <c r="A191" s="6" t="s">
        <v>42</v>
      </c>
      <c r="B191" s="6" t="s">
        <v>536</v>
      </c>
      <c r="C191" s="6" t="s">
        <v>432</v>
      </c>
      <c r="D191" s="6" t="s">
        <v>535</v>
      </c>
      <c r="E191" s="7">
        <f>IFERROR(__xludf.DUMMYFUNCTION("INDEX(SPLIT(D191,"":""),0,1)*60+INDEX(SPLIT(D191,"":""),0,2)"),434.637)</f>
        <v>434.637</v>
      </c>
      <c r="F191" s="9"/>
    </row>
    <row r="192">
      <c r="A192" s="3" t="s">
        <v>38</v>
      </c>
      <c r="B192" s="3" t="s">
        <v>411</v>
      </c>
      <c r="C192" s="3" t="s">
        <v>412</v>
      </c>
      <c r="D192" s="3" t="s">
        <v>537</v>
      </c>
      <c r="E192" s="4">
        <f>IFERROR(__xludf.DUMMYFUNCTION("INDEX(SPLIT(D192,"":""),0,1)*60+INDEX(SPLIT(D192,"":""),0,2)"),436.219)</f>
        <v>436.219</v>
      </c>
      <c r="F192" s="5"/>
    </row>
    <row r="193">
      <c r="A193" s="6" t="s">
        <v>70</v>
      </c>
      <c r="B193" s="6" t="s">
        <v>539</v>
      </c>
      <c r="C193" s="6" t="s">
        <v>475</v>
      </c>
      <c r="D193" s="6" t="s">
        <v>540</v>
      </c>
      <c r="E193" s="7">
        <f>IFERROR(__xludf.DUMMYFUNCTION("INDEX(SPLIT(D193,"":""),0,1)*60+INDEX(SPLIT(D193,"":""),0,2)"),436.519)</f>
        <v>436.519</v>
      </c>
      <c r="F193" s="9"/>
    </row>
    <row r="194">
      <c r="A194" s="3" t="s">
        <v>90</v>
      </c>
      <c r="B194" s="3" t="s">
        <v>541</v>
      </c>
      <c r="C194" s="3" t="s">
        <v>516</v>
      </c>
      <c r="D194" s="3" t="s">
        <v>542</v>
      </c>
      <c r="E194" s="4">
        <f>IFERROR(__xludf.DUMMYFUNCTION("INDEX(SPLIT(D194,"":""),0,1)*60+INDEX(SPLIT(D194,"":""),0,2)"),436.541)</f>
        <v>436.541</v>
      </c>
      <c r="F194" s="5"/>
    </row>
    <row r="195">
      <c r="A195" s="6" t="s">
        <v>68</v>
      </c>
      <c r="B195" s="6" t="s">
        <v>531</v>
      </c>
      <c r="C195" s="6" t="s">
        <v>532</v>
      </c>
      <c r="D195" s="6" t="s">
        <v>543</v>
      </c>
      <c r="E195" s="7">
        <f>IFERROR(__xludf.DUMMYFUNCTION("INDEX(SPLIT(D195,"":""),0,1)*60+INDEX(SPLIT(D195,"":""),0,2)"),437.519)</f>
        <v>437.519</v>
      </c>
      <c r="F195" s="9"/>
    </row>
    <row r="196">
      <c r="A196" s="3" t="s">
        <v>36</v>
      </c>
      <c r="B196" s="3" t="s">
        <v>545</v>
      </c>
      <c r="C196" s="3" t="s">
        <v>516</v>
      </c>
      <c r="D196" s="3" t="s">
        <v>546</v>
      </c>
      <c r="E196" s="4">
        <f>IFERROR(__xludf.DUMMYFUNCTION("INDEX(SPLIT(D196,"":""),0,1)*60+INDEX(SPLIT(D196,"":""),0,2)"),438.26)</f>
        <v>438.26</v>
      </c>
      <c r="F196" s="5"/>
    </row>
    <row r="197">
      <c r="A197" s="6" t="s">
        <v>214</v>
      </c>
      <c r="B197" s="6" t="s">
        <v>547</v>
      </c>
      <c r="C197" s="6" t="s">
        <v>532</v>
      </c>
      <c r="D197" s="6" t="s">
        <v>548</v>
      </c>
      <c r="E197" s="7">
        <f>IFERROR(__xludf.DUMMYFUNCTION("INDEX(SPLIT(D197,"":""),0,1)*60+INDEX(SPLIT(D197,"":""),0,2)"),439.699)</f>
        <v>439.699</v>
      </c>
      <c r="F197" s="9"/>
    </row>
    <row r="198">
      <c r="A198" s="3" t="s">
        <v>91</v>
      </c>
      <c r="B198" s="3" t="s">
        <v>538</v>
      </c>
      <c r="C198" s="3" t="s">
        <v>412</v>
      </c>
      <c r="D198" s="3" t="s">
        <v>551</v>
      </c>
      <c r="E198" s="4">
        <f>IFERROR(__xludf.DUMMYFUNCTION("INDEX(SPLIT(D198,"":""),0,1)*60+INDEX(SPLIT(D198,"":""),0,2)"),439.797)</f>
        <v>439.797</v>
      </c>
      <c r="F198" s="5"/>
    </row>
    <row r="199">
      <c r="A199" s="6" t="s">
        <v>208</v>
      </c>
      <c r="B199" s="6" t="s">
        <v>552</v>
      </c>
      <c r="C199" s="6" t="s">
        <v>412</v>
      </c>
      <c r="D199" s="6" t="s">
        <v>553</v>
      </c>
      <c r="E199" s="7">
        <f>IFERROR(__xludf.DUMMYFUNCTION("INDEX(SPLIT(D199,"":""),0,1)*60+INDEX(SPLIT(D199,"":""),0,2)"),439.82)</f>
        <v>439.82</v>
      </c>
      <c r="F199" s="9"/>
    </row>
    <row r="200">
      <c r="A200" s="3" t="s">
        <v>91</v>
      </c>
      <c r="B200" s="3" t="s">
        <v>554</v>
      </c>
      <c r="C200" s="3" t="s">
        <v>532</v>
      </c>
      <c r="D200" s="3" t="s">
        <v>555</v>
      </c>
      <c r="E200" s="4">
        <f>IFERROR(__xludf.DUMMYFUNCTION("INDEX(SPLIT(D200,"":""),0,1)*60+INDEX(SPLIT(D200,"":""),0,2)"),439.9)</f>
        <v>439.9</v>
      </c>
      <c r="F200" s="5"/>
    </row>
    <row r="201">
      <c r="A201" s="6" t="s">
        <v>38</v>
      </c>
      <c r="B201" s="6" t="s">
        <v>556</v>
      </c>
      <c r="C201" s="6" t="s">
        <v>532</v>
      </c>
      <c r="D201" s="6" t="s">
        <v>557</v>
      </c>
      <c r="E201" s="7">
        <f>IFERROR(__xludf.DUMMYFUNCTION("INDEX(SPLIT(D201,"":""),0,1)*60+INDEX(SPLIT(D201,"":""),0,2)"),439.959)</f>
        <v>439.959</v>
      </c>
      <c r="F201" s="9"/>
    </row>
    <row r="202">
      <c r="A202" s="3" t="s">
        <v>208</v>
      </c>
      <c r="B202" s="3" t="s">
        <v>558</v>
      </c>
      <c r="C202" s="3" t="s">
        <v>412</v>
      </c>
      <c r="D202" s="3" t="s">
        <v>559</v>
      </c>
      <c r="E202" s="4">
        <f>IFERROR(__xludf.DUMMYFUNCTION("INDEX(SPLIT(D202,"":""),0,1)*60+INDEX(SPLIT(D202,"":""),0,2)"),440.657)</f>
        <v>440.657</v>
      </c>
      <c r="F202" s="5"/>
    </row>
    <row r="203">
      <c r="A203" s="6" t="s">
        <v>64</v>
      </c>
      <c r="B203" s="6" t="s">
        <v>560</v>
      </c>
      <c r="C203" s="6" t="s">
        <v>424</v>
      </c>
      <c r="D203" s="6" t="s">
        <v>561</v>
      </c>
      <c r="E203" s="7">
        <f>IFERROR(__xludf.DUMMYFUNCTION("INDEX(SPLIT(D203,"":""),0,1)*60+INDEX(SPLIT(D203,"":""),0,2)"),441.32)</f>
        <v>441.32</v>
      </c>
      <c r="F203" s="9"/>
    </row>
    <row r="204">
      <c r="A204" s="3" t="s">
        <v>157</v>
      </c>
      <c r="B204" s="3" t="s">
        <v>562</v>
      </c>
      <c r="C204" s="3" t="s">
        <v>432</v>
      </c>
      <c r="D204" s="3" t="s">
        <v>563</v>
      </c>
      <c r="E204" s="4">
        <f>IFERROR(__xludf.DUMMYFUNCTION("INDEX(SPLIT(D204,"":""),0,1)*60+INDEX(SPLIT(D204,"":""),0,2)"),441.779)</f>
        <v>441.779</v>
      </c>
      <c r="F204" s="5"/>
    </row>
    <row r="205">
      <c r="A205" s="6" t="s">
        <v>153</v>
      </c>
      <c r="B205" s="6" t="s">
        <v>564</v>
      </c>
      <c r="C205" s="6" t="s">
        <v>412</v>
      </c>
      <c r="D205" s="6" t="s">
        <v>565</v>
      </c>
      <c r="E205" s="7">
        <f>IFERROR(__xludf.DUMMYFUNCTION("INDEX(SPLIT(D205,"":""),0,1)*60+INDEX(SPLIT(D205,"":""),0,2)"),443.36)</f>
        <v>443.36</v>
      </c>
      <c r="F205" s="9"/>
    </row>
    <row r="206">
      <c r="A206" s="3" t="s">
        <v>331</v>
      </c>
      <c r="B206" s="3" t="s">
        <v>332</v>
      </c>
      <c r="C206" s="3" t="s">
        <v>334</v>
      </c>
      <c r="D206" s="3" t="s">
        <v>566</v>
      </c>
      <c r="E206" s="4">
        <f>IFERROR(__xludf.DUMMYFUNCTION("INDEX(SPLIT(D206,"":""),0,1)*60+INDEX(SPLIT(D206,"":""),0,2)"),443.579)</f>
        <v>443.579</v>
      </c>
      <c r="F206" s="5"/>
    </row>
    <row r="207">
      <c r="A207" s="6" t="s">
        <v>214</v>
      </c>
      <c r="B207" s="6" t="s">
        <v>567</v>
      </c>
      <c r="C207" s="6" t="s">
        <v>412</v>
      </c>
      <c r="D207" s="6" t="s">
        <v>568</v>
      </c>
      <c r="E207" s="7">
        <f>IFERROR(__xludf.DUMMYFUNCTION("INDEX(SPLIT(D207,"":""),0,1)*60+INDEX(SPLIT(D207,"":""),0,2)"),445.437)</f>
        <v>445.437</v>
      </c>
      <c r="F207" s="9"/>
    </row>
    <row r="208">
      <c r="A208" s="3" t="s">
        <v>157</v>
      </c>
      <c r="B208" s="3" t="s">
        <v>569</v>
      </c>
      <c r="C208" s="3" t="s">
        <v>412</v>
      </c>
      <c r="D208" s="3" t="s">
        <v>570</v>
      </c>
      <c r="E208" s="4">
        <f>IFERROR(__xludf.DUMMYFUNCTION("INDEX(SPLIT(D208,"":""),0,1)*60+INDEX(SPLIT(D208,"":""),0,2)"),447.36)</f>
        <v>447.36</v>
      </c>
      <c r="F208" s="5"/>
    </row>
    <row r="209">
      <c r="A209" s="6" t="s">
        <v>42</v>
      </c>
      <c r="B209" s="6" t="s">
        <v>571</v>
      </c>
      <c r="C209" s="6" t="s">
        <v>572</v>
      </c>
      <c r="D209" s="6" t="s">
        <v>573</v>
      </c>
      <c r="E209" s="7">
        <f>IFERROR(__xludf.DUMMYFUNCTION("INDEX(SPLIT(D209,"":""),0,1)*60+INDEX(SPLIT(D209,"":""),0,2)"),450.199)</f>
        <v>450.199</v>
      </c>
      <c r="F209" s="9"/>
    </row>
    <row r="210">
      <c r="A210" s="3" t="s">
        <v>46</v>
      </c>
      <c r="B210" s="3" t="s">
        <v>574</v>
      </c>
      <c r="C210" s="3" t="s">
        <v>575</v>
      </c>
      <c r="D210" s="3" t="s">
        <v>576</v>
      </c>
      <c r="E210" s="4">
        <f>IFERROR(__xludf.DUMMYFUNCTION("INDEX(SPLIT(D210,"":""),0,1)*60+INDEX(SPLIT(D210,"":""),0,2)"),450.74)</f>
        <v>450.74</v>
      </c>
      <c r="F210" s="5"/>
    </row>
    <row r="211">
      <c r="A211" s="6" t="s">
        <v>157</v>
      </c>
      <c r="B211" s="6" t="s">
        <v>577</v>
      </c>
      <c r="C211" s="6" t="s">
        <v>572</v>
      </c>
      <c r="D211" s="6" t="s">
        <v>578</v>
      </c>
      <c r="E211" s="7">
        <f>IFERROR(__xludf.DUMMYFUNCTION("INDEX(SPLIT(D211,"":""),0,1)*60+INDEX(SPLIT(D211,"":""),0,2)"),455.72)</f>
        <v>455.72</v>
      </c>
      <c r="F211" s="9"/>
    </row>
    <row r="212">
      <c r="A212" s="3" t="s">
        <v>83</v>
      </c>
      <c r="B212" s="3" t="s">
        <v>579</v>
      </c>
      <c r="C212" s="3" t="s">
        <v>580</v>
      </c>
      <c r="D212" s="3" t="s">
        <v>581</v>
      </c>
      <c r="E212" s="4">
        <f>IFERROR(__xludf.DUMMYFUNCTION("INDEX(SPLIT(D212,"":""),0,1)*60+INDEX(SPLIT(D212,"":""),0,2)"),457.843)</f>
        <v>457.843</v>
      </c>
      <c r="F212" s="18" t="s">
        <v>582</v>
      </c>
    </row>
    <row r="213">
      <c r="A213" s="6" t="s">
        <v>91</v>
      </c>
      <c r="B213" s="6" t="s">
        <v>583</v>
      </c>
      <c r="C213" s="6" t="s">
        <v>584</v>
      </c>
      <c r="D213" s="6" t="s">
        <v>585</v>
      </c>
      <c r="E213" s="7">
        <f>IFERROR(__xludf.DUMMYFUNCTION("INDEX(SPLIT(D213,"":""),0,1)*60+INDEX(SPLIT(D213,"":""),0,2)"),458.32)</f>
        <v>458.32</v>
      </c>
      <c r="F213" s="9"/>
    </row>
    <row r="214">
      <c r="A214" s="3" t="s">
        <v>122</v>
      </c>
      <c r="B214" s="3" t="s">
        <v>586</v>
      </c>
      <c r="C214" s="3" t="s">
        <v>587</v>
      </c>
      <c r="D214" s="3" t="s">
        <v>588</v>
      </c>
      <c r="E214" s="4">
        <f>IFERROR(__xludf.DUMMYFUNCTION("INDEX(SPLIT(D214,"":""),0,1)*60+INDEX(SPLIT(D214,"":""),0,2)"),459.961)</f>
        <v>459.961</v>
      </c>
      <c r="F214" s="5"/>
    </row>
    <row r="215">
      <c r="A215" s="6" t="s">
        <v>589</v>
      </c>
      <c r="B215" s="6" t="s">
        <v>590</v>
      </c>
      <c r="C215" s="6" t="s">
        <v>591</v>
      </c>
      <c r="D215" s="6" t="s">
        <v>592</v>
      </c>
      <c r="E215" s="7">
        <f>IFERROR(__xludf.DUMMYFUNCTION("INDEX(SPLIT(D215,"":""),0,1)*60+INDEX(SPLIT(D215,"":""),0,2)"),462.28)</f>
        <v>462.28</v>
      </c>
      <c r="F215" s="9"/>
    </row>
    <row r="216">
      <c r="A216" s="3" t="s">
        <v>90</v>
      </c>
      <c r="B216" s="3" t="s">
        <v>593</v>
      </c>
      <c r="C216" s="3" t="s">
        <v>580</v>
      </c>
      <c r="D216" s="3" t="s">
        <v>594</v>
      </c>
      <c r="E216" s="4">
        <f>IFERROR(__xludf.DUMMYFUNCTION("INDEX(SPLIT(D216,"":""),0,1)*60+INDEX(SPLIT(D216,"":""),0,2)"),463.717)</f>
        <v>463.717</v>
      </c>
      <c r="F216" s="18" t="s">
        <v>595</v>
      </c>
    </row>
    <row r="217">
      <c r="A217" s="6" t="s">
        <v>91</v>
      </c>
      <c r="B217" s="6" t="s">
        <v>596</v>
      </c>
      <c r="C217" s="6" t="s">
        <v>584</v>
      </c>
      <c r="D217" s="6" t="s">
        <v>597</v>
      </c>
      <c r="E217" s="7">
        <f>IFERROR(__xludf.DUMMYFUNCTION("INDEX(SPLIT(D217,"":""),0,1)*60+INDEX(SPLIT(D217,"":""),0,2)"),464.76)</f>
        <v>464.76</v>
      </c>
      <c r="F217" s="9"/>
    </row>
    <row r="218">
      <c r="A218" s="3" t="s">
        <v>90</v>
      </c>
      <c r="B218" s="3" t="s">
        <v>598</v>
      </c>
      <c r="C218" s="3" t="s">
        <v>599</v>
      </c>
      <c r="D218" s="3" t="s">
        <v>600</v>
      </c>
      <c r="E218" s="4">
        <f>IFERROR(__xludf.DUMMYFUNCTION("INDEX(SPLIT(D218,"":""),0,1)*60+INDEX(SPLIT(D218,"":""),0,2)"),465.979)</f>
        <v>465.979</v>
      </c>
      <c r="F218" s="5"/>
    </row>
    <row r="219">
      <c r="A219" s="6" t="s">
        <v>214</v>
      </c>
      <c r="B219" s="6" t="s">
        <v>601</v>
      </c>
      <c r="C219" s="6" t="s">
        <v>572</v>
      </c>
      <c r="D219" s="6" t="s">
        <v>602</v>
      </c>
      <c r="E219" s="7">
        <f>IFERROR(__xludf.DUMMYFUNCTION("INDEX(SPLIT(D219,"":""),0,1)*60+INDEX(SPLIT(D219,"":""),0,2)"),468.399)</f>
        <v>468.399</v>
      </c>
      <c r="F219" s="9"/>
    </row>
    <row r="220">
      <c r="A220" s="3" t="s">
        <v>197</v>
      </c>
      <c r="B220" s="3" t="s">
        <v>603</v>
      </c>
      <c r="C220" s="3" t="s">
        <v>584</v>
      </c>
      <c r="D220" s="3" t="s">
        <v>604</v>
      </c>
      <c r="E220" s="4">
        <f>IFERROR(__xludf.DUMMYFUNCTION("INDEX(SPLIT(D220,"":""),0,1)*60+INDEX(SPLIT(D220,"":""),0,2)"),470.503)</f>
        <v>470.503</v>
      </c>
      <c r="F220" s="5"/>
    </row>
    <row r="221">
      <c r="A221" s="6" t="s">
        <v>9</v>
      </c>
      <c r="B221" s="6" t="s">
        <v>527</v>
      </c>
      <c r="C221" s="6" t="s">
        <v>527</v>
      </c>
      <c r="D221" s="6" t="s">
        <v>606</v>
      </c>
      <c r="E221" s="7">
        <f>IFERROR(__xludf.DUMMYFUNCTION("INDEX(SPLIT(D221,"":""),0,1)*60+INDEX(SPLIT(D221,"":""),0,2)"),471.122)</f>
        <v>471.122</v>
      </c>
      <c r="F221" s="9"/>
    </row>
    <row r="222">
      <c r="A222" s="3" t="s">
        <v>208</v>
      </c>
      <c r="B222" s="3" t="s">
        <v>607</v>
      </c>
      <c r="C222" s="3" t="s">
        <v>580</v>
      </c>
      <c r="D222" s="3" t="s">
        <v>608</v>
      </c>
      <c r="E222" s="4">
        <f>IFERROR(__xludf.DUMMYFUNCTION("INDEX(SPLIT(D222,"":""),0,1)*60+INDEX(SPLIT(D222,"":""),0,2)"),475.521)</f>
        <v>475.521</v>
      </c>
      <c r="F222" s="21">
        <v>0.35</v>
      </c>
    </row>
    <row r="223">
      <c r="A223" s="6" t="s">
        <v>36</v>
      </c>
      <c r="B223" s="6" t="s">
        <v>609</v>
      </c>
      <c r="C223" s="6" t="s">
        <v>580</v>
      </c>
      <c r="D223" s="6" t="s">
        <v>610</v>
      </c>
      <c r="E223" s="7">
        <f>IFERROR(__xludf.DUMMYFUNCTION("INDEX(SPLIT(D223,"":""),0,1)*60+INDEX(SPLIT(D223,"":""),0,2)"),475.62)</f>
        <v>475.62</v>
      </c>
      <c r="F223" s="9"/>
    </row>
    <row r="224">
      <c r="A224" s="3" t="s">
        <v>214</v>
      </c>
      <c r="B224" s="3" t="s">
        <v>611</v>
      </c>
      <c r="C224" s="3" t="s">
        <v>612</v>
      </c>
      <c r="D224" s="3" t="s">
        <v>613</v>
      </c>
      <c r="E224" s="4">
        <f>IFERROR(__xludf.DUMMYFUNCTION("INDEX(SPLIT(D224,"":""),0,1)*60+INDEX(SPLIT(D224,"":""),0,2)"),493.859)</f>
        <v>493.859</v>
      </c>
      <c r="F224" s="5"/>
    </row>
    <row r="225">
      <c r="A225" s="6" t="s">
        <v>214</v>
      </c>
      <c r="B225" s="6" t="s">
        <v>614</v>
      </c>
      <c r="C225" s="6" t="s">
        <v>615</v>
      </c>
      <c r="D225" s="6" t="s">
        <v>616</v>
      </c>
      <c r="E225" s="7">
        <f>IFERROR(__xludf.DUMMYFUNCTION("INDEX(SPLIT(D225,"":""),0,1)*60+INDEX(SPLIT(D225,"":""),0,2)"),496.759)</f>
        <v>496.759</v>
      </c>
      <c r="F225" s="9"/>
    </row>
    <row r="226">
      <c r="A226" s="3" t="s">
        <v>214</v>
      </c>
      <c r="B226" s="3" t="s">
        <v>617</v>
      </c>
      <c r="C226" s="3" t="s">
        <v>612</v>
      </c>
      <c r="D226" s="3" t="s">
        <v>618</v>
      </c>
      <c r="E226" s="4">
        <f>IFERROR(__xludf.DUMMYFUNCTION("INDEX(SPLIT(D226,"":""),0,1)*60+INDEX(SPLIT(D226,"":""),0,2)"),498.12)</f>
        <v>498.12</v>
      </c>
      <c r="F226" s="5"/>
    </row>
    <row r="227">
      <c r="A227" s="6" t="s">
        <v>70</v>
      </c>
      <c r="B227" s="17">
        <v>86.0</v>
      </c>
      <c r="C227" s="6" t="s">
        <v>612</v>
      </c>
      <c r="D227" s="6" t="s">
        <v>619</v>
      </c>
      <c r="E227" s="7">
        <f>IFERROR(__xludf.DUMMYFUNCTION("INDEX(SPLIT(D227,"":""),0,1)*60+INDEX(SPLIT(D227,"":""),0,2)"),500.359)</f>
        <v>500.359</v>
      </c>
      <c r="F227" s="9"/>
    </row>
    <row r="228">
      <c r="A228" s="3" t="s">
        <v>70</v>
      </c>
      <c r="B228" s="3" t="s">
        <v>620</v>
      </c>
      <c r="C228" s="3" t="s">
        <v>612</v>
      </c>
      <c r="D228" s="3" t="s">
        <v>621</v>
      </c>
      <c r="E228" s="4">
        <f>IFERROR(__xludf.DUMMYFUNCTION("INDEX(SPLIT(D228,"":""),0,1)*60+INDEX(SPLIT(D228,"":""),0,2)"),500.438)</f>
        <v>500.438</v>
      </c>
      <c r="F228" s="5"/>
    </row>
    <row r="229">
      <c r="A229" s="6" t="s">
        <v>42</v>
      </c>
      <c r="B229" s="6" t="s">
        <v>622</v>
      </c>
      <c r="C229" s="6" t="s">
        <v>623</v>
      </c>
      <c r="D229" s="6" t="s">
        <v>624</v>
      </c>
      <c r="E229" s="7">
        <f>IFERROR(__xludf.DUMMYFUNCTION("INDEX(SPLIT(D229,"":""),0,1)*60+INDEX(SPLIT(D229,"":""),0,2)"),502.675)</f>
        <v>502.675</v>
      </c>
      <c r="F229" s="9"/>
    </row>
    <row r="230">
      <c r="A230" s="3" t="s">
        <v>157</v>
      </c>
      <c r="B230" s="3" t="s">
        <v>625</v>
      </c>
      <c r="C230" s="3" t="s">
        <v>612</v>
      </c>
      <c r="D230" s="3" t="s">
        <v>626</v>
      </c>
      <c r="E230" s="4">
        <f>IFERROR(__xludf.DUMMYFUNCTION("INDEX(SPLIT(D230,"":""),0,1)*60+INDEX(SPLIT(D230,"":""),0,2)"),504.06)</f>
        <v>504.06</v>
      </c>
      <c r="F230" s="5"/>
    </row>
    <row r="231">
      <c r="A231" s="6" t="s">
        <v>64</v>
      </c>
      <c r="B231" s="6" t="s">
        <v>627</v>
      </c>
      <c r="C231" s="6" t="s">
        <v>628</v>
      </c>
      <c r="D231" s="6" t="s">
        <v>629</v>
      </c>
      <c r="E231" s="7">
        <f>IFERROR(__xludf.DUMMYFUNCTION("INDEX(SPLIT(D231,"":""),0,1)*60+INDEX(SPLIT(D231,"":""),0,2)"),505.86)</f>
        <v>505.86</v>
      </c>
      <c r="F231" s="9"/>
    </row>
    <row r="232">
      <c r="A232" s="3" t="s">
        <v>214</v>
      </c>
      <c r="B232" s="3" t="s">
        <v>630</v>
      </c>
      <c r="C232" s="3" t="s">
        <v>631</v>
      </c>
      <c r="D232" s="3" t="s">
        <v>632</v>
      </c>
      <c r="E232" s="4">
        <f>IFERROR(__xludf.DUMMYFUNCTION("INDEX(SPLIT(D232,"":""),0,1)*60+INDEX(SPLIT(D232,"":""),0,2)"),508.219)</f>
        <v>508.219</v>
      </c>
      <c r="F232" s="5"/>
    </row>
    <row r="233">
      <c r="A233" s="6" t="s">
        <v>214</v>
      </c>
      <c r="B233" s="6" t="s">
        <v>633</v>
      </c>
      <c r="C233" s="6" t="s">
        <v>612</v>
      </c>
      <c r="D233" s="6" t="s">
        <v>634</v>
      </c>
      <c r="E233" s="7">
        <f>IFERROR(__xludf.DUMMYFUNCTION("INDEX(SPLIT(D233,"":""),0,1)*60+INDEX(SPLIT(D233,"":""),0,2)"),516.36)</f>
        <v>516.36</v>
      </c>
      <c r="F233" s="9"/>
    </row>
    <row r="234">
      <c r="A234" s="3" t="s">
        <v>122</v>
      </c>
      <c r="B234" s="3" t="s">
        <v>635</v>
      </c>
      <c r="C234" s="3" t="s">
        <v>635</v>
      </c>
      <c r="D234" s="3" t="s">
        <v>636</v>
      </c>
      <c r="E234" s="4">
        <f>IFERROR(__xludf.DUMMYFUNCTION("INDEX(SPLIT(D234,"":""),0,1)*60+INDEX(SPLIT(D234,"":""),0,2)"),526.563)</f>
        <v>526.563</v>
      </c>
      <c r="F234" s="5"/>
    </row>
  </sheetData>
  <autoFilter ref="$A$1:$X$965">
    <sortState ref="A1:X965">
      <sortCondition ref="D1:D965"/>
      <sortCondition ref="F1:F965"/>
      <sortCondition ref="A1:A965"/>
      <sortCondition ref="B1:B96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29"/>
    <col customWidth="1" min="2" max="2" width="38.71"/>
    <col customWidth="1" min="3" max="3" width="22.29"/>
    <col customWidth="1" min="4" max="4" width="19.14"/>
    <col customWidth="1" min="5" max="5" width="18.14"/>
    <col customWidth="1" min="6" max="6" width="18.57"/>
    <col customWidth="1" min="7" max="7" width="18.43"/>
    <col customWidth="1" min="9" max="9" width="23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15</v>
      </c>
      <c r="C2" s="3" t="s">
        <v>18</v>
      </c>
      <c r="D2" s="3">
        <v>260.0</v>
      </c>
      <c r="E2" s="3">
        <f t="shared" ref="E2:E269" si="1">ROUND(D2*1.60934,1)</f>
        <v>418.4</v>
      </c>
      <c r="F2" s="3">
        <v>1207.0</v>
      </c>
      <c r="G2" s="8">
        <f t="shared" ref="G2:G269" si="2">ROUND((D2^3)/(1000*F2),1)</f>
        <v>14.6</v>
      </c>
      <c r="H2" s="3">
        <v>1609.0</v>
      </c>
      <c r="I2" s="8">
        <f t="shared" ref="I2:I269" si="3">ROUND(F2/H2,3)</f>
        <v>0.75</v>
      </c>
    </row>
    <row r="3">
      <c r="A3" s="6" t="s">
        <v>38</v>
      </c>
      <c r="B3" s="6" t="s">
        <v>40</v>
      </c>
      <c r="C3" s="6" t="s">
        <v>33</v>
      </c>
      <c r="D3" s="6">
        <v>250.0</v>
      </c>
      <c r="E3" s="6">
        <f t="shared" si="1"/>
        <v>402.3</v>
      </c>
      <c r="F3" s="6">
        <v>1229.0</v>
      </c>
      <c r="G3" s="11">
        <f t="shared" si="2"/>
        <v>12.7</v>
      </c>
      <c r="H3" s="6">
        <v>1829.0</v>
      </c>
      <c r="I3" s="11">
        <f t="shared" si="3"/>
        <v>0.672</v>
      </c>
    </row>
    <row r="4">
      <c r="A4" s="3" t="s">
        <v>46</v>
      </c>
      <c r="B4" s="3" t="s">
        <v>47</v>
      </c>
      <c r="C4" s="3" t="s">
        <v>44</v>
      </c>
      <c r="D4" s="3">
        <v>247.0</v>
      </c>
      <c r="E4" s="12">
        <f t="shared" si="1"/>
        <v>397.5</v>
      </c>
      <c r="F4" s="3">
        <v>872.0</v>
      </c>
      <c r="G4" s="8">
        <f t="shared" si="2"/>
        <v>17.3</v>
      </c>
      <c r="H4" s="3">
        <v>2006.0</v>
      </c>
      <c r="I4" s="8">
        <f t="shared" si="3"/>
        <v>0.435</v>
      </c>
    </row>
    <row r="5">
      <c r="A5" s="6" t="s">
        <v>42</v>
      </c>
      <c r="B5" s="6" t="s">
        <v>54</v>
      </c>
      <c r="C5" s="6" t="s">
        <v>44</v>
      </c>
      <c r="D5" s="6">
        <v>246.0</v>
      </c>
      <c r="E5" s="6">
        <f t="shared" si="1"/>
        <v>395.9</v>
      </c>
      <c r="F5" s="6">
        <v>884.0</v>
      </c>
      <c r="G5" s="11">
        <f t="shared" si="2"/>
        <v>16.8</v>
      </c>
      <c r="H5" s="6">
        <v>1984.0</v>
      </c>
      <c r="I5" s="11">
        <f t="shared" si="3"/>
        <v>0.446</v>
      </c>
    </row>
    <row r="6">
      <c r="A6" s="3" t="s">
        <v>42</v>
      </c>
      <c r="B6" s="3" t="s">
        <v>43</v>
      </c>
      <c r="C6" s="3" t="s">
        <v>44</v>
      </c>
      <c r="D6" s="3">
        <v>245.0</v>
      </c>
      <c r="E6" s="3">
        <f t="shared" si="1"/>
        <v>394.3</v>
      </c>
      <c r="F6" s="3">
        <v>884.0</v>
      </c>
      <c r="G6" s="8">
        <f t="shared" si="2"/>
        <v>16.6</v>
      </c>
      <c r="H6" s="3">
        <v>1984.0</v>
      </c>
      <c r="I6" s="8">
        <f t="shared" si="3"/>
        <v>0.446</v>
      </c>
    </row>
    <row r="7">
      <c r="A7" s="6" t="s">
        <v>38</v>
      </c>
      <c r="B7" s="6" t="s">
        <v>62</v>
      </c>
      <c r="C7" s="6" t="s">
        <v>63</v>
      </c>
      <c r="D7" s="6">
        <v>242.0</v>
      </c>
      <c r="E7" s="6">
        <f t="shared" si="1"/>
        <v>389.5</v>
      </c>
      <c r="F7" s="6">
        <v>600.0</v>
      </c>
      <c r="G7" s="11">
        <f t="shared" si="2"/>
        <v>23.6</v>
      </c>
      <c r="H7" s="6">
        <v>1814.0</v>
      </c>
      <c r="I7" s="11">
        <f t="shared" si="3"/>
        <v>0.331</v>
      </c>
    </row>
    <row r="8">
      <c r="A8" s="3" t="s">
        <v>68</v>
      </c>
      <c r="B8" s="3" t="s">
        <v>69</v>
      </c>
      <c r="C8" s="3" t="s">
        <v>44</v>
      </c>
      <c r="D8" s="3">
        <v>239.0</v>
      </c>
      <c r="E8" s="3">
        <f t="shared" si="1"/>
        <v>384.6</v>
      </c>
      <c r="F8" s="3">
        <v>723.0</v>
      </c>
      <c r="G8" s="8">
        <f t="shared" si="2"/>
        <v>18.9</v>
      </c>
      <c r="H8" s="3">
        <v>1942.0</v>
      </c>
      <c r="I8" s="8">
        <f t="shared" si="3"/>
        <v>0.372</v>
      </c>
    </row>
    <row r="9">
      <c r="A9" s="6" t="s">
        <v>76</v>
      </c>
      <c r="B9" s="6" t="s">
        <v>77</v>
      </c>
      <c r="C9" s="6" t="s">
        <v>78</v>
      </c>
      <c r="D9" s="6">
        <v>235.0</v>
      </c>
      <c r="E9" s="6">
        <f t="shared" si="1"/>
        <v>378.2</v>
      </c>
      <c r="F9" s="6">
        <v>1411.0</v>
      </c>
      <c r="G9" s="11">
        <f t="shared" si="2"/>
        <v>9.2</v>
      </c>
      <c r="H9" s="6">
        <v>2700.0</v>
      </c>
      <c r="I9" s="11">
        <f t="shared" si="3"/>
        <v>0.523</v>
      </c>
    </row>
    <row r="10">
      <c r="A10" s="3" t="s">
        <v>38</v>
      </c>
      <c r="B10" s="3" t="s">
        <v>81</v>
      </c>
      <c r="C10" s="3" t="s">
        <v>82</v>
      </c>
      <c r="D10" s="3">
        <v>235.0</v>
      </c>
      <c r="E10" s="3">
        <f t="shared" si="1"/>
        <v>378.2</v>
      </c>
      <c r="F10" s="3">
        <v>892.0</v>
      </c>
      <c r="G10" s="8">
        <f t="shared" si="2"/>
        <v>14.5</v>
      </c>
      <c r="H10" s="3">
        <v>3601.0</v>
      </c>
      <c r="I10" s="8">
        <f t="shared" si="3"/>
        <v>0.248</v>
      </c>
    </row>
    <row r="11">
      <c r="A11" s="6" t="s">
        <v>86</v>
      </c>
      <c r="B11" s="6" t="s">
        <v>88</v>
      </c>
      <c r="C11" s="6" t="s">
        <v>82</v>
      </c>
      <c r="D11" s="6">
        <v>234.0</v>
      </c>
      <c r="E11" s="6">
        <f t="shared" si="1"/>
        <v>376.6</v>
      </c>
      <c r="F11" s="6">
        <v>779.0</v>
      </c>
      <c r="G11" s="11">
        <f t="shared" si="2"/>
        <v>16.4</v>
      </c>
      <c r="H11" s="6">
        <v>3086.0</v>
      </c>
      <c r="I11" s="11">
        <f t="shared" si="3"/>
        <v>0.252</v>
      </c>
    </row>
    <row r="12">
      <c r="A12" s="3" t="s">
        <v>91</v>
      </c>
      <c r="B12" s="3" t="s">
        <v>93</v>
      </c>
      <c r="C12" s="3" t="s">
        <v>63</v>
      </c>
      <c r="D12" s="3">
        <v>234.0</v>
      </c>
      <c r="E12" s="3">
        <f t="shared" si="1"/>
        <v>376.6</v>
      </c>
      <c r="F12" s="3">
        <v>612.0</v>
      </c>
      <c r="G12" s="8">
        <f t="shared" si="2"/>
        <v>20.9</v>
      </c>
      <c r="H12" s="3">
        <v>2072.0</v>
      </c>
      <c r="I12" s="8">
        <f t="shared" si="3"/>
        <v>0.295</v>
      </c>
    </row>
    <row r="13">
      <c r="A13" s="6" t="s">
        <v>36</v>
      </c>
      <c r="B13" s="13" t="s">
        <v>97</v>
      </c>
      <c r="C13" s="6" t="s">
        <v>39</v>
      </c>
      <c r="D13" s="6">
        <v>233.0</v>
      </c>
      <c r="E13" s="6">
        <f t="shared" si="1"/>
        <v>375</v>
      </c>
      <c r="F13" s="6">
        <v>928.0</v>
      </c>
      <c r="G13" s="11">
        <f t="shared" si="2"/>
        <v>13.6</v>
      </c>
      <c r="H13" s="6">
        <v>1929.0</v>
      </c>
      <c r="I13" s="11">
        <f t="shared" si="3"/>
        <v>0.481</v>
      </c>
    </row>
    <row r="14">
      <c r="A14" s="3" t="s">
        <v>38</v>
      </c>
      <c r="B14" s="3" t="s">
        <v>104</v>
      </c>
      <c r="C14" s="3" t="s">
        <v>105</v>
      </c>
      <c r="D14" s="3">
        <v>232.0</v>
      </c>
      <c r="E14" s="3">
        <f t="shared" si="1"/>
        <v>373.4</v>
      </c>
      <c r="F14" s="3">
        <v>842.0</v>
      </c>
      <c r="G14" s="8">
        <f t="shared" si="2"/>
        <v>14.8</v>
      </c>
      <c r="H14" s="3">
        <v>2259.0</v>
      </c>
      <c r="I14" s="8">
        <f t="shared" si="3"/>
        <v>0.373</v>
      </c>
    </row>
    <row r="15">
      <c r="A15" s="6" t="s">
        <v>38</v>
      </c>
      <c r="B15" s="6" t="s">
        <v>109</v>
      </c>
      <c r="C15" s="6" t="s">
        <v>105</v>
      </c>
      <c r="D15" s="6">
        <v>232.0</v>
      </c>
      <c r="E15" s="6">
        <f t="shared" si="1"/>
        <v>373.4</v>
      </c>
      <c r="F15" s="6">
        <v>842.0</v>
      </c>
      <c r="G15" s="11">
        <f t="shared" si="2"/>
        <v>14.8</v>
      </c>
      <c r="H15" s="6">
        <v>2259.0</v>
      </c>
      <c r="I15" s="11">
        <f t="shared" si="3"/>
        <v>0.373</v>
      </c>
    </row>
    <row r="16">
      <c r="A16" s="3" t="s">
        <v>9</v>
      </c>
      <c r="B16" s="3" t="s">
        <v>112</v>
      </c>
      <c r="C16" s="3" t="s">
        <v>18</v>
      </c>
      <c r="D16" s="3">
        <v>231.0</v>
      </c>
      <c r="E16" s="3">
        <f t="shared" si="1"/>
        <v>371.8</v>
      </c>
      <c r="F16" s="3">
        <v>739.0</v>
      </c>
      <c r="G16" s="8">
        <f t="shared" si="2"/>
        <v>16.7</v>
      </c>
      <c r="H16" s="3">
        <v>1609.0</v>
      </c>
      <c r="I16" s="8">
        <f t="shared" si="3"/>
        <v>0.459</v>
      </c>
    </row>
    <row r="17">
      <c r="A17" s="6" t="s">
        <v>38</v>
      </c>
      <c r="B17" s="6" t="s">
        <v>117</v>
      </c>
      <c r="C17" s="6" t="s">
        <v>44</v>
      </c>
      <c r="D17" s="6">
        <v>231.0</v>
      </c>
      <c r="E17" s="6">
        <f t="shared" si="1"/>
        <v>371.8</v>
      </c>
      <c r="F17" s="6">
        <v>775.0</v>
      </c>
      <c r="G17" s="11">
        <f t="shared" si="2"/>
        <v>15.9</v>
      </c>
      <c r="H17" s="6">
        <v>1873.0</v>
      </c>
      <c r="I17" s="11">
        <f t="shared" si="3"/>
        <v>0.414</v>
      </c>
    </row>
    <row r="18">
      <c r="A18" s="3" t="s">
        <v>91</v>
      </c>
      <c r="B18" s="3" t="s">
        <v>121</v>
      </c>
      <c r="C18" s="3" t="s">
        <v>82</v>
      </c>
      <c r="D18" s="3">
        <v>231.0</v>
      </c>
      <c r="E18" s="3">
        <f t="shared" si="1"/>
        <v>371.8</v>
      </c>
      <c r="F18" s="3">
        <v>942.0</v>
      </c>
      <c r="G18" s="8">
        <f t="shared" si="2"/>
        <v>13.1</v>
      </c>
      <c r="H18" s="3">
        <v>3494.0</v>
      </c>
      <c r="I18" s="8">
        <f t="shared" si="3"/>
        <v>0.27</v>
      </c>
    </row>
    <row r="19">
      <c r="A19" s="6" t="s">
        <v>126</v>
      </c>
      <c r="B19" s="6" t="s">
        <v>129</v>
      </c>
      <c r="C19" s="6" t="s">
        <v>131</v>
      </c>
      <c r="D19" s="6">
        <v>231.0</v>
      </c>
      <c r="E19" s="6">
        <f t="shared" si="1"/>
        <v>371.8</v>
      </c>
      <c r="F19" s="6">
        <v>622.0</v>
      </c>
      <c r="G19" s="11">
        <f t="shared" si="2"/>
        <v>19.8</v>
      </c>
      <c r="H19" s="6">
        <v>2506.0</v>
      </c>
      <c r="I19" s="11">
        <f t="shared" si="3"/>
        <v>0.248</v>
      </c>
    </row>
    <row r="20">
      <c r="A20" s="3" t="s">
        <v>9</v>
      </c>
      <c r="B20" s="3" t="s">
        <v>134</v>
      </c>
      <c r="C20" s="3" t="s">
        <v>34</v>
      </c>
      <c r="D20" s="3">
        <v>226.0</v>
      </c>
      <c r="E20" s="3">
        <f t="shared" si="1"/>
        <v>363.7</v>
      </c>
      <c r="F20" s="3">
        <v>838.0</v>
      </c>
      <c r="G20" s="8">
        <f t="shared" si="2"/>
        <v>13.8</v>
      </c>
      <c r="H20" s="3">
        <v>1433.0</v>
      </c>
      <c r="I20" s="8">
        <f t="shared" si="3"/>
        <v>0.585</v>
      </c>
    </row>
    <row r="21">
      <c r="A21" s="6" t="s">
        <v>46</v>
      </c>
      <c r="B21" s="6" t="s">
        <v>137</v>
      </c>
      <c r="C21" s="6" t="s">
        <v>105</v>
      </c>
      <c r="D21" s="6">
        <v>225.0</v>
      </c>
      <c r="E21" s="6">
        <f t="shared" si="1"/>
        <v>362.1</v>
      </c>
      <c r="F21" s="6">
        <v>943.0</v>
      </c>
      <c r="G21" s="11">
        <f t="shared" si="2"/>
        <v>12.1</v>
      </c>
      <c r="H21" s="6">
        <v>2810.0</v>
      </c>
      <c r="I21" s="11">
        <f t="shared" si="3"/>
        <v>0.336</v>
      </c>
    </row>
    <row r="22">
      <c r="A22" s="3" t="s">
        <v>91</v>
      </c>
      <c r="B22" s="3" t="s">
        <v>140</v>
      </c>
      <c r="C22" s="3" t="s">
        <v>141</v>
      </c>
      <c r="D22" s="3">
        <v>225.0</v>
      </c>
      <c r="E22" s="3">
        <f t="shared" si="1"/>
        <v>362.1</v>
      </c>
      <c r="F22" s="3">
        <v>802.0</v>
      </c>
      <c r="G22" s="8">
        <f t="shared" si="2"/>
        <v>14.2</v>
      </c>
      <c r="H22" s="3">
        <v>2314.0</v>
      </c>
      <c r="I22" s="8">
        <f t="shared" si="3"/>
        <v>0.347</v>
      </c>
    </row>
    <row r="23">
      <c r="A23" s="6" t="s">
        <v>70</v>
      </c>
      <c r="B23" s="6" t="s">
        <v>87</v>
      </c>
      <c r="C23" s="6" t="s">
        <v>58</v>
      </c>
      <c r="D23" s="6">
        <v>225.0</v>
      </c>
      <c r="E23" s="6">
        <f t="shared" si="1"/>
        <v>362.1</v>
      </c>
      <c r="F23" s="6">
        <v>998.0</v>
      </c>
      <c r="G23" s="11">
        <f t="shared" si="2"/>
        <v>11.4</v>
      </c>
      <c r="H23" s="6">
        <v>1929.0</v>
      </c>
      <c r="I23" s="11">
        <f t="shared" si="3"/>
        <v>0.517</v>
      </c>
    </row>
    <row r="24">
      <c r="A24" s="3" t="s">
        <v>36</v>
      </c>
      <c r="B24" s="3" t="s">
        <v>146</v>
      </c>
      <c r="C24" s="3" t="s">
        <v>39</v>
      </c>
      <c r="D24" s="3">
        <v>224.0</v>
      </c>
      <c r="E24" s="3">
        <f t="shared" si="1"/>
        <v>360.5</v>
      </c>
      <c r="F24" s="3">
        <v>928.0</v>
      </c>
      <c r="G24" s="8">
        <f t="shared" si="2"/>
        <v>12.1</v>
      </c>
      <c r="H24" s="3">
        <v>1929.0</v>
      </c>
      <c r="I24" s="8">
        <f t="shared" si="3"/>
        <v>0.481</v>
      </c>
    </row>
    <row r="25">
      <c r="A25" s="6" t="s">
        <v>38</v>
      </c>
      <c r="B25" s="6" t="s">
        <v>151</v>
      </c>
      <c r="C25" s="6" t="s">
        <v>63</v>
      </c>
      <c r="D25" s="6">
        <v>224.0</v>
      </c>
      <c r="E25" s="6">
        <f t="shared" si="1"/>
        <v>360.5</v>
      </c>
      <c r="F25" s="6">
        <v>600.0</v>
      </c>
      <c r="G25" s="11">
        <f t="shared" si="2"/>
        <v>18.7</v>
      </c>
      <c r="H25" s="6">
        <v>1763.0</v>
      </c>
      <c r="I25" s="11">
        <f t="shared" si="3"/>
        <v>0.34</v>
      </c>
    </row>
    <row r="26">
      <c r="A26" s="3" t="s">
        <v>153</v>
      </c>
      <c r="B26" s="3" t="s">
        <v>154</v>
      </c>
      <c r="C26" s="3" t="s">
        <v>131</v>
      </c>
      <c r="D26" s="3">
        <v>223.0</v>
      </c>
      <c r="E26" s="3">
        <f t="shared" si="1"/>
        <v>358.9</v>
      </c>
      <c r="F26" s="3">
        <v>763.0</v>
      </c>
      <c r="G26" s="8">
        <f t="shared" si="2"/>
        <v>14.5</v>
      </c>
      <c r="H26" s="3">
        <v>3957.0</v>
      </c>
      <c r="I26" s="8">
        <f t="shared" si="3"/>
        <v>0.193</v>
      </c>
    </row>
    <row r="27">
      <c r="A27" s="6" t="s">
        <v>38</v>
      </c>
      <c r="B27" s="6" t="s">
        <v>160</v>
      </c>
      <c r="C27" s="6" t="s">
        <v>105</v>
      </c>
      <c r="D27" s="6">
        <v>222.0</v>
      </c>
      <c r="E27" s="6">
        <f t="shared" si="1"/>
        <v>357.3</v>
      </c>
      <c r="F27" s="6">
        <v>803.0</v>
      </c>
      <c r="G27" s="11">
        <f t="shared" si="2"/>
        <v>13.6</v>
      </c>
      <c r="H27" s="6">
        <v>2358.0</v>
      </c>
      <c r="I27" s="11">
        <f t="shared" si="3"/>
        <v>0.341</v>
      </c>
    </row>
    <row r="28">
      <c r="A28" s="3" t="s">
        <v>38</v>
      </c>
      <c r="B28" s="3" t="s">
        <v>163</v>
      </c>
      <c r="C28" s="3" t="s">
        <v>105</v>
      </c>
      <c r="D28" s="3">
        <v>222.0</v>
      </c>
      <c r="E28" s="3">
        <f t="shared" si="1"/>
        <v>357.3</v>
      </c>
      <c r="F28" s="3">
        <v>803.0</v>
      </c>
      <c r="G28" s="8">
        <f t="shared" si="2"/>
        <v>13.6</v>
      </c>
      <c r="H28" s="3">
        <v>2358.0</v>
      </c>
      <c r="I28" s="8">
        <f t="shared" si="3"/>
        <v>0.341</v>
      </c>
    </row>
    <row r="29">
      <c r="A29" s="6" t="s">
        <v>90</v>
      </c>
      <c r="B29" s="6" t="s">
        <v>165</v>
      </c>
      <c r="C29" s="6" t="s">
        <v>166</v>
      </c>
      <c r="D29" s="6">
        <v>222.0</v>
      </c>
      <c r="E29" s="6">
        <f t="shared" si="1"/>
        <v>357.3</v>
      </c>
      <c r="F29" s="6">
        <v>561.0</v>
      </c>
      <c r="G29" s="11">
        <f t="shared" si="2"/>
        <v>19.5</v>
      </c>
      <c r="H29" s="6">
        <v>1576.0</v>
      </c>
      <c r="I29" s="11">
        <f t="shared" si="3"/>
        <v>0.356</v>
      </c>
    </row>
    <row r="30">
      <c r="A30" s="3" t="s">
        <v>9</v>
      </c>
      <c r="B30" s="3" t="s">
        <v>169</v>
      </c>
      <c r="C30" s="3" t="s">
        <v>34</v>
      </c>
      <c r="D30" s="3">
        <v>221.0</v>
      </c>
      <c r="E30" s="3">
        <f t="shared" si="1"/>
        <v>355.7</v>
      </c>
      <c r="F30" s="3">
        <v>758.0</v>
      </c>
      <c r="G30" s="8">
        <f t="shared" si="2"/>
        <v>14.2</v>
      </c>
      <c r="H30" s="3">
        <v>1433.0</v>
      </c>
      <c r="I30" s="8">
        <f t="shared" si="3"/>
        <v>0.529</v>
      </c>
    </row>
    <row r="31">
      <c r="A31" s="6" t="s">
        <v>46</v>
      </c>
      <c r="B31" s="6" t="s">
        <v>96</v>
      </c>
      <c r="C31" s="6" t="s">
        <v>44</v>
      </c>
      <c r="D31" s="6">
        <v>221.0</v>
      </c>
      <c r="E31" s="6">
        <f t="shared" si="1"/>
        <v>355.7</v>
      </c>
      <c r="F31" s="6">
        <v>872.0</v>
      </c>
      <c r="G31" s="11">
        <f t="shared" si="2"/>
        <v>12.4</v>
      </c>
      <c r="H31" s="6">
        <v>2006.0</v>
      </c>
      <c r="I31" s="11">
        <f t="shared" si="3"/>
        <v>0.435</v>
      </c>
    </row>
    <row r="32">
      <c r="A32" s="3" t="s">
        <v>70</v>
      </c>
      <c r="B32" s="3" t="s">
        <v>177</v>
      </c>
      <c r="C32" s="3" t="s">
        <v>39</v>
      </c>
      <c r="D32" s="3">
        <v>221.0</v>
      </c>
      <c r="E32" s="3">
        <f t="shared" si="1"/>
        <v>355.7</v>
      </c>
      <c r="F32" s="3">
        <v>998.0</v>
      </c>
      <c r="G32" s="8">
        <f t="shared" si="2"/>
        <v>10.8</v>
      </c>
      <c r="H32" s="3">
        <v>1929.0</v>
      </c>
      <c r="I32" s="8">
        <f t="shared" si="3"/>
        <v>0.517</v>
      </c>
    </row>
    <row r="33">
      <c r="A33" s="6" t="s">
        <v>157</v>
      </c>
      <c r="B33" s="6" t="s">
        <v>158</v>
      </c>
      <c r="C33" s="6" t="s">
        <v>107</v>
      </c>
      <c r="D33" s="6">
        <v>221.0</v>
      </c>
      <c r="E33" s="6">
        <f t="shared" si="1"/>
        <v>355.7</v>
      </c>
      <c r="F33" s="6">
        <v>587.0</v>
      </c>
      <c r="G33" s="11">
        <f t="shared" si="2"/>
        <v>18.4</v>
      </c>
      <c r="H33" s="6">
        <v>2017.0</v>
      </c>
      <c r="I33" s="11">
        <f t="shared" si="3"/>
        <v>0.291</v>
      </c>
    </row>
    <row r="34">
      <c r="A34" s="3" t="s">
        <v>126</v>
      </c>
      <c r="B34" s="3" t="s">
        <v>184</v>
      </c>
      <c r="C34" s="3" t="s">
        <v>82</v>
      </c>
      <c r="D34" s="3">
        <v>221.0</v>
      </c>
      <c r="E34" s="3">
        <f t="shared" si="1"/>
        <v>355.7</v>
      </c>
      <c r="F34" s="3">
        <v>895.0</v>
      </c>
      <c r="G34" s="8">
        <f t="shared" si="2"/>
        <v>12.1</v>
      </c>
      <c r="H34" s="3">
        <v>3284.0</v>
      </c>
      <c r="I34" s="8">
        <f t="shared" si="3"/>
        <v>0.273</v>
      </c>
    </row>
    <row r="35">
      <c r="A35" s="6" t="s">
        <v>91</v>
      </c>
      <c r="B35" s="6" t="s">
        <v>182</v>
      </c>
      <c r="C35" s="6" t="s">
        <v>124</v>
      </c>
      <c r="D35" s="6">
        <v>221.0</v>
      </c>
      <c r="E35" s="6">
        <f t="shared" si="1"/>
        <v>355.7</v>
      </c>
      <c r="F35" s="6">
        <v>1032.0</v>
      </c>
      <c r="G35" s="11">
        <f t="shared" si="2"/>
        <v>10.5</v>
      </c>
      <c r="H35" s="6">
        <v>3295.0</v>
      </c>
      <c r="I35" s="11">
        <f t="shared" si="3"/>
        <v>0.313</v>
      </c>
    </row>
    <row r="36">
      <c r="A36" s="3" t="s">
        <v>73</v>
      </c>
      <c r="B36" s="3" t="s">
        <v>74</v>
      </c>
      <c r="C36" s="3" t="s">
        <v>58</v>
      </c>
      <c r="D36" s="3">
        <v>220.0</v>
      </c>
      <c r="E36" s="3">
        <f t="shared" si="1"/>
        <v>354.1</v>
      </c>
      <c r="F36" s="3">
        <v>786.0</v>
      </c>
      <c r="G36" s="8">
        <f t="shared" si="2"/>
        <v>13.5</v>
      </c>
      <c r="H36" s="3">
        <v>1929.0</v>
      </c>
      <c r="I36" s="8">
        <f t="shared" si="3"/>
        <v>0.407</v>
      </c>
    </row>
    <row r="37">
      <c r="A37" s="6" t="s">
        <v>70</v>
      </c>
      <c r="B37" s="6" t="s">
        <v>135</v>
      </c>
      <c r="C37" s="6" t="s">
        <v>107</v>
      </c>
      <c r="D37" s="6">
        <v>220.0</v>
      </c>
      <c r="E37" s="6">
        <f t="shared" si="1"/>
        <v>354.1</v>
      </c>
      <c r="F37" s="6">
        <v>633.0</v>
      </c>
      <c r="G37" s="11">
        <f t="shared" si="2"/>
        <v>16.8</v>
      </c>
      <c r="H37" s="6">
        <v>1990.0</v>
      </c>
      <c r="I37" s="11">
        <f t="shared" si="3"/>
        <v>0.318</v>
      </c>
    </row>
    <row r="38">
      <c r="A38" s="3" t="s">
        <v>91</v>
      </c>
      <c r="B38" s="3" t="s">
        <v>195</v>
      </c>
      <c r="C38" s="3" t="s">
        <v>196</v>
      </c>
      <c r="D38" s="3">
        <v>220.0</v>
      </c>
      <c r="E38" s="3">
        <f t="shared" si="1"/>
        <v>354.1</v>
      </c>
      <c r="F38" s="3">
        <v>789.0</v>
      </c>
      <c r="G38" s="8">
        <f t="shared" si="2"/>
        <v>13.5</v>
      </c>
      <c r="H38" s="3">
        <v>3593.0</v>
      </c>
      <c r="I38" s="8">
        <f t="shared" si="3"/>
        <v>0.22</v>
      </c>
    </row>
    <row r="39">
      <c r="A39" s="6" t="s">
        <v>99</v>
      </c>
      <c r="B39" s="6" t="s">
        <v>100</v>
      </c>
      <c r="C39" s="6" t="s">
        <v>58</v>
      </c>
      <c r="D39" s="6">
        <v>219.0</v>
      </c>
      <c r="E39" s="6">
        <f t="shared" si="1"/>
        <v>352.4</v>
      </c>
      <c r="F39" s="6">
        <v>879.0</v>
      </c>
      <c r="G39" s="11">
        <f t="shared" si="2"/>
        <v>11.9</v>
      </c>
      <c r="H39" s="6">
        <v>1929.0</v>
      </c>
      <c r="I39" s="11">
        <f t="shared" si="3"/>
        <v>0.456</v>
      </c>
    </row>
    <row r="40">
      <c r="A40" s="3" t="s">
        <v>202</v>
      </c>
      <c r="B40" s="3" t="s">
        <v>204</v>
      </c>
      <c r="C40" s="3" t="s">
        <v>82</v>
      </c>
      <c r="D40" s="3">
        <v>219.0</v>
      </c>
      <c r="E40" s="3">
        <f t="shared" si="1"/>
        <v>352.4</v>
      </c>
      <c r="F40" s="3">
        <v>796.0</v>
      </c>
      <c r="G40" s="8">
        <f t="shared" si="2"/>
        <v>13.2</v>
      </c>
      <c r="H40" s="3">
        <v>2839.0</v>
      </c>
      <c r="I40" s="8">
        <f t="shared" si="3"/>
        <v>0.28</v>
      </c>
    </row>
    <row r="41">
      <c r="A41" s="6" t="s">
        <v>68</v>
      </c>
      <c r="B41" s="6" t="s">
        <v>207</v>
      </c>
      <c r="C41" s="6" t="s">
        <v>196</v>
      </c>
      <c r="D41" s="6">
        <v>219.0</v>
      </c>
      <c r="E41" s="6">
        <f t="shared" si="1"/>
        <v>352.4</v>
      </c>
      <c r="F41" s="6">
        <v>677.0</v>
      </c>
      <c r="G41" s="11">
        <f t="shared" si="2"/>
        <v>15.5</v>
      </c>
      <c r="H41" s="6">
        <v>2314.0</v>
      </c>
      <c r="I41" s="11">
        <f t="shared" si="3"/>
        <v>0.293</v>
      </c>
    </row>
    <row r="42">
      <c r="A42" s="3" t="s">
        <v>202</v>
      </c>
      <c r="B42" s="3" t="s">
        <v>205</v>
      </c>
      <c r="C42" s="3" t="s">
        <v>124</v>
      </c>
      <c r="D42" s="3">
        <v>219.0</v>
      </c>
      <c r="E42" s="3">
        <f t="shared" si="1"/>
        <v>352.4</v>
      </c>
      <c r="F42" s="3">
        <v>792.0</v>
      </c>
      <c r="G42" s="8">
        <f t="shared" si="2"/>
        <v>13.3</v>
      </c>
      <c r="H42" s="3">
        <v>2358.0</v>
      </c>
      <c r="I42" s="8">
        <f t="shared" si="3"/>
        <v>0.336</v>
      </c>
    </row>
    <row r="43">
      <c r="A43" s="6" t="s">
        <v>91</v>
      </c>
      <c r="B43" s="6" t="s">
        <v>215</v>
      </c>
      <c r="C43" s="6" t="s">
        <v>63</v>
      </c>
      <c r="D43" s="6">
        <v>219.0</v>
      </c>
      <c r="E43" s="6">
        <f t="shared" si="1"/>
        <v>352.4</v>
      </c>
      <c r="F43" s="6">
        <v>612.0</v>
      </c>
      <c r="G43" s="11">
        <f t="shared" si="2"/>
        <v>17.2</v>
      </c>
      <c r="H43" s="6">
        <v>1940.0</v>
      </c>
      <c r="I43" s="11">
        <f t="shared" si="3"/>
        <v>0.315</v>
      </c>
    </row>
    <row r="44">
      <c r="A44" s="3" t="s">
        <v>38</v>
      </c>
      <c r="B44" s="3" t="s">
        <v>219</v>
      </c>
      <c r="C44" s="3" t="s">
        <v>166</v>
      </c>
      <c r="D44" s="3">
        <v>218.0</v>
      </c>
      <c r="E44" s="3">
        <f t="shared" si="1"/>
        <v>350.8</v>
      </c>
      <c r="F44" s="3">
        <v>590.0</v>
      </c>
      <c r="G44" s="8">
        <f t="shared" si="2"/>
        <v>17.6</v>
      </c>
      <c r="H44" s="3">
        <v>1631.0</v>
      </c>
      <c r="I44" s="8">
        <f t="shared" si="3"/>
        <v>0.362</v>
      </c>
    </row>
    <row r="45">
      <c r="A45" s="6" t="s">
        <v>38</v>
      </c>
      <c r="B45" s="17">
        <v>961.0</v>
      </c>
      <c r="C45" s="6" t="s">
        <v>141</v>
      </c>
      <c r="D45" s="6">
        <v>218.0</v>
      </c>
      <c r="E45" s="6">
        <f t="shared" si="1"/>
        <v>350.8</v>
      </c>
      <c r="F45" s="6">
        <v>685.0</v>
      </c>
      <c r="G45" s="11">
        <f t="shared" si="2"/>
        <v>15.1</v>
      </c>
      <c r="H45" s="6">
        <v>2577.0</v>
      </c>
      <c r="I45" s="11">
        <f t="shared" si="3"/>
        <v>0.266</v>
      </c>
    </row>
    <row r="46">
      <c r="A46" s="3" t="s">
        <v>38</v>
      </c>
      <c r="B46" s="3" t="s">
        <v>225</v>
      </c>
      <c r="C46" s="3" t="s">
        <v>39</v>
      </c>
      <c r="D46" s="3">
        <v>218.0</v>
      </c>
      <c r="E46" s="3">
        <f t="shared" si="1"/>
        <v>350.8</v>
      </c>
      <c r="F46" s="3">
        <v>913.0</v>
      </c>
      <c r="G46" s="8">
        <f t="shared" si="2"/>
        <v>11.3</v>
      </c>
      <c r="H46" s="3">
        <v>1929.0</v>
      </c>
      <c r="I46" s="8">
        <f t="shared" si="3"/>
        <v>0.473</v>
      </c>
    </row>
    <row r="47">
      <c r="A47" s="6" t="s">
        <v>91</v>
      </c>
      <c r="B47" s="6" t="s">
        <v>228</v>
      </c>
      <c r="C47" s="6" t="s">
        <v>82</v>
      </c>
      <c r="D47" s="6">
        <v>217.0</v>
      </c>
      <c r="E47" s="6">
        <f t="shared" si="1"/>
        <v>349.2</v>
      </c>
      <c r="F47" s="6">
        <v>775.0</v>
      </c>
      <c r="G47" s="11">
        <f t="shared" si="2"/>
        <v>13.2</v>
      </c>
      <c r="H47" s="6">
        <v>3119.0</v>
      </c>
      <c r="I47" s="11">
        <f t="shared" si="3"/>
        <v>0.248</v>
      </c>
    </row>
    <row r="48">
      <c r="A48" s="3" t="s">
        <v>126</v>
      </c>
      <c r="B48" s="3" t="s">
        <v>167</v>
      </c>
      <c r="C48" s="3" t="s">
        <v>124</v>
      </c>
      <c r="D48" s="3">
        <v>217.0</v>
      </c>
      <c r="E48" s="3">
        <f t="shared" si="1"/>
        <v>349.2</v>
      </c>
      <c r="F48" s="3">
        <v>973.0</v>
      </c>
      <c r="G48" s="8">
        <f t="shared" si="2"/>
        <v>10.5</v>
      </c>
      <c r="H48" s="3">
        <v>3086.0</v>
      </c>
      <c r="I48" s="8">
        <f t="shared" si="3"/>
        <v>0.315</v>
      </c>
    </row>
    <row r="49">
      <c r="A49" s="6" t="s">
        <v>48</v>
      </c>
      <c r="B49" s="6" t="s">
        <v>115</v>
      </c>
      <c r="C49" s="6" t="s">
        <v>50</v>
      </c>
      <c r="D49" s="6">
        <v>216.0</v>
      </c>
      <c r="E49" s="6">
        <f t="shared" si="1"/>
        <v>347.6</v>
      </c>
      <c r="F49" s="6">
        <v>743.0</v>
      </c>
      <c r="G49" s="11">
        <f t="shared" si="2"/>
        <v>13.6</v>
      </c>
      <c r="H49" s="6">
        <v>1569.0</v>
      </c>
      <c r="I49" s="11">
        <f t="shared" si="3"/>
        <v>0.474</v>
      </c>
    </row>
    <row r="50">
      <c r="A50" s="3" t="s">
        <v>83</v>
      </c>
      <c r="B50" s="3" t="s">
        <v>113</v>
      </c>
      <c r="C50" s="3" t="s">
        <v>50</v>
      </c>
      <c r="D50" s="3">
        <v>216.0</v>
      </c>
      <c r="E50" s="3">
        <f t="shared" si="1"/>
        <v>347.6</v>
      </c>
      <c r="F50" s="3">
        <v>743.0</v>
      </c>
      <c r="G50" s="8">
        <f t="shared" si="2"/>
        <v>13.6</v>
      </c>
      <c r="H50" s="3">
        <v>1569.0</v>
      </c>
      <c r="I50" s="8">
        <f t="shared" si="3"/>
        <v>0.474</v>
      </c>
    </row>
    <row r="51">
      <c r="A51" s="6" t="s">
        <v>91</v>
      </c>
      <c r="B51" s="6" t="s">
        <v>238</v>
      </c>
      <c r="C51" s="6" t="s">
        <v>82</v>
      </c>
      <c r="D51" s="6">
        <v>215.0</v>
      </c>
      <c r="E51" s="6">
        <f t="shared" si="1"/>
        <v>346</v>
      </c>
      <c r="F51" s="6">
        <v>718.0</v>
      </c>
      <c r="G51" s="11">
        <f t="shared" si="2"/>
        <v>13.8</v>
      </c>
      <c r="H51" s="6">
        <v>3053.0</v>
      </c>
      <c r="I51" s="11">
        <f t="shared" si="3"/>
        <v>0.235</v>
      </c>
    </row>
    <row r="52">
      <c r="A52" s="3" t="s">
        <v>46</v>
      </c>
      <c r="B52" s="3" t="s">
        <v>60</v>
      </c>
      <c r="C52" s="3" t="s">
        <v>44</v>
      </c>
      <c r="D52" s="3">
        <v>214.0</v>
      </c>
      <c r="E52" s="3">
        <f t="shared" si="1"/>
        <v>344.4</v>
      </c>
      <c r="F52" s="3">
        <v>898.0</v>
      </c>
      <c r="G52" s="8">
        <f t="shared" si="2"/>
        <v>10.9</v>
      </c>
      <c r="H52" s="3">
        <v>2099.0</v>
      </c>
      <c r="I52" s="8">
        <f t="shared" si="3"/>
        <v>0.428</v>
      </c>
    </row>
    <row r="53">
      <c r="A53" s="6" t="s">
        <v>214</v>
      </c>
      <c r="B53" s="6" t="s">
        <v>244</v>
      </c>
      <c r="C53" s="6" t="s">
        <v>141</v>
      </c>
      <c r="D53" s="6">
        <v>214.0</v>
      </c>
      <c r="E53" s="6">
        <f t="shared" si="1"/>
        <v>344.4</v>
      </c>
      <c r="F53" s="6">
        <v>633.0</v>
      </c>
      <c r="G53" s="11">
        <f t="shared" si="2"/>
        <v>15.5</v>
      </c>
      <c r="H53" s="6">
        <v>2799.0</v>
      </c>
      <c r="I53" s="11">
        <f t="shared" si="3"/>
        <v>0.226</v>
      </c>
    </row>
    <row r="54">
      <c r="A54" s="3" t="s">
        <v>36</v>
      </c>
      <c r="B54" s="3" t="s">
        <v>57</v>
      </c>
      <c r="C54" s="3" t="s">
        <v>58</v>
      </c>
      <c r="D54" s="3">
        <v>214.0</v>
      </c>
      <c r="E54" s="3">
        <f t="shared" si="1"/>
        <v>344.4</v>
      </c>
      <c r="F54" s="3">
        <v>768.0</v>
      </c>
      <c r="G54" s="8">
        <f t="shared" si="2"/>
        <v>12.8</v>
      </c>
      <c r="H54" s="3">
        <v>1929.0</v>
      </c>
      <c r="I54" s="8">
        <f t="shared" si="3"/>
        <v>0.398</v>
      </c>
    </row>
    <row r="55">
      <c r="A55" s="6" t="s">
        <v>64</v>
      </c>
      <c r="B55" s="6" t="s">
        <v>65</v>
      </c>
      <c r="C55" s="6" t="s">
        <v>66</v>
      </c>
      <c r="D55" s="6">
        <v>214.0</v>
      </c>
      <c r="E55" s="6">
        <f t="shared" si="1"/>
        <v>344.4</v>
      </c>
      <c r="F55" s="6">
        <v>1370.0</v>
      </c>
      <c r="G55" s="11">
        <f t="shared" si="2"/>
        <v>7.2</v>
      </c>
      <c r="H55" s="6">
        <v>1190.0</v>
      </c>
      <c r="I55" s="11">
        <f t="shared" si="3"/>
        <v>1.151</v>
      </c>
    </row>
    <row r="56">
      <c r="A56" s="3" t="s">
        <v>214</v>
      </c>
      <c r="B56" s="3" t="s">
        <v>252</v>
      </c>
      <c r="C56" s="3" t="s">
        <v>78</v>
      </c>
      <c r="D56" s="3">
        <v>213.0</v>
      </c>
      <c r="E56" s="3">
        <f t="shared" si="1"/>
        <v>342.8</v>
      </c>
      <c r="F56" s="3">
        <v>938.0</v>
      </c>
      <c r="G56" s="8">
        <f t="shared" si="2"/>
        <v>10.3</v>
      </c>
      <c r="H56" s="3">
        <v>2799.0</v>
      </c>
      <c r="I56" s="8">
        <f t="shared" si="3"/>
        <v>0.335</v>
      </c>
    </row>
    <row r="57">
      <c r="A57" s="6" t="s">
        <v>68</v>
      </c>
      <c r="B57" s="6" t="s">
        <v>110</v>
      </c>
      <c r="C57" s="6" t="s">
        <v>44</v>
      </c>
      <c r="D57" s="6">
        <v>213.0</v>
      </c>
      <c r="E57" s="6">
        <f t="shared" si="1"/>
        <v>342.8</v>
      </c>
      <c r="F57" s="6">
        <v>723.0</v>
      </c>
      <c r="G57" s="11">
        <f t="shared" si="2"/>
        <v>13.4</v>
      </c>
      <c r="H57" s="6">
        <v>1884.0</v>
      </c>
      <c r="I57" s="11">
        <f t="shared" si="3"/>
        <v>0.384</v>
      </c>
    </row>
    <row r="58">
      <c r="A58" s="3" t="s">
        <v>91</v>
      </c>
      <c r="B58" s="3" t="s">
        <v>258</v>
      </c>
      <c r="C58" s="3" t="s">
        <v>196</v>
      </c>
      <c r="D58" s="3">
        <v>213.0</v>
      </c>
      <c r="E58" s="3">
        <f t="shared" si="1"/>
        <v>342.8</v>
      </c>
      <c r="F58" s="3">
        <v>649.0</v>
      </c>
      <c r="G58" s="8">
        <f t="shared" si="2"/>
        <v>14.9</v>
      </c>
      <c r="H58" s="3">
        <v>3009.0</v>
      </c>
      <c r="I58" s="8">
        <f t="shared" si="3"/>
        <v>0.216</v>
      </c>
    </row>
    <row r="59">
      <c r="A59" s="6" t="s">
        <v>197</v>
      </c>
      <c r="B59" s="6" t="s">
        <v>261</v>
      </c>
      <c r="C59" s="6" t="s">
        <v>131</v>
      </c>
      <c r="D59" s="6">
        <v>213.0</v>
      </c>
      <c r="E59" s="6">
        <f t="shared" si="1"/>
        <v>342.8</v>
      </c>
      <c r="F59" s="6">
        <v>715.0</v>
      </c>
      <c r="G59" s="11">
        <f t="shared" si="2"/>
        <v>13.5</v>
      </c>
      <c r="H59" s="6">
        <v>3732.0</v>
      </c>
      <c r="I59" s="11">
        <f t="shared" si="3"/>
        <v>0.192</v>
      </c>
    </row>
    <row r="60">
      <c r="A60" s="3" t="s">
        <v>46</v>
      </c>
      <c r="B60" s="3" t="s">
        <v>265</v>
      </c>
      <c r="C60" s="3" t="s">
        <v>141</v>
      </c>
      <c r="D60" s="3">
        <v>212.0</v>
      </c>
      <c r="E60" s="3">
        <f t="shared" si="1"/>
        <v>341.2</v>
      </c>
      <c r="F60" s="3">
        <v>773.0</v>
      </c>
      <c r="G60" s="8">
        <f t="shared" si="2"/>
        <v>12.3</v>
      </c>
      <c r="H60" s="3">
        <v>2645.0</v>
      </c>
      <c r="I60" s="8">
        <f t="shared" si="3"/>
        <v>0.292</v>
      </c>
    </row>
    <row r="61">
      <c r="A61" s="6" t="s">
        <v>46</v>
      </c>
      <c r="B61" s="6" t="s">
        <v>267</v>
      </c>
      <c r="C61" s="6" t="s">
        <v>141</v>
      </c>
      <c r="D61" s="6">
        <v>212.0</v>
      </c>
      <c r="E61" s="6">
        <f t="shared" si="1"/>
        <v>341.2</v>
      </c>
      <c r="F61" s="6">
        <v>773.0</v>
      </c>
      <c r="G61" s="11">
        <f t="shared" si="2"/>
        <v>12.3</v>
      </c>
      <c r="H61" s="6">
        <v>2645.0</v>
      </c>
      <c r="I61" s="11">
        <f t="shared" si="3"/>
        <v>0.292</v>
      </c>
    </row>
    <row r="62">
      <c r="A62" s="3" t="s">
        <v>36</v>
      </c>
      <c r="B62" s="3" t="s">
        <v>272</v>
      </c>
      <c r="C62" s="3" t="s">
        <v>39</v>
      </c>
      <c r="D62" s="3">
        <v>212.0</v>
      </c>
      <c r="E62" s="3">
        <f t="shared" si="1"/>
        <v>341.2</v>
      </c>
      <c r="F62" s="3">
        <v>526.0</v>
      </c>
      <c r="G62" s="8">
        <f t="shared" si="2"/>
        <v>18.1</v>
      </c>
      <c r="H62" s="3">
        <v>1929.0</v>
      </c>
      <c r="I62" s="8">
        <f t="shared" si="3"/>
        <v>0.273</v>
      </c>
    </row>
    <row r="63">
      <c r="A63" s="6" t="s">
        <v>274</v>
      </c>
      <c r="B63" s="6" t="s">
        <v>275</v>
      </c>
      <c r="C63" s="6" t="s">
        <v>131</v>
      </c>
      <c r="D63" s="6">
        <v>212.0</v>
      </c>
      <c r="E63" s="6">
        <f t="shared" si="1"/>
        <v>341.2</v>
      </c>
      <c r="F63" s="6">
        <v>552.0</v>
      </c>
      <c r="G63" s="11">
        <f t="shared" si="2"/>
        <v>17.3</v>
      </c>
      <c r="H63" s="6">
        <v>3434.0</v>
      </c>
      <c r="I63" s="11">
        <f t="shared" si="3"/>
        <v>0.161</v>
      </c>
    </row>
    <row r="64">
      <c r="A64" s="3" t="s">
        <v>214</v>
      </c>
      <c r="B64" s="3" t="s">
        <v>280</v>
      </c>
      <c r="C64" s="3" t="s">
        <v>256</v>
      </c>
      <c r="D64" s="3">
        <v>210.0</v>
      </c>
      <c r="E64" s="3">
        <f t="shared" si="1"/>
        <v>338</v>
      </c>
      <c r="F64" s="3">
        <v>499.0</v>
      </c>
      <c r="G64" s="8">
        <f t="shared" si="2"/>
        <v>18.6</v>
      </c>
      <c r="H64" s="3">
        <v>2204.0</v>
      </c>
      <c r="I64" s="8">
        <f t="shared" si="3"/>
        <v>0.226</v>
      </c>
    </row>
    <row r="65">
      <c r="A65" s="6" t="s">
        <v>91</v>
      </c>
      <c r="B65" s="6" t="s">
        <v>185</v>
      </c>
      <c r="C65" s="6" t="s">
        <v>171</v>
      </c>
      <c r="D65" s="6">
        <v>209.0</v>
      </c>
      <c r="E65" s="6">
        <f t="shared" si="1"/>
        <v>336.4</v>
      </c>
      <c r="F65" s="6">
        <v>610.0</v>
      </c>
      <c r="G65" s="11">
        <f t="shared" si="2"/>
        <v>15</v>
      </c>
      <c r="H65" s="6">
        <v>2004.0</v>
      </c>
      <c r="I65" s="11">
        <f t="shared" si="3"/>
        <v>0.304</v>
      </c>
    </row>
    <row r="66">
      <c r="A66" s="3" t="s">
        <v>118</v>
      </c>
      <c r="B66" s="3" t="s">
        <v>119</v>
      </c>
      <c r="C66" s="3" t="s">
        <v>107</v>
      </c>
      <c r="D66" s="3">
        <v>209.0</v>
      </c>
      <c r="E66" s="3">
        <f t="shared" si="1"/>
        <v>336.4</v>
      </c>
      <c r="F66" s="3">
        <v>618.0</v>
      </c>
      <c r="G66" s="8">
        <f t="shared" si="2"/>
        <v>14.8</v>
      </c>
      <c r="H66" s="3">
        <v>2019.0</v>
      </c>
      <c r="I66" s="8">
        <f t="shared" si="3"/>
        <v>0.306</v>
      </c>
    </row>
    <row r="67">
      <c r="A67" s="6" t="s">
        <v>214</v>
      </c>
      <c r="B67" s="6" t="s">
        <v>286</v>
      </c>
      <c r="C67" s="6" t="s">
        <v>287</v>
      </c>
      <c r="D67" s="6">
        <v>209.0</v>
      </c>
      <c r="E67" s="6">
        <f t="shared" si="1"/>
        <v>336.4</v>
      </c>
      <c r="F67" s="6">
        <v>731.0</v>
      </c>
      <c r="G67" s="11">
        <f t="shared" si="2"/>
        <v>12.5</v>
      </c>
      <c r="H67" s="6">
        <v>3300.0</v>
      </c>
      <c r="I67" s="11">
        <f t="shared" si="3"/>
        <v>0.222</v>
      </c>
    </row>
    <row r="68">
      <c r="A68" s="3" t="s">
        <v>197</v>
      </c>
      <c r="B68" s="3" t="s">
        <v>198</v>
      </c>
      <c r="C68" s="3" t="s">
        <v>124</v>
      </c>
      <c r="D68" s="3">
        <v>209.0</v>
      </c>
      <c r="E68" s="3">
        <f t="shared" si="1"/>
        <v>336.4</v>
      </c>
      <c r="F68" s="3">
        <v>811.0</v>
      </c>
      <c r="G68" s="8">
        <f t="shared" si="2"/>
        <v>11.3</v>
      </c>
      <c r="H68" s="3">
        <v>2998.0</v>
      </c>
      <c r="I68" s="8">
        <f t="shared" si="3"/>
        <v>0.271</v>
      </c>
    </row>
    <row r="69">
      <c r="A69" s="6" t="s">
        <v>70</v>
      </c>
      <c r="B69" s="6" t="s">
        <v>180</v>
      </c>
      <c r="C69" s="6" t="s">
        <v>171</v>
      </c>
      <c r="D69" s="6">
        <v>208.0</v>
      </c>
      <c r="E69" s="6">
        <f t="shared" si="1"/>
        <v>334.7</v>
      </c>
      <c r="F69" s="6">
        <v>622.0</v>
      </c>
      <c r="G69" s="11">
        <f t="shared" si="2"/>
        <v>14.5</v>
      </c>
      <c r="H69" s="6">
        <v>2028.0</v>
      </c>
      <c r="I69" s="11">
        <f t="shared" si="3"/>
        <v>0.307</v>
      </c>
    </row>
    <row r="70">
      <c r="A70" s="3" t="s">
        <v>126</v>
      </c>
      <c r="B70" s="3" t="s">
        <v>295</v>
      </c>
      <c r="C70" s="3" t="s">
        <v>82</v>
      </c>
      <c r="D70" s="3">
        <v>208.0</v>
      </c>
      <c r="E70" s="3">
        <f t="shared" si="1"/>
        <v>334.7</v>
      </c>
      <c r="F70" s="3">
        <v>743.0</v>
      </c>
      <c r="G70" s="8">
        <f t="shared" si="2"/>
        <v>12.1</v>
      </c>
      <c r="H70" s="3">
        <v>3139.0</v>
      </c>
      <c r="I70" s="8">
        <f t="shared" si="3"/>
        <v>0.237</v>
      </c>
    </row>
    <row r="71">
      <c r="A71" s="6" t="s">
        <v>46</v>
      </c>
      <c r="B71" s="6" t="s">
        <v>246</v>
      </c>
      <c r="C71" s="6" t="s">
        <v>171</v>
      </c>
      <c r="D71" s="6">
        <v>207.0</v>
      </c>
      <c r="E71" s="6">
        <f t="shared" si="1"/>
        <v>333.1</v>
      </c>
      <c r="F71" s="6">
        <v>643.0</v>
      </c>
      <c r="G71" s="11">
        <f t="shared" si="2"/>
        <v>13.8</v>
      </c>
      <c r="H71" s="6">
        <v>2242.0</v>
      </c>
      <c r="I71" s="11">
        <f t="shared" si="3"/>
        <v>0.287</v>
      </c>
    </row>
    <row r="72">
      <c r="A72" s="3" t="s">
        <v>42</v>
      </c>
      <c r="B72" s="3" t="s">
        <v>170</v>
      </c>
      <c r="C72" s="3" t="s">
        <v>171</v>
      </c>
      <c r="D72" s="3">
        <v>206.0</v>
      </c>
      <c r="E72" s="3">
        <f t="shared" si="1"/>
        <v>331.5</v>
      </c>
      <c r="F72" s="3">
        <v>597.0</v>
      </c>
      <c r="G72" s="8">
        <f t="shared" si="2"/>
        <v>14.6</v>
      </c>
      <c r="H72" s="3">
        <v>2147.0</v>
      </c>
      <c r="I72" s="8">
        <f t="shared" si="3"/>
        <v>0.278</v>
      </c>
    </row>
    <row r="73">
      <c r="A73" s="6" t="s">
        <v>70</v>
      </c>
      <c r="B73" s="6" t="s">
        <v>304</v>
      </c>
      <c r="C73" s="6" t="s">
        <v>39</v>
      </c>
      <c r="D73" s="6">
        <v>206.0</v>
      </c>
      <c r="E73" s="6">
        <f t="shared" si="1"/>
        <v>331.5</v>
      </c>
      <c r="F73" s="6">
        <v>511.0</v>
      </c>
      <c r="G73" s="11">
        <f t="shared" si="2"/>
        <v>17.1</v>
      </c>
      <c r="H73" s="6">
        <v>1929.0</v>
      </c>
      <c r="I73" s="11">
        <f t="shared" si="3"/>
        <v>0.265</v>
      </c>
    </row>
    <row r="74">
      <c r="A74" s="3" t="s">
        <v>127</v>
      </c>
      <c r="B74" s="3" t="s">
        <v>138</v>
      </c>
      <c r="C74" s="3" t="s">
        <v>130</v>
      </c>
      <c r="D74" s="3">
        <v>206.0</v>
      </c>
      <c r="E74" s="3">
        <f t="shared" si="1"/>
        <v>331.5</v>
      </c>
      <c r="F74" s="3">
        <v>530.0</v>
      </c>
      <c r="G74" s="8">
        <f t="shared" si="2"/>
        <v>16.5</v>
      </c>
      <c r="H74" s="3">
        <v>2094.0</v>
      </c>
      <c r="I74" s="8">
        <f t="shared" si="3"/>
        <v>0.253</v>
      </c>
    </row>
    <row r="75">
      <c r="A75" s="6" t="s">
        <v>36</v>
      </c>
      <c r="B75" s="6" t="s">
        <v>106</v>
      </c>
      <c r="C75" s="6" t="s">
        <v>107</v>
      </c>
      <c r="D75" s="6">
        <v>206.0</v>
      </c>
      <c r="E75" s="6">
        <f t="shared" si="1"/>
        <v>331.5</v>
      </c>
      <c r="F75" s="6">
        <v>621.0</v>
      </c>
      <c r="G75" s="11">
        <f t="shared" si="2"/>
        <v>14.1</v>
      </c>
      <c r="H75" s="6">
        <v>1984.0</v>
      </c>
      <c r="I75" s="11">
        <f t="shared" si="3"/>
        <v>0.313</v>
      </c>
    </row>
    <row r="76">
      <c r="A76" s="3" t="s">
        <v>38</v>
      </c>
      <c r="B76" s="3" t="s">
        <v>102</v>
      </c>
      <c r="C76" s="3" t="s">
        <v>44</v>
      </c>
      <c r="D76" s="3">
        <v>205.0</v>
      </c>
      <c r="E76" s="3">
        <f t="shared" si="1"/>
        <v>329.9</v>
      </c>
      <c r="F76" s="3">
        <v>775.0</v>
      </c>
      <c r="G76" s="8">
        <f t="shared" si="2"/>
        <v>11.1</v>
      </c>
      <c r="H76" s="3">
        <v>1873.0</v>
      </c>
      <c r="I76" s="8">
        <f t="shared" si="3"/>
        <v>0.414</v>
      </c>
    </row>
    <row r="77">
      <c r="A77" s="6" t="s">
        <v>38</v>
      </c>
      <c r="B77" s="6" t="s">
        <v>314</v>
      </c>
      <c r="C77" s="6" t="s">
        <v>39</v>
      </c>
      <c r="D77" s="6">
        <v>205.0</v>
      </c>
      <c r="E77" s="6">
        <f t="shared" si="1"/>
        <v>329.9</v>
      </c>
      <c r="F77" s="6">
        <v>511.0</v>
      </c>
      <c r="G77" s="11">
        <f t="shared" si="2"/>
        <v>16.9</v>
      </c>
      <c r="H77" s="6">
        <v>1929.0</v>
      </c>
      <c r="I77" s="11">
        <f t="shared" si="3"/>
        <v>0.265</v>
      </c>
    </row>
    <row r="78">
      <c r="A78" s="3" t="s">
        <v>127</v>
      </c>
      <c r="B78" s="3" t="s">
        <v>128</v>
      </c>
      <c r="C78" s="3" t="s">
        <v>130</v>
      </c>
      <c r="D78" s="3">
        <v>205.0</v>
      </c>
      <c r="E78" s="3">
        <f t="shared" si="1"/>
        <v>329.9</v>
      </c>
      <c r="F78" s="3">
        <v>515.0</v>
      </c>
      <c r="G78" s="8">
        <f t="shared" si="2"/>
        <v>16.7</v>
      </c>
      <c r="H78" s="3">
        <v>1984.0</v>
      </c>
      <c r="I78" s="8">
        <f t="shared" si="3"/>
        <v>0.26</v>
      </c>
    </row>
    <row r="79">
      <c r="A79" s="6" t="s">
        <v>38</v>
      </c>
      <c r="B79" s="6" t="s">
        <v>318</v>
      </c>
      <c r="C79" s="6" t="s">
        <v>131</v>
      </c>
      <c r="D79" s="6">
        <v>205.0</v>
      </c>
      <c r="E79" s="6">
        <f t="shared" si="1"/>
        <v>329.9</v>
      </c>
      <c r="F79" s="6">
        <v>606.0</v>
      </c>
      <c r="G79" s="11">
        <f t="shared" si="2"/>
        <v>14.2</v>
      </c>
      <c r="H79" s="6">
        <v>3207.0</v>
      </c>
      <c r="I79" s="11">
        <f t="shared" si="3"/>
        <v>0.189</v>
      </c>
    </row>
    <row r="80">
      <c r="A80" s="3" t="s">
        <v>321</v>
      </c>
      <c r="B80" s="3" t="s">
        <v>322</v>
      </c>
      <c r="C80" s="3" t="s">
        <v>82</v>
      </c>
      <c r="D80" s="3">
        <v>204.0</v>
      </c>
      <c r="E80" s="3">
        <f t="shared" si="1"/>
        <v>328.3</v>
      </c>
      <c r="F80" s="3">
        <v>740.0</v>
      </c>
      <c r="G80" s="8">
        <f t="shared" si="2"/>
        <v>11.5</v>
      </c>
      <c r="H80" s="3">
        <v>2910.0</v>
      </c>
      <c r="I80" s="8">
        <f t="shared" si="3"/>
        <v>0.254</v>
      </c>
    </row>
    <row r="81">
      <c r="A81" s="6" t="s">
        <v>291</v>
      </c>
      <c r="B81" s="6" t="s">
        <v>324</v>
      </c>
      <c r="C81" s="6" t="s">
        <v>196</v>
      </c>
      <c r="D81" s="6">
        <v>204.0</v>
      </c>
      <c r="E81" s="6">
        <f t="shared" si="1"/>
        <v>328.3</v>
      </c>
      <c r="F81" s="6">
        <v>694.0</v>
      </c>
      <c r="G81" s="11">
        <f t="shared" si="2"/>
        <v>12.2</v>
      </c>
      <c r="H81" s="6">
        <v>3472.0</v>
      </c>
      <c r="I81" s="11">
        <f t="shared" si="3"/>
        <v>0.2</v>
      </c>
    </row>
    <row r="82">
      <c r="A82" s="3" t="s">
        <v>38</v>
      </c>
      <c r="B82" s="3" t="s">
        <v>328</v>
      </c>
      <c r="C82" s="3" t="s">
        <v>131</v>
      </c>
      <c r="D82" s="3">
        <v>204.0</v>
      </c>
      <c r="E82" s="3">
        <f t="shared" si="1"/>
        <v>328.3</v>
      </c>
      <c r="F82" s="3">
        <v>491.0</v>
      </c>
      <c r="G82" s="8">
        <f t="shared" si="2"/>
        <v>17.3</v>
      </c>
      <c r="H82" s="3">
        <v>3020.0</v>
      </c>
      <c r="I82" s="8">
        <f t="shared" si="3"/>
        <v>0.163</v>
      </c>
    </row>
    <row r="83">
      <c r="A83" s="6" t="s">
        <v>331</v>
      </c>
      <c r="B83" s="6" t="s">
        <v>332</v>
      </c>
      <c r="C83" s="6" t="s">
        <v>334</v>
      </c>
      <c r="D83" s="6">
        <v>204.0</v>
      </c>
      <c r="E83" s="6">
        <f t="shared" si="1"/>
        <v>328.3</v>
      </c>
      <c r="F83" s="6">
        <v>439.0</v>
      </c>
      <c r="G83" s="11">
        <f t="shared" si="2"/>
        <v>19.3</v>
      </c>
      <c r="H83" s="6">
        <v>1684.0</v>
      </c>
      <c r="I83" s="11">
        <f t="shared" si="3"/>
        <v>0.261</v>
      </c>
    </row>
    <row r="84">
      <c r="A84" s="3" t="s">
        <v>127</v>
      </c>
      <c r="B84" s="3" t="s">
        <v>155</v>
      </c>
      <c r="C84" s="3" t="s">
        <v>130</v>
      </c>
      <c r="D84" s="3">
        <v>203.0</v>
      </c>
      <c r="E84" s="3">
        <f t="shared" si="1"/>
        <v>326.7</v>
      </c>
      <c r="F84" s="3">
        <v>516.0</v>
      </c>
      <c r="G84" s="8">
        <f t="shared" si="2"/>
        <v>16.2</v>
      </c>
      <c r="H84" s="3">
        <v>1984.0</v>
      </c>
      <c r="I84" s="8">
        <f t="shared" si="3"/>
        <v>0.26</v>
      </c>
    </row>
    <row r="85">
      <c r="A85" s="6" t="s">
        <v>99</v>
      </c>
      <c r="B85" s="6" t="s">
        <v>142</v>
      </c>
      <c r="C85" s="6" t="s">
        <v>130</v>
      </c>
      <c r="D85" s="6">
        <v>203.0</v>
      </c>
      <c r="E85" s="6">
        <f t="shared" si="1"/>
        <v>326.7</v>
      </c>
      <c r="F85" s="6">
        <v>518.0</v>
      </c>
      <c r="G85" s="11">
        <f t="shared" si="2"/>
        <v>16.1</v>
      </c>
      <c r="H85" s="6">
        <v>1984.0</v>
      </c>
      <c r="I85" s="11">
        <f t="shared" si="3"/>
        <v>0.261</v>
      </c>
    </row>
    <row r="86">
      <c r="A86" s="3" t="s">
        <v>126</v>
      </c>
      <c r="B86" s="3" t="s">
        <v>340</v>
      </c>
      <c r="C86" s="3" t="s">
        <v>131</v>
      </c>
      <c r="D86" s="3">
        <v>203.0</v>
      </c>
      <c r="E86" s="3">
        <f t="shared" si="1"/>
        <v>326.7</v>
      </c>
      <c r="F86" s="3">
        <v>567.0</v>
      </c>
      <c r="G86" s="8">
        <f t="shared" si="2"/>
        <v>14.8</v>
      </c>
      <c r="H86" s="3">
        <v>3075.0</v>
      </c>
      <c r="I86" s="8">
        <f t="shared" si="3"/>
        <v>0.184</v>
      </c>
    </row>
    <row r="87">
      <c r="A87" s="6" t="s">
        <v>64</v>
      </c>
      <c r="B87" s="6" t="s">
        <v>343</v>
      </c>
      <c r="C87" s="6" t="s">
        <v>334</v>
      </c>
      <c r="D87" s="6">
        <v>203.0</v>
      </c>
      <c r="E87" s="6">
        <f t="shared" si="1"/>
        <v>326.7</v>
      </c>
      <c r="F87" s="6">
        <v>485.0</v>
      </c>
      <c r="G87" s="11">
        <f t="shared" si="2"/>
        <v>17.2</v>
      </c>
      <c r="H87" s="6">
        <v>1349.0</v>
      </c>
      <c r="I87" s="11">
        <f t="shared" si="3"/>
        <v>0.36</v>
      </c>
    </row>
    <row r="88">
      <c r="A88" s="3" t="s">
        <v>38</v>
      </c>
      <c r="B88" s="3" t="s">
        <v>189</v>
      </c>
      <c r="C88" s="3" t="s">
        <v>171</v>
      </c>
      <c r="D88" s="3">
        <v>202.0</v>
      </c>
      <c r="E88" s="3">
        <f t="shared" si="1"/>
        <v>325.1</v>
      </c>
      <c r="F88" s="3">
        <v>566.0</v>
      </c>
      <c r="G88" s="8">
        <f t="shared" si="2"/>
        <v>14.6</v>
      </c>
      <c r="H88" s="3">
        <v>2131.0</v>
      </c>
      <c r="I88" s="8">
        <f t="shared" si="3"/>
        <v>0.266</v>
      </c>
    </row>
    <row r="89">
      <c r="A89" s="6" t="s">
        <v>36</v>
      </c>
      <c r="B89" s="6" t="s">
        <v>347</v>
      </c>
      <c r="C89" s="6" t="s">
        <v>39</v>
      </c>
      <c r="D89" s="6">
        <v>202.0</v>
      </c>
      <c r="E89" s="6">
        <f t="shared" si="1"/>
        <v>325.1</v>
      </c>
      <c r="F89" s="6">
        <v>526.0</v>
      </c>
      <c r="G89" s="11">
        <f t="shared" si="2"/>
        <v>15.7</v>
      </c>
      <c r="H89" s="6">
        <v>1929.0</v>
      </c>
      <c r="I89" s="11">
        <f t="shared" si="3"/>
        <v>0.273</v>
      </c>
    </row>
    <row r="90">
      <c r="A90" s="3" t="s">
        <v>291</v>
      </c>
      <c r="B90" s="3" t="s">
        <v>350</v>
      </c>
      <c r="C90" s="3" t="s">
        <v>196</v>
      </c>
      <c r="D90" s="3">
        <v>202.0</v>
      </c>
      <c r="E90" s="3">
        <f t="shared" si="1"/>
        <v>325.1</v>
      </c>
      <c r="F90" s="3">
        <v>733.0</v>
      </c>
      <c r="G90" s="8">
        <f t="shared" si="2"/>
        <v>11.2</v>
      </c>
      <c r="H90" s="3">
        <v>3196.0</v>
      </c>
      <c r="I90" s="8">
        <f t="shared" si="3"/>
        <v>0.229</v>
      </c>
    </row>
    <row r="91">
      <c r="A91" s="6" t="s">
        <v>76</v>
      </c>
      <c r="B91" s="6" t="s">
        <v>355</v>
      </c>
      <c r="C91" s="6" t="s">
        <v>131</v>
      </c>
      <c r="D91" s="6">
        <v>202.0</v>
      </c>
      <c r="E91" s="6">
        <f t="shared" si="1"/>
        <v>325.1</v>
      </c>
      <c r="F91" s="6">
        <v>583.0</v>
      </c>
      <c r="G91" s="11">
        <f t="shared" si="2"/>
        <v>14.1</v>
      </c>
      <c r="H91" s="6">
        <v>2777.0</v>
      </c>
      <c r="I91" s="11">
        <f t="shared" si="3"/>
        <v>0.21</v>
      </c>
    </row>
    <row r="92">
      <c r="A92" s="3" t="s">
        <v>91</v>
      </c>
      <c r="B92" s="3" t="s">
        <v>358</v>
      </c>
      <c r="C92" s="3" t="s">
        <v>359</v>
      </c>
      <c r="D92" s="3">
        <v>202.0</v>
      </c>
      <c r="E92" s="3">
        <f t="shared" si="1"/>
        <v>325.1</v>
      </c>
      <c r="F92" s="3">
        <v>499.0</v>
      </c>
      <c r="G92" s="8">
        <f t="shared" si="2"/>
        <v>16.5</v>
      </c>
      <c r="H92" s="3">
        <v>2722.0</v>
      </c>
      <c r="I92" s="8">
        <f t="shared" si="3"/>
        <v>0.183</v>
      </c>
    </row>
    <row r="93">
      <c r="A93" s="6" t="s">
        <v>173</v>
      </c>
      <c r="B93" s="6" t="s">
        <v>174</v>
      </c>
      <c r="C93" s="6" t="s">
        <v>171</v>
      </c>
      <c r="D93" s="6">
        <v>201.0</v>
      </c>
      <c r="E93" s="6">
        <f t="shared" si="1"/>
        <v>323.5</v>
      </c>
      <c r="F93" s="6">
        <v>601.0</v>
      </c>
      <c r="G93" s="11">
        <f t="shared" si="2"/>
        <v>13.5</v>
      </c>
      <c r="H93" s="6">
        <v>2118.0</v>
      </c>
      <c r="I93" s="11">
        <f t="shared" si="3"/>
        <v>0.284</v>
      </c>
    </row>
    <row r="94">
      <c r="A94" s="3" t="s">
        <v>91</v>
      </c>
      <c r="B94" s="3" t="s">
        <v>149</v>
      </c>
      <c r="C94" s="3" t="s">
        <v>107</v>
      </c>
      <c r="D94" s="3">
        <v>200.0</v>
      </c>
      <c r="E94" s="3">
        <f t="shared" si="1"/>
        <v>321.9</v>
      </c>
      <c r="F94" s="3">
        <v>607.0</v>
      </c>
      <c r="G94" s="8">
        <f t="shared" si="2"/>
        <v>13.2</v>
      </c>
      <c r="H94" s="3">
        <v>1992.0</v>
      </c>
      <c r="I94" s="8">
        <f t="shared" si="3"/>
        <v>0.305</v>
      </c>
    </row>
    <row r="95">
      <c r="A95" s="6" t="s">
        <v>291</v>
      </c>
      <c r="B95" s="6" t="s">
        <v>365</v>
      </c>
      <c r="C95" s="6" t="s">
        <v>82</v>
      </c>
      <c r="D95" s="6">
        <v>200.0</v>
      </c>
      <c r="E95" s="6">
        <f t="shared" si="1"/>
        <v>321.9</v>
      </c>
      <c r="F95" s="6">
        <v>733.0</v>
      </c>
      <c r="G95" s="11">
        <f t="shared" si="2"/>
        <v>10.9</v>
      </c>
      <c r="H95" s="6">
        <v>3362.0</v>
      </c>
      <c r="I95" s="11">
        <f t="shared" si="3"/>
        <v>0.218</v>
      </c>
    </row>
    <row r="96">
      <c r="A96" s="3" t="s">
        <v>214</v>
      </c>
      <c r="B96" s="3" t="s">
        <v>371</v>
      </c>
      <c r="C96" s="3" t="s">
        <v>196</v>
      </c>
      <c r="D96" s="3">
        <v>200.0</v>
      </c>
      <c r="E96" s="3">
        <f t="shared" si="1"/>
        <v>321.9</v>
      </c>
      <c r="F96" s="3">
        <v>646.0</v>
      </c>
      <c r="G96" s="8">
        <f t="shared" si="2"/>
        <v>12.4</v>
      </c>
      <c r="H96" s="3">
        <v>2890.0</v>
      </c>
      <c r="I96" s="8">
        <f t="shared" si="3"/>
        <v>0.224</v>
      </c>
    </row>
    <row r="97">
      <c r="A97" s="6" t="s">
        <v>38</v>
      </c>
      <c r="B97" s="6" t="s">
        <v>374</v>
      </c>
      <c r="C97" s="6" t="s">
        <v>196</v>
      </c>
      <c r="D97" s="6">
        <v>200.0</v>
      </c>
      <c r="E97" s="6">
        <f t="shared" si="1"/>
        <v>321.9</v>
      </c>
      <c r="F97" s="6">
        <v>595.0</v>
      </c>
      <c r="G97" s="11">
        <f t="shared" si="2"/>
        <v>13.4</v>
      </c>
      <c r="H97" s="6">
        <v>3130.0</v>
      </c>
      <c r="I97" s="11">
        <f t="shared" si="3"/>
        <v>0.19</v>
      </c>
    </row>
    <row r="98">
      <c r="A98" s="3" t="s">
        <v>91</v>
      </c>
      <c r="B98" s="3" t="s">
        <v>375</v>
      </c>
      <c r="C98" s="3" t="s">
        <v>131</v>
      </c>
      <c r="D98" s="3">
        <v>200.0</v>
      </c>
      <c r="E98" s="3">
        <f t="shared" si="1"/>
        <v>321.9</v>
      </c>
      <c r="F98" s="3">
        <v>502.0</v>
      </c>
      <c r="G98" s="8">
        <f t="shared" si="2"/>
        <v>15.9</v>
      </c>
      <c r="H98" s="3">
        <v>2976.0</v>
      </c>
      <c r="I98" s="8">
        <f t="shared" si="3"/>
        <v>0.169</v>
      </c>
    </row>
    <row r="99">
      <c r="A99" s="6" t="s">
        <v>153</v>
      </c>
      <c r="B99" s="6" t="s">
        <v>378</v>
      </c>
      <c r="C99" s="6" t="s">
        <v>131</v>
      </c>
      <c r="D99" s="6">
        <v>200.0</v>
      </c>
      <c r="E99" s="6">
        <f t="shared" si="1"/>
        <v>321.9</v>
      </c>
      <c r="F99" s="6">
        <v>581.0</v>
      </c>
      <c r="G99" s="11">
        <f t="shared" si="2"/>
        <v>13.8</v>
      </c>
      <c r="H99" s="6">
        <v>3428.0</v>
      </c>
      <c r="I99" s="11">
        <f t="shared" si="3"/>
        <v>0.169</v>
      </c>
    </row>
    <row r="100">
      <c r="A100" s="3" t="s">
        <v>38</v>
      </c>
      <c r="B100" s="3" t="s">
        <v>381</v>
      </c>
      <c r="C100" s="3" t="s">
        <v>131</v>
      </c>
      <c r="D100" s="3">
        <v>200.0</v>
      </c>
      <c r="E100" s="3">
        <f t="shared" si="1"/>
        <v>321.9</v>
      </c>
      <c r="F100" s="3">
        <v>491.0</v>
      </c>
      <c r="G100" s="8">
        <f t="shared" si="2"/>
        <v>16.3</v>
      </c>
      <c r="H100" s="3">
        <v>3152.0</v>
      </c>
      <c r="I100" s="8">
        <f t="shared" si="3"/>
        <v>0.156</v>
      </c>
    </row>
    <row r="101">
      <c r="A101" s="6" t="s">
        <v>73</v>
      </c>
      <c r="B101" s="6" t="s">
        <v>161</v>
      </c>
      <c r="C101" s="6" t="s">
        <v>130</v>
      </c>
      <c r="D101" s="6">
        <v>199.0</v>
      </c>
      <c r="E101" s="6">
        <f t="shared" si="1"/>
        <v>320.3</v>
      </c>
      <c r="F101" s="6">
        <v>515.0</v>
      </c>
      <c r="G101" s="11">
        <f t="shared" si="2"/>
        <v>15.3</v>
      </c>
      <c r="H101" s="6">
        <v>1984.0</v>
      </c>
      <c r="I101" s="11">
        <f t="shared" si="3"/>
        <v>0.26</v>
      </c>
    </row>
    <row r="102">
      <c r="A102" s="3" t="s">
        <v>202</v>
      </c>
      <c r="B102" s="3" t="s">
        <v>386</v>
      </c>
      <c r="C102" s="3" t="s">
        <v>196</v>
      </c>
      <c r="D102" s="3">
        <v>199.0</v>
      </c>
      <c r="E102" s="3">
        <f t="shared" si="1"/>
        <v>320.3</v>
      </c>
      <c r="F102" s="3">
        <v>665.0</v>
      </c>
      <c r="G102" s="8">
        <f t="shared" si="2"/>
        <v>11.9</v>
      </c>
      <c r="H102" s="3">
        <v>2667.0</v>
      </c>
      <c r="I102" s="8">
        <f t="shared" si="3"/>
        <v>0.249</v>
      </c>
    </row>
    <row r="103">
      <c r="A103" s="6" t="s">
        <v>91</v>
      </c>
      <c r="B103" s="6" t="s">
        <v>391</v>
      </c>
      <c r="C103" s="6" t="s">
        <v>131</v>
      </c>
      <c r="D103" s="6">
        <v>199.0</v>
      </c>
      <c r="E103" s="6">
        <f t="shared" si="1"/>
        <v>320.3</v>
      </c>
      <c r="F103" s="6">
        <v>517.0</v>
      </c>
      <c r="G103" s="11">
        <f t="shared" si="2"/>
        <v>15.2</v>
      </c>
      <c r="H103" s="6">
        <v>2976.0</v>
      </c>
      <c r="I103" s="11">
        <f t="shared" si="3"/>
        <v>0.174</v>
      </c>
    </row>
    <row r="104">
      <c r="A104" s="3" t="s">
        <v>46</v>
      </c>
      <c r="B104" s="3" t="s">
        <v>357</v>
      </c>
      <c r="C104" s="3" t="s">
        <v>105</v>
      </c>
      <c r="D104" s="3">
        <v>198.0</v>
      </c>
      <c r="E104" s="3">
        <f t="shared" si="1"/>
        <v>318.6</v>
      </c>
      <c r="F104" s="3">
        <v>633.0</v>
      </c>
      <c r="G104" s="8">
        <f t="shared" si="2"/>
        <v>12.3</v>
      </c>
      <c r="H104" s="3">
        <v>2215.0</v>
      </c>
      <c r="I104" s="8">
        <f t="shared" si="3"/>
        <v>0.286</v>
      </c>
    </row>
    <row r="105">
      <c r="A105" s="6" t="s">
        <v>291</v>
      </c>
      <c r="B105" s="6" t="s">
        <v>379</v>
      </c>
      <c r="C105" s="6" t="s">
        <v>141</v>
      </c>
      <c r="D105" s="6">
        <v>198.0</v>
      </c>
      <c r="E105" s="6">
        <f t="shared" si="1"/>
        <v>318.6</v>
      </c>
      <c r="F105" s="6">
        <v>585.0</v>
      </c>
      <c r="G105" s="11">
        <f t="shared" si="2"/>
        <v>13.3</v>
      </c>
      <c r="H105" s="6">
        <v>3075.0</v>
      </c>
      <c r="I105" s="11">
        <f t="shared" si="3"/>
        <v>0.19</v>
      </c>
    </row>
    <row r="106">
      <c r="A106" s="3" t="s">
        <v>46</v>
      </c>
      <c r="B106" s="3" t="s">
        <v>398</v>
      </c>
      <c r="C106" s="3" t="s">
        <v>131</v>
      </c>
      <c r="D106" s="3">
        <v>198.0</v>
      </c>
      <c r="E106" s="3">
        <f t="shared" si="1"/>
        <v>318.6</v>
      </c>
      <c r="F106" s="3">
        <v>583.0</v>
      </c>
      <c r="G106" s="8">
        <f t="shared" si="2"/>
        <v>13.3</v>
      </c>
      <c r="H106" s="3">
        <v>2733.0</v>
      </c>
      <c r="I106" s="8">
        <f t="shared" si="3"/>
        <v>0.213</v>
      </c>
    </row>
    <row r="107">
      <c r="A107" s="6" t="s">
        <v>46</v>
      </c>
      <c r="B107" s="6" t="s">
        <v>403</v>
      </c>
      <c r="C107" s="6" t="s">
        <v>278</v>
      </c>
      <c r="D107" s="6">
        <v>198.0</v>
      </c>
      <c r="E107" s="6">
        <f t="shared" si="1"/>
        <v>318.6</v>
      </c>
      <c r="F107" s="6">
        <v>704.0</v>
      </c>
      <c r="G107" s="11">
        <f t="shared" si="2"/>
        <v>11</v>
      </c>
      <c r="H107" s="6">
        <v>3152.0</v>
      </c>
      <c r="I107" s="11">
        <f t="shared" si="3"/>
        <v>0.223</v>
      </c>
    </row>
    <row r="108">
      <c r="A108" s="3" t="s">
        <v>126</v>
      </c>
      <c r="B108" s="3" t="s">
        <v>187</v>
      </c>
      <c r="C108" s="3" t="s">
        <v>171</v>
      </c>
      <c r="D108" s="3">
        <v>197.0</v>
      </c>
      <c r="E108" s="3">
        <f t="shared" si="1"/>
        <v>317</v>
      </c>
      <c r="F108" s="3">
        <v>555.0</v>
      </c>
      <c r="G108" s="8">
        <f t="shared" si="2"/>
        <v>13.8</v>
      </c>
      <c r="H108" s="3">
        <v>2017.0</v>
      </c>
      <c r="I108" s="8">
        <f t="shared" si="3"/>
        <v>0.275</v>
      </c>
    </row>
    <row r="109">
      <c r="A109" s="6" t="s">
        <v>91</v>
      </c>
      <c r="B109" s="6" t="s">
        <v>404</v>
      </c>
      <c r="C109" s="6" t="s">
        <v>196</v>
      </c>
      <c r="D109" s="6">
        <v>197.0</v>
      </c>
      <c r="E109" s="6">
        <f t="shared" si="1"/>
        <v>317</v>
      </c>
      <c r="F109" s="6">
        <v>609.0</v>
      </c>
      <c r="G109" s="11">
        <f t="shared" si="2"/>
        <v>12.6</v>
      </c>
      <c r="H109" s="6">
        <v>3185.0</v>
      </c>
      <c r="I109" s="11">
        <f t="shared" si="3"/>
        <v>0.191</v>
      </c>
    </row>
    <row r="110">
      <c r="A110" s="3" t="s">
        <v>38</v>
      </c>
      <c r="B110" s="3" t="s">
        <v>411</v>
      </c>
      <c r="C110" s="3" t="s">
        <v>412</v>
      </c>
      <c r="D110" s="3">
        <v>197.0</v>
      </c>
      <c r="E110" s="3">
        <f t="shared" si="1"/>
        <v>317</v>
      </c>
      <c r="F110" s="3">
        <v>515.0</v>
      </c>
      <c r="G110" s="8">
        <f t="shared" si="2"/>
        <v>14.8</v>
      </c>
      <c r="H110" s="3">
        <v>2976.0</v>
      </c>
      <c r="I110" s="8">
        <f t="shared" si="3"/>
        <v>0.173</v>
      </c>
    </row>
    <row r="111">
      <c r="A111" s="6" t="s">
        <v>157</v>
      </c>
      <c r="B111" s="6" t="s">
        <v>241</v>
      </c>
      <c r="C111" s="6" t="s">
        <v>105</v>
      </c>
      <c r="D111" s="6">
        <v>196.0</v>
      </c>
      <c r="E111" s="6">
        <f t="shared" si="1"/>
        <v>315.4</v>
      </c>
      <c r="F111" s="6">
        <v>652.0</v>
      </c>
      <c r="G111" s="11">
        <f t="shared" si="2"/>
        <v>11.5</v>
      </c>
      <c r="H111" s="6">
        <v>1929.0</v>
      </c>
      <c r="I111" s="11">
        <f t="shared" si="3"/>
        <v>0.338</v>
      </c>
    </row>
    <row r="112">
      <c r="A112" s="3" t="s">
        <v>145</v>
      </c>
      <c r="B112" s="3" t="s">
        <v>147</v>
      </c>
      <c r="C112" s="3" t="s">
        <v>130</v>
      </c>
      <c r="D112" s="3">
        <v>196.0</v>
      </c>
      <c r="E112" s="3">
        <f t="shared" si="1"/>
        <v>315.4</v>
      </c>
      <c r="F112" s="3">
        <v>514.0</v>
      </c>
      <c r="G112" s="8">
        <f t="shared" si="2"/>
        <v>14.6</v>
      </c>
      <c r="H112" s="3">
        <v>1984.0</v>
      </c>
      <c r="I112" s="8">
        <f t="shared" si="3"/>
        <v>0.259</v>
      </c>
    </row>
    <row r="113">
      <c r="A113" s="22" t="s">
        <v>208</v>
      </c>
      <c r="B113" s="6" t="s">
        <v>420</v>
      </c>
      <c r="C113" s="6" t="s">
        <v>124</v>
      </c>
      <c r="D113" s="6">
        <v>196.0</v>
      </c>
      <c r="E113" s="6">
        <f t="shared" si="1"/>
        <v>315.4</v>
      </c>
      <c r="F113" s="6">
        <v>1062.0</v>
      </c>
      <c r="G113" s="11">
        <f t="shared" si="2"/>
        <v>7.1</v>
      </c>
      <c r="H113" s="6">
        <v>3009.0</v>
      </c>
      <c r="I113" s="11">
        <f t="shared" si="3"/>
        <v>0.353</v>
      </c>
    </row>
    <row r="114">
      <c r="A114" s="3" t="s">
        <v>64</v>
      </c>
      <c r="B114" s="3" t="s">
        <v>423</v>
      </c>
      <c r="C114" s="3" t="s">
        <v>424</v>
      </c>
      <c r="D114" s="3">
        <v>196.0</v>
      </c>
      <c r="E114" s="3">
        <f t="shared" si="1"/>
        <v>315.4</v>
      </c>
      <c r="F114" s="3">
        <v>496.0</v>
      </c>
      <c r="G114" s="8">
        <f t="shared" si="2"/>
        <v>15.2</v>
      </c>
      <c r="H114" s="3">
        <v>1349.0</v>
      </c>
      <c r="I114" s="8">
        <f t="shared" si="3"/>
        <v>0.368</v>
      </c>
    </row>
    <row r="115">
      <c r="A115" s="6" t="s">
        <v>91</v>
      </c>
      <c r="B115" s="6" t="s">
        <v>426</v>
      </c>
      <c r="C115" s="6" t="s">
        <v>256</v>
      </c>
      <c r="D115" s="6">
        <v>196.0</v>
      </c>
      <c r="E115" s="6">
        <f t="shared" si="1"/>
        <v>315.4</v>
      </c>
      <c r="F115" s="6">
        <v>452.0</v>
      </c>
      <c r="G115" s="11">
        <f t="shared" si="2"/>
        <v>16.7</v>
      </c>
      <c r="H115" s="6">
        <v>1746.0</v>
      </c>
      <c r="I115" s="11">
        <f t="shared" si="3"/>
        <v>0.259</v>
      </c>
    </row>
    <row r="116">
      <c r="A116" s="3" t="s">
        <v>214</v>
      </c>
      <c r="B116" s="3" t="s">
        <v>250</v>
      </c>
      <c r="C116" s="3" t="s">
        <v>105</v>
      </c>
      <c r="D116" s="3">
        <v>195.0</v>
      </c>
      <c r="E116" s="3">
        <f t="shared" si="1"/>
        <v>313.8</v>
      </c>
      <c r="F116" s="3">
        <v>621.0</v>
      </c>
      <c r="G116" s="8">
        <f t="shared" si="2"/>
        <v>11.9</v>
      </c>
      <c r="H116" s="3">
        <v>1829.0</v>
      </c>
      <c r="I116" s="8">
        <f t="shared" si="3"/>
        <v>0.34</v>
      </c>
    </row>
    <row r="117">
      <c r="A117" s="6" t="s">
        <v>214</v>
      </c>
      <c r="B117" s="6" t="s">
        <v>431</v>
      </c>
      <c r="C117" s="6" t="s">
        <v>432</v>
      </c>
      <c r="D117" s="6">
        <v>195.0</v>
      </c>
      <c r="E117" s="6">
        <f t="shared" si="1"/>
        <v>313.8</v>
      </c>
      <c r="F117" s="6">
        <v>600.0</v>
      </c>
      <c r="G117" s="11">
        <f t="shared" si="2"/>
        <v>12.4</v>
      </c>
      <c r="H117" s="6">
        <v>2292.0</v>
      </c>
      <c r="I117" s="11">
        <f t="shared" si="3"/>
        <v>0.262</v>
      </c>
    </row>
    <row r="118">
      <c r="A118" s="3" t="s">
        <v>153</v>
      </c>
      <c r="B118" s="3" t="s">
        <v>434</v>
      </c>
      <c r="C118" s="3" t="s">
        <v>412</v>
      </c>
      <c r="D118" s="3">
        <v>195.0</v>
      </c>
      <c r="E118" s="3">
        <f t="shared" si="1"/>
        <v>313.8</v>
      </c>
      <c r="F118" s="3">
        <v>529.0</v>
      </c>
      <c r="G118" s="8">
        <f t="shared" si="2"/>
        <v>14</v>
      </c>
      <c r="H118" s="3">
        <v>3968.0</v>
      </c>
      <c r="I118" s="8">
        <f t="shared" si="3"/>
        <v>0.133</v>
      </c>
    </row>
    <row r="119">
      <c r="A119" s="6" t="s">
        <v>36</v>
      </c>
      <c r="B119" s="6" t="s">
        <v>232</v>
      </c>
      <c r="C119" s="6" t="s">
        <v>141</v>
      </c>
      <c r="D119" s="6">
        <v>194.0</v>
      </c>
      <c r="E119" s="6">
        <f t="shared" si="1"/>
        <v>312.2</v>
      </c>
      <c r="F119" s="6">
        <v>743.0</v>
      </c>
      <c r="G119" s="11">
        <f t="shared" si="2"/>
        <v>9.8</v>
      </c>
      <c r="H119" s="6">
        <v>2658.0</v>
      </c>
      <c r="I119" s="11">
        <f t="shared" si="3"/>
        <v>0.28</v>
      </c>
    </row>
    <row r="120">
      <c r="A120" s="3" t="s">
        <v>83</v>
      </c>
      <c r="B120" s="3" t="s">
        <v>84</v>
      </c>
      <c r="C120" s="3" t="s">
        <v>50</v>
      </c>
      <c r="D120" s="3">
        <v>194.0</v>
      </c>
      <c r="E120" s="3">
        <f t="shared" si="1"/>
        <v>312.2</v>
      </c>
      <c r="F120" s="3">
        <v>743.0</v>
      </c>
      <c r="G120" s="8">
        <f t="shared" si="2"/>
        <v>9.8</v>
      </c>
      <c r="H120" s="3">
        <v>1598.0</v>
      </c>
      <c r="I120" s="8">
        <f t="shared" si="3"/>
        <v>0.465</v>
      </c>
    </row>
    <row r="121">
      <c r="A121" s="6" t="s">
        <v>48</v>
      </c>
      <c r="B121" s="6" t="s">
        <v>439</v>
      </c>
      <c r="C121" s="6" t="s">
        <v>359</v>
      </c>
      <c r="D121" s="6">
        <v>194.0</v>
      </c>
      <c r="E121" s="6">
        <f t="shared" si="1"/>
        <v>312.2</v>
      </c>
      <c r="F121" s="6">
        <v>641.0</v>
      </c>
      <c r="G121" s="11">
        <f t="shared" si="2"/>
        <v>11.4</v>
      </c>
      <c r="H121" s="6">
        <v>3882.0</v>
      </c>
      <c r="I121" s="11">
        <f t="shared" si="3"/>
        <v>0.165</v>
      </c>
    </row>
    <row r="122">
      <c r="A122" s="3" t="s">
        <v>38</v>
      </c>
      <c r="B122" s="3" t="s">
        <v>443</v>
      </c>
      <c r="C122" s="3" t="s">
        <v>359</v>
      </c>
      <c r="D122" s="3">
        <v>194.0</v>
      </c>
      <c r="E122" s="3">
        <f t="shared" si="1"/>
        <v>312.2</v>
      </c>
      <c r="F122" s="3">
        <v>383.0</v>
      </c>
      <c r="G122" s="8">
        <f t="shared" si="2"/>
        <v>19.1</v>
      </c>
      <c r="H122" s="3">
        <v>2954.0</v>
      </c>
      <c r="I122" s="8">
        <f t="shared" si="3"/>
        <v>0.13</v>
      </c>
    </row>
    <row r="123">
      <c r="A123" s="22" t="s">
        <v>208</v>
      </c>
      <c r="B123" s="6" t="s">
        <v>445</v>
      </c>
      <c r="C123" s="6" t="s">
        <v>124</v>
      </c>
      <c r="D123" s="6">
        <v>194.0</v>
      </c>
      <c r="E123" s="6">
        <f t="shared" si="1"/>
        <v>312.2</v>
      </c>
      <c r="F123" s="6">
        <v>915.0</v>
      </c>
      <c r="G123" s="11">
        <f t="shared" si="2"/>
        <v>8</v>
      </c>
      <c r="H123" s="6">
        <v>3009.0</v>
      </c>
      <c r="I123" s="11">
        <f t="shared" si="3"/>
        <v>0.304</v>
      </c>
    </row>
    <row r="124">
      <c r="A124" s="3" t="s">
        <v>64</v>
      </c>
      <c r="B124" s="3" t="s">
        <v>451</v>
      </c>
      <c r="C124" s="3" t="s">
        <v>256</v>
      </c>
      <c r="D124" s="3">
        <v>194.0</v>
      </c>
      <c r="E124" s="3">
        <f t="shared" si="1"/>
        <v>312.2</v>
      </c>
      <c r="F124" s="3">
        <v>380.0</v>
      </c>
      <c r="G124" s="8">
        <f t="shared" si="2"/>
        <v>19.2</v>
      </c>
      <c r="H124" s="3">
        <v>1686.0</v>
      </c>
      <c r="I124" s="8">
        <f t="shared" si="3"/>
        <v>0.225</v>
      </c>
    </row>
    <row r="125">
      <c r="A125" s="6" t="s">
        <v>48</v>
      </c>
      <c r="B125" s="6" t="s">
        <v>49</v>
      </c>
      <c r="C125" s="6" t="s">
        <v>50</v>
      </c>
      <c r="D125" s="6">
        <v>193.0</v>
      </c>
      <c r="E125" s="6">
        <f t="shared" si="1"/>
        <v>310.6</v>
      </c>
      <c r="F125" s="6">
        <v>743.0</v>
      </c>
      <c r="G125" s="11">
        <f t="shared" si="2"/>
        <v>9.7</v>
      </c>
      <c r="H125" s="6">
        <v>1598.0</v>
      </c>
      <c r="I125" s="11">
        <f t="shared" si="3"/>
        <v>0.465</v>
      </c>
    </row>
    <row r="126">
      <c r="A126" s="3" t="s">
        <v>153</v>
      </c>
      <c r="B126" s="3" t="s">
        <v>457</v>
      </c>
      <c r="C126" s="3" t="s">
        <v>131</v>
      </c>
      <c r="D126" s="3">
        <v>193.0</v>
      </c>
      <c r="E126" s="3">
        <f t="shared" si="1"/>
        <v>310.6</v>
      </c>
      <c r="F126" s="3">
        <v>517.0</v>
      </c>
      <c r="G126" s="8">
        <f t="shared" si="2"/>
        <v>13.9</v>
      </c>
      <c r="H126" s="3">
        <v>3604.0</v>
      </c>
      <c r="I126" s="8">
        <f t="shared" si="3"/>
        <v>0.143</v>
      </c>
    </row>
    <row r="127">
      <c r="A127" s="6" t="s">
        <v>68</v>
      </c>
      <c r="B127" s="6" t="s">
        <v>461</v>
      </c>
      <c r="C127" s="6" t="s">
        <v>359</v>
      </c>
      <c r="D127" s="6">
        <v>193.0</v>
      </c>
      <c r="E127" s="6">
        <f t="shared" si="1"/>
        <v>310.6</v>
      </c>
      <c r="F127" s="6">
        <v>573.0</v>
      </c>
      <c r="G127" s="11">
        <f t="shared" si="2"/>
        <v>12.5</v>
      </c>
      <c r="H127" s="6">
        <v>3961.0</v>
      </c>
      <c r="I127" s="11">
        <f t="shared" si="3"/>
        <v>0.145</v>
      </c>
    </row>
    <row r="128">
      <c r="A128" s="3" t="s">
        <v>46</v>
      </c>
      <c r="B128" s="3" t="s">
        <v>464</v>
      </c>
      <c r="C128" s="3" t="s">
        <v>359</v>
      </c>
      <c r="D128" s="3">
        <v>193.0</v>
      </c>
      <c r="E128" s="3">
        <f t="shared" si="1"/>
        <v>310.6</v>
      </c>
      <c r="F128" s="3">
        <v>400.0</v>
      </c>
      <c r="G128" s="8">
        <f t="shared" si="2"/>
        <v>18</v>
      </c>
      <c r="H128" s="3">
        <v>2683.0</v>
      </c>
      <c r="I128" s="8">
        <f t="shared" si="3"/>
        <v>0.149</v>
      </c>
    </row>
    <row r="129">
      <c r="A129" s="6" t="s">
        <v>91</v>
      </c>
      <c r="B129" s="6" t="s">
        <v>421</v>
      </c>
      <c r="C129" s="6" t="s">
        <v>384</v>
      </c>
      <c r="D129" s="6">
        <v>192.0</v>
      </c>
      <c r="E129" s="6">
        <f t="shared" si="1"/>
        <v>309</v>
      </c>
      <c r="F129" s="6">
        <v>479.0</v>
      </c>
      <c r="G129" s="11">
        <f t="shared" si="2"/>
        <v>14.8</v>
      </c>
      <c r="H129" s="6">
        <v>2645.0</v>
      </c>
      <c r="I129" s="11">
        <f t="shared" si="3"/>
        <v>0.181</v>
      </c>
    </row>
    <row r="130">
      <c r="A130" s="3" t="s">
        <v>214</v>
      </c>
      <c r="B130" s="3" t="s">
        <v>216</v>
      </c>
      <c r="C130" s="3" t="s">
        <v>212</v>
      </c>
      <c r="D130" s="3">
        <v>192.0</v>
      </c>
      <c r="E130" s="3">
        <f t="shared" si="1"/>
        <v>309</v>
      </c>
      <c r="F130" s="3">
        <v>523.0</v>
      </c>
      <c r="G130" s="8">
        <f t="shared" si="2"/>
        <v>13.5</v>
      </c>
      <c r="H130" s="3">
        <v>2788.0</v>
      </c>
      <c r="I130" s="8">
        <f t="shared" si="3"/>
        <v>0.188</v>
      </c>
    </row>
    <row r="131">
      <c r="A131" s="6" t="s">
        <v>307</v>
      </c>
      <c r="B131" s="6" t="s">
        <v>459</v>
      </c>
      <c r="C131" s="6" t="s">
        <v>131</v>
      </c>
      <c r="D131" s="6">
        <v>192.0</v>
      </c>
      <c r="E131" s="6">
        <f t="shared" si="1"/>
        <v>309</v>
      </c>
      <c r="F131" s="6">
        <v>573.0</v>
      </c>
      <c r="G131" s="11">
        <f t="shared" si="2"/>
        <v>12.4</v>
      </c>
      <c r="H131" s="6">
        <v>3809.0</v>
      </c>
      <c r="I131" s="11">
        <f t="shared" si="3"/>
        <v>0.15</v>
      </c>
    </row>
    <row r="132">
      <c r="A132" s="3" t="s">
        <v>197</v>
      </c>
      <c r="B132" s="3" t="s">
        <v>248</v>
      </c>
      <c r="C132" s="3" t="s">
        <v>212</v>
      </c>
      <c r="D132" s="3">
        <v>191.0</v>
      </c>
      <c r="E132" s="3">
        <f t="shared" si="1"/>
        <v>307.4</v>
      </c>
      <c r="F132" s="3">
        <v>523.0</v>
      </c>
      <c r="G132" s="8">
        <f t="shared" si="2"/>
        <v>13.3</v>
      </c>
      <c r="H132" s="3">
        <v>2700.0</v>
      </c>
      <c r="I132" s="8">
        <f t="shared" si="3"/>
        <v>0.194</v>
      </c>
    </row>
    <row r="133">
      <c r="A133" s="6" t="s">
        <v>48</v>
      </c>
      <c r="B133" s="6" t="s">
        <v>479</v>
      </c>
      <c r="C133" s="6" t="s">
        <v>131</v>
      </c>
      <c r="D133" s="6">
        <v>191.0</v>
      </c>
      <c r="E133" s="6">
        <f t="shared" si="1"/>
        <v>307.4</v>
      </c>
      <c r="F133" s="6">
        <v>648.0</v>
      </c>
      <c r="G133" s="11">
        <f t="shared" si="2"/>
        <v>10.8</v>
      </c>
      <c r="H133" s="6">
        <v>3522.0</v>
      </c>
      <c r="I133" s="11">
        <f t="shared" si="3"/>
        <v>0.184</v>
      </c>
    </row>
    <row r="134">
      <c r="A134" s="3" t="s">
        <v>291</v>
      </c>
      <c r="B134" s="3" t="s">
        <v>465</v>
      </c>
      <c r="C134" s="3" t="s">
        <v>131</v>
      </c>
      <c r="D134" s="3">
        <v>191.0</v>
      </c>
      <c r="E134" s="3">
        <f t="shared" si="1"/>
        <v>307.4</v>
      </c>
      <c r="F134" s="3">
        <v>605.0</v>
      </c>
      <c r="G134" s="8">
        <f t="shared" si="2"/>
        <v>11.5</v>
      </c>
      <c r="H134" s="3">
        <v>3134.0</v>
      </c>
      <c r="I134" s="8">
        <f t="shared" si="3"/>
        <v>0.193</v>
      </c>
    </row>
    <row r="135">
      <c r="A135" s="6" t="s">
        <v>36</v>
      </c>
      <c r="B135" s="6" t="s">
        <v>456</v>
      </c>
      <c r="C135" s="6" t="s">
        <v>131</v>
      </c>
      <c r="D135" s="6">
        <v>190.0</v>
      </c>
      <c r="E135" s="6">
        <f t="shared" si="1"/>
        <v>305.8</v>
      </c>
      <c r="F135" s="6">
        <v>614.0</v>
      </c>
      <c r="G135" s="11">
        <f t="shared" si="2"/>
        <v>11.2</v>
      </c>
      <c r="H135" s="6">
        <v>3648.0</v>
      </c>
      <c r="I135" s="11">
        <f t="shared" si="3"/>
        <v>0.168</v>
      </c>
    </row>
    <row r="136">
      <c r="A136" s="3" t="s">
        <v>46</v>
      </c>
      <c r="B136" s="3" t="s">
        <v>467</v>
      </c>
      <c r="C136" s="3" t="s">
        <v>131</v>
      </c>
      <c r="D136" s="3">
        <v>190.0</v>
      </c>
      <c r="E136" s="3">
        <f t="shared" si="1"/>
        <v>305.8</v>
      </c>
      <c r="F136" s="3">
        <v>594.0</v>
      </c>
      <c r="G136" s="8">
        <f t="shared" si="2"/>
        <v>11.5</v>
      </c>
      <c r="H136" s="3">
        <v>3911.0</v>
      </c>
      <c r="I136" s="8">
        <f t="shared" si="3"/>
        <v>0.152</v>
      </c>
    </row>
    <row r="137">
      <c r="A137" s="6" t="s">
        <v>48</v>
      </c>
      <c r="B137" s="6" t="s">
        <v>211</v>
      </c>
      <c r="C137" s="6" t="s">
        <v>212</v>
      </c>
      <c r="D137" s="6">
        <v>189.0</v>
      </c>
      <c r="E137" s="6">
        <f t="shared" si="1"/>
        <v>304.2</v>
      </c>
      <c r="F137" s="6">
        <v>512.0</v>
      </c>
      <c r="G137" s="11">
        <f t="shared" si="2"/>
        <v>13.2</v>
      </c>
      <c r="H137" s="6">
        <v>2744.0</v>
      </c>
      <c r="I137" s="11">
        <f t="shared" si="3"/>
        <v>0.187</v>
      </c>
    </row>
    <row r="138">
      <c r="A138" s="3" t="s">
        <v>197</v>
      </c>
      <c r="B138" s="3" t="s">
        <v>490</v>
      </c>
      <c r="C138" s="3" t="s">
        <v>359</v>
      </c>
      <c r="D138" s="3">
        <v>189.0</v>
      </c>
      <c r="E138" s="3">
        <f t="shared" si="1"/>
        <v>304.2</v>
      </c>
      <c r="F138" s="3">
        <v>601.0</v>
      </c>
      <c r="G138" s="8">
        <f t="shared" si="2"/>
        <v>11.2</v>
      </c>
      <c r="H138" s="3">
        <v>3902.0</v>
      </c>
      <c r="I138" s="8">
        <f t="shared" si="3"/>
        <v>0.154</v>
      </c>
    </row>
    <row r="139">
      <c r="A139" s="6" t="s">
        <v>64</v>
      </c>
      <c r="B139" s="6" t="s">
        <v>363</v>
      </c>
      <c r="C139" s="6" t="s">
        <v>263</v>
      </c>
      <c r="D139" s="6">
        <v>189.0</v>
      </c>
      <c r="E139" s="6">
        <f t="shared" si="1"/>
        <v>304.2</v>
      </c>
      <c r="F139" s="6">
        <v>434.0</v>
      </c>
      <c r="G139" s="11">
        <f t="shared" si="2"/>
        <v>15.6</v>
      </c>
      <c r="H139" s="6">
        <v>1201.0</v>
      </c>
      <c r="I139" s="11">
        <f t="shared" si="3"/>
        <v>0.361</v>
      </c>
    </row>
    <row r="140">
      <c r="A140" s="3" t="s">
        <v>90</v>
      </c>
      <c r="B140" s="3" t="s">
        <v>92</v>
      </c>
      <c r="C140" s="3" t="s">
        <v>94</v>
      </c>
      <c r="D140" s="3">
        <v>188.0</v>
      </c>
      <c r="E140" s="3">
        <f t="shared" si="1"/>
        <v>302.6</v>
      </c>
      <c r="F140" s="3">
        <v>534.0</v>
      </c>
      <c r="G140" s="8">
        <f t="shared" si="2"/>
        <v>12.4</v>
      </c>
      <c r="H140" s="3">
        <v>1373.0</v>
      </c>
      <c r="I140" s="8">
        <f t="shared" si="3"/>
        <v>0.389</v>
      </c>
    </row>
    <row r="141">
      <c r="A141" s="6" t="s">
        <v>214</v>
      </c>
      <c r="B141" s="6" t="s">
        <v>406</v>
      </c>
      <c r="C141" s="6" t="s">
        <v>401</v>
      </c>
      <c r="D141" s="6">
        <v>188.0</v>
      </c>
      <c r="E141" s="6">
        <f t="shared" si="1"/>
        <v>302.6</v>
      </c>
      <c r="F141" s="6">
        <v>595.0</v>
      </c>
      <c r="G141" s="11">
        <f t="shared" si="2"/>
        <v>11.2</v>
      </c>
      <c r="H141" s="6">
        <v>2866.0</v>
      </c>
      <c r="I141" s="11">
        <f t="shared" si="3"/>
        <v>0.208</v>
      </c>
    </row>
    <row r="142">
      <c r="A142" s="3" t="s">
        <v>83</v>
      </c>
      <c r="B142" s="3" t="s">
        <v>400</v>
      </c>
      <c r="C142" s="3" t="s">
        <v>401</v>
      </c>
      <c r="D142" s="3">
        <v>188.0</v>
      </c>
      <c r="E142" s="3">
        <f t="shared" si="1"/>
        <v>302.6</v>
      </c>
      <c r="F142" s="3">
        <v>595.0</v>
      </c>
      <c r="G142" s="8">
        <f t="shared" si="2"/>
        <v>11.2</v>
      </c>
      <c r="H142" s="3">
        <v>2866.0</v>
      </c>
      <c r="I142" s="8">
        <f t="shared" si="3"/>
        <v>0.208</v>
      </c>
    </row>
    <row r="143">
      <c r="A143" s="6" t="s">
        <v>38</v>
      </c>
      <c r="B143" s="6" t="s">
        <v>222</v>
      </c>
      <c r="C143" s="6" t="s">
        <v>212</v>
      </c>
      <c r="D143" s="6">
        <v>187.0</v>
      </c>
      <c r="E143" s="6">
        <f t="shared" si="1"/>
        <v>300.9</v>
      </c>
      <c r="F143" s="6">
        <v>526.0</v>
      </c>
      <c r="G143" s="11">
        <f t="shared" si="2"/>
        <v>12.4</v>
      </c>
      <c r="H143" s="6">
        <v>2755.0</v>
      </c>
      <c r="I143" s="11">
        <f t="shared" si="3"/>
        <v>0.191</v>
      </c>
    </row>
    <row r="144">
      <c r="A144" s="3" t="s">
        <v>36</v>
      </c>
      <c r="B144" s="3" t="s">
        <v>428</v>
      </c>
      <c r="C144" s="3" t="s">
        <v>401</v>
      </c>
      <c r="D144" s="3">
        <v>187.0</v>
      </c>
      <c r="E144" s="3">
        <f t="shared" si="1"/>
        <v>300.9</v>
      </c>
      <c r="F144" s="3">
        <v>580.0</v>
      </c>
      <c r="G144" s="8">
        <f t="shared" si="2"/>
        <v>11.3</v>
      </c>
      <c r="H144" s="3">
        <v>2866.0</v>
      </c>
      <c r="I144" s="8">
        <f t="shared" si="3"/>
        <v>0.202</v>
      </c>
    </row>
    <row r="145">
      <c r="A145" s="6" t="s">
        <v>153</v>
      </c>
      <c r="B145" s="6" t="s">
        <v>418</v>
      </c>
      <c r="C145" s="6" t="s">
        <v>401</v>
      </c>
      <c r="D145" s="6">
        <v>187.0</v>
      </c>
      <c r="E145" s="6">
        <f t="shared" si="1"/>
        <v>300.9</v>
      </c>
      <c r="F145" s="6">
        <v>593.0</v>
      </c>
      <c r="G145" s="11">
        <f t="shared" si="2"/>
        <v>11</v>
      </c>
      <c r="H145" s="6">
        <v>2932.0</v>
      </c>
      <c r="I145" s="11">
        <f t="shared" si="3"/>
        <v>0.202</v>
      </c>
    </row>
    <row r="146">
      <c r="A146" s="3" t="s">
        <v>440</v>
      </c>
      <c r="B146" s="3" t="s">
        <v>441</v>
      </c>
      <c r="C146" s="3" t="s">
        <v>401</v>
      </c>
      <c r="D146" s="3">
        <v>187.0</v>
      </c>
      <c r="E146" s="3">
        <f t="shared" si="1"/>
        <v>300.9</v>
      </c>
      <c r="F146" s="3">
        <v>580.0</v>
      </c>
      <c r="G146" s="8">
        <f t="shared" si="2"/>
        <v>11.3</v>
      </c>
      <c r="H146" s="3">
        <v>2866.0</v>
      </c>
      <c r="I146" s="8">
        <f t="shared" si="3"/>
        <v>0.202</v>
      </c>
    </row>
    <row r="147">
      <c r="A147" s="6" t="s">
        <v>197</v>
      </c>
      <c r="B147" s="6" t="s">
        <v>325</v>
      </c>
      <c r="C147" s="6" t="s">
        <v>269</v>
      </c>
      <c r="D147" s="6">
        <v>186.0</v>
      </c>
      <c r="E147" s="6">
        <f t="shared" si="1"/>
        <v>299.3</v>
      </c>
      <c r="F147" s="6">
        <v>528.0</v>
      </c>
      <c r="G147" s="11">
        <f t="shared" si="2"/>
        <v>12.2</v>
      </c>
      <c r="H147" s="6">
        <v>2810.0</v>
      </c>
      <c r="I147" s="11">
        <f t="shared" si="3"/>
        <v>0.188</v>
      </c>
    </row>
    <row r="148">
      <c r="A148" s="3" t="s">
        <v>157</v>
      </c>
      <c r="B148" s="3" t="s">
        <v>239</v>
      </c>
      <c r="C148" s="3" t="s">
        <v>212</v>
      </c>
      <c r="D148" s="3">
        <v>186.0</v>
      </c>
      <c r="E148" s="3">
        <f t="shared" si="1"/>
        <v>299.3</v>
      </c>
      <c r="F148" s="3">
        <v>509.0</v>
      </c>
      <c r="G148" s="8">
        <f t="shared" si="2"/>
        <v>12.6</v>
      </c>
      <c r="H148" s="3">
        <v>2711.0</v>
      </c>
      <c r="I148" s="8">
        <f t="shared" si="3"/>
        <v>0.188</v>
      </c>
    </row>
    <row r="149">
      <c r="A149" s="6" t="s">
        <v>234</v>
      </c>
      <c r="B149" s="6" t="s">
        <v>351</v>
      </c>
      <c r="C149" s="6" t="s">
        <v>82</v>
      </c>
      <c r="D149" s="6">
        <v>186.0</v>
      </c>
      <c r="E149" s="6">
        <f t="shared" si="1"/>
        <v>299.3</v>
      </c>
      <c r="F149" s="6">
        <v>456.0</v>
      </c>
      <c r="G149" s="11">
        <f t="shared" si="2"/>
        <v>14.1</v>
      </c>
      <c r="H149" s="6">
        <v>2072.0</v>
      </c>
      <c r="I149" s="11">
        <f t="shared" si="3"/>
        <v>0.22</v>
      </c>
    </row>
    <row r="150">
      <c r="A150" s="3" t="s">
        <v>307</v>
      </c>
      <c r="B150" s="3" t="s">
        <v>308</v>
      </c>
      <c r="C150" s="3" t="s">
        <v>269</v>
      </c>
      <c r="D150" s="3">
        <v>185.0</v>
      </c>
      <c r="E150" s="3">
        <f t="shared" si="1"/>
        <v>297.7</v>
      </c>
      <c r="F150" s="3">
        <v>500.0</v>
      </c>
      <c r="G150" s="8">
        <f t="shared" si="2"/>
        <v>12.7</v>
      </c>
      <c r="H150" s="3">
        <v>2832.0</v>
      </c>
      <c r="I150" s="8">
        <f t="shared" si="3"/>
        <v>0.177</v>
      </c>
    </row>
    <row r="151">
      <c r="A151" s="6" t="s">
        <v>70</v>
      </c>
      <c r="B151" s="6" t="s">
        <v>517</v>
      </c>
      <c r="C151" s="6" t="s">
        <v>131</v>
      </c>
      <c r="D151" s="6">
        <v>185.0</v>
      </c>
      <c r="E151" s="6">
        <f t="shared" si="1"/>
        <v>297.7</v>
      </c>
      <c r="F151" s="6">
        <v>540.0</v>
      </c>
      <c r="G151" s="11">
        <f t="shared" si="2"/>
        <v>11.7</v>
      </c>
      <c r="H151" s="6">
        <v>2843.0</v>
      </c>
      <c r="I151" s="11">
        <f t="shared" si="3"/>
        <v>0.19</v>
      </c>
    </row>
    <row r="152">
      <c r="A152" s="3" t="s">
        <v>157</v>
      </c>
      <c r="B152" s="3" t="s">
        <v>521</v>
      </c>
      <c r="C152" s="3" t="s">
        <v>359</v>
      </c>
      <c r="D152" s="3">
        <v>185.0</v>
      </c>
      <c r="E152" s="3">
        <f t="shared" si="1"/>
        <v>297.7</v>
      </c>
      <c r="F152" s="3">
        <v>456.0</v>
      </c>
      <c r="G152" s="8">
        <f t="shared" si="2"/>
        <v>13.9</v>
      </c>
      <c r="H152" s="3">
        <v>3240.0</v>
      </c>
      <c r="I152" s="8">
        <f t="shared" si="3"/>
        <v>0.141</v>
      </c>
    </row>
    <row r="153">
      <c r="A153" s="6" t="s">
        <v>90</v>
      </c>
      <c r="B153" s="6" t="s">
        <v>409</v>
      </c>
      <c r="C153" s="6" t="s">
        <v>401</v>
      </c>
      <c r="D153" s="6">
        <v>185.0</v>
      </c>
      <c r="E153" s="6">
        <f t="shared" si="1"/>
        <v>297.7</v>
      </c>
      <c r="F153" s="6">
        <v>562.0</v>
      </c>
      <c r="G153" s="11">
        <f t="shared" si="2"/>
        <v>11.3</v>
      </c>
      <c r="H153" s="6">
        <v>2866.0</v>
      </c>
      <c r="I153" s="11">
        <f t="shared" si="3"/>
        <v>0.196</v>
      </c>
    </row>
    <row r="154">
      <c r="A154" s="3" t="s">
        <v>366</v>
      </c>
      <c r="B154" s="3" t="s">
        <v>367</v>
      </c>
      <c r="C154" s="3" t="s">
        <v>269</v>
      </c>
      <c r="D154" s="3">
        <v>184.0</v>
      </c>
      <c r="E154" s="3">
        <f t="shared" si="1"/>
        <v>296.1</v>
      </c>
      <c r="F154" s="3">
        <v>507.0</v>
      </c>
      <c r="G154" s="8">
        <f t="shared" si="2"/>
        <v>12.3</v>
      </c>
      <c r="H154" s="3">
        <v>2866.0</v>
      </c>
      <c r="I154" s="8">
        <f t="shared" si="3"/>
        <v>0.177</v>
      </c>
    </row>
    <row r="155">
      <c r="A155" s="6" t="s">
        <v>91</v>
      </c>
      <c r="B155" s="6" t="s">
        <v>230</v>
      </c>
      <c r="C155" s="6" t="s">
        <v>212</v>
      </c>
      <c r="D155" s="6">
        <v>184.0</v>
      </c>
      <c r="E155" s="6">
        <f t="shared" si="1"/>
        <v>296.1</v>
      </c>
      <c r="F155" s="6">
        <v>509.0</v>
      </c>
      <c r="G155" s="11">
        <f t="shared" si="2"/>
        <v>12.2</v>
      </c>
      <c r="H155" s="6">
        <v>2755.0</v>
      </c>
      <c r="I155" s="11">
        <f t="shared" si="3"/>
        <v>0.185</v>
      </c>
    </row>
    <row r="156">
      <c r="A156" s="3" t="s">
        <v>68</v>
      </c>
      <c r="B156" s="3" t="s">
        <v>531</v>
      </c>
      <c r="C156" s="3" t="s">
        <v>532</v>
      </c>
      <c r="D156" s="3">
        <v>184.0</v>
      </c>
      <c r="E156" s="3">
        <f t="shared" si="1"/>
        <v>296.1</v>
      </c>
      <c r="F156" s="3">
        <v>460.0</v>
      </c>
      <c r="G156" s="8">
        <f t="shared" si="2"/>
        <v>13.5</v>
      </c>
      <c r="H156" s="3">
        <v>2669.0</v>
      </c>
      <c r="I156" s="8">
        <f t="shared" si="3"/>
        <v>0.172</v>
      </c>
    </row>
    <row r="157">
      <c r="A157" s="6" t="s">
        <v>291</v>
      </c>
      <c r="B157" s="6" t="s">
        <v>292</v>
      </c>
      <c r="C157" s="6" t="s">
        <v>269</v>
      </c>
      <c r="D157" s="6">
        <v>183.0</v>
      </c>
      <c r="E157" s="6">
        <f t="shared" si="1"/>
        <v>294.5</v>
      </c>
      <c r="F157" s="6">
        <v>503.0</v>
      </c>
      <c r="G157" s="11">
        <f t="shared" si="2"/>
        <v>12.2</v>
      </c>
      <c r="H157" s="6">
        <v>2810.0</v>
      </c>
      <c r="I157" s="11">
        <f t="shared" si="3"/>
        <v>0.179</v>
      </c>
    </row>
    <row r="158">
      <c r="A158" s="3" t="s">
        <v>46</v>
      </c>
      <c r="B158" s="3" t="s">
        <v>299</v>
      </c>
      <c r="C158" s="3" t="s">
        <v>269</v>
      </c>
      <c r="D158" s="3">
        <v>183.0</v>
      </c>
      <c r="E158" s="3">
        <f t="shared" si="1"/>
        <v>294.5</v>
      </c>
      <c r="F158" s="3">
        <v>523.0</v>
      </c>
      <c r="G158" s="8">
        <f t="shared" si="2"/>
        <v>11.7</v>
      </c>
      <c r="H158" s="3">
        <v>2888.0</v>
      </c>
      <c r="I158" s="8">
        <f t="shared" si="3"/>
        <v>0.181</v>
      </c>
    </row>
    <row r="159">
      <c r="A159" s="6" t="s">
        <v>91</v>
      </c>
      <c r="B159" s="6" t="s">
        <v>538</v>
      </c>
      <c r="C159" s="6" t="s">
        <v>412</v>
      </c>
      <c r="D159" s="6">
        <v>183.0</v>
      </c>
      <c r="E159" s="6">
        <f t="shared" si="1"/>
        <v>294.5</v>
      </c>
      <c r="F159" s="6">
        <v>400.0</v>
      </c>
      <c r="G159" s="11">
        <f t="shared" si="2"/>
        <v>15.3</v>
      </c>
      <c r="H159" s="6">
        <v>2903.0</v>
      </c>
      <c r="I159" s="11">
        <f t="shared" si="3"/>
        <v>0.138</v>
      </c>
    </row>
    <row r="160">
      <c r="A160" s="3" t="s">
        <v>90</v>
      </c>
      <c r="B160" s="3" t="s">
        <v>200</v>
      </c>
      <c r="C160" s="3" t="s">
        <v>201</v>
      </c>
      <c r="D160" s="3">
        <v>183.0</v>
      </c>
      <c r="E160" s="3">
        <f t="shared" si="1"/>
        <v>294.5</v>
      </c>
      <c r="F160" s="3">
        <v>549.0</v>
      </c>
      <c r="G160" s="8">
        <f t="shared" si="2"/>
        <v>11.2</v>
      </c>
      <c r="H160" s="3">
        <v>2522.0</v>
      </c>
      <c r="I160" s="8">
        <f t="shared" si="3"/>
        <v>0.218</v>
      </c>
    </row>
    <row r="161">
      <c r="A161" s="6" t="s">
        <v>447</v>
      </c>
      <c r="B161" s="6" t="s">
        <v>448</v>
      </c>
      <c r="C161" s="6" t="s">
        <v>401</v>
      </c>
      <c r="D161" s="6">
        <v>183.0</v>
      </c>
      <c r="E161" s="6">
        <f t="shared" si="1"/>
        <v>294.5</v>
      </c>
      <c r="F161" s="6">
        <v>576.0</v>
      </c>
      <c r="G161" s="11">
        <f t="shared" si="2"/>
        <v>10.6</v>
      </c>
      <c r="H161" s="6">
        <v>2866.0</v>
      </c>
      <c r="I161" s="11">
        <f t="shared" si="3"/>
        <v>0.201</v>
      </c>
    </row>
    <row r="162">
      <c r="A162" s="3" t="s">
        <v>91</v>
      </c>
      <c r="B162" s="3" t="s">
        <v>544</v>
      </c>
      <c r="C162" s="3" t="s">
        <v>131</v>
      </c>
      <c r="D162" s="3">
        <v>182.0</v>
      </c>
      <c r="E162" s="3">
        <f t="shared" si="1"/>
        <v>292.9</v>
      </c>
      <c r="F162" s="3">
        <v>517.0</v>
      </c>
      <c r="G162" s="8">
        <f t="shared" si="2"/>
        <v>11.7</v>
      </c>
      <c r="H162" s="3">
        <v>2976.0</v>
      </c>
      <c r="I162" s="8">
        <f t="shared" si="3"/>
        <v>0.174</v>
      </c>
    </row>
    <row r="163">
      <c r="A163" s="6" t="s">
        <v>234</v>
      </c>
      <c r="B163" s="6" t="s">
        <v>235</v>
      </c>
      <c r="C163" s="6" t="s">
        <v>124</v>
      </c>
      <c r="D163" s="6">
        <v>182.0</v>
      </c>
      <c r="E163" s="6">
        <f t="shared" si="1"/>
        <v>292.9</v>
      </c>
      <c r="F163" s="6">
        <v>425.0</v>
      </c>
      <c r="G163" s="11">
        <f t="shared" si="2"/>
        <v>14.2</v>
      </c>
      <c r="H163" s="6">
        <v>1499.0</v>
      </c>
      <c r="I163" s="11">
        <f t="shared" si="3"/>
        <v>0.284</v>
      </c>
    </row>
    <row r="164">
      <c r="A164" s="3" t="s">
        <v>549</v>
      </c>
      <c r="B164" s="3" t="s">
        <v>550</v>
      </c>
      <c r="C164" s="3" t="s">
        <v>220</v>
      </c>
      <c r="D164" s="3">
        <v>182.0</v>
      </c>
      <c r="E164" s="3">
        <f t="shared" si="1"/>
        <v>292.9</v>
      </c>
      <c r="F164" s="3">
        <v>643.0</v>
      </c>
      <c r="G164" s="8">
        <f t="shared" si="2"/>
        <v>9.4</v>
      </c>
      <c r="H164" s="3">
        <v>3108.0</v>
      </c>
      <c r="I164" s="8">
        <f t="shared" si="3"/>
        <v>0.207</v>
      </c>
    </row>
    <row r="165">
      <c r="A165" s="6" t="s">
        <v>91</v>
      </c>
      <c r="B165" s="6" t="s">
        <v>330</v>
      </c>
      <c r="C165" s="6" t="s">
        <v>288</v>
      </c>
      <c r="D165" s="6">
        <v>181.0</v>
      </c>
      <c r="E165" s="6">
        <f t="shared" si="1"/>
        <v>291.3</v>
      </c>
      <c r="F165" s="6">
        <v>646.0</v>
      </c>
      <c r="G165" s="11">
        <f t="shared" si="2"/>
        <v>9.2</v>
      </c>
      <c r="H165" s="6">
        <v>2954.0</v>
      </c>
      <c r="I165" s="11">
        <f t="shared" si="3"/>
        <v>0.219</v>
      </c>
    </row>
    <row r="166">
      <c r="A166" s="3" t="s">
        <v>91</v>
      </c>
      <c r="B166" s="3" t="s">
        <v>336</v>
      </c>
      <c r="C166" s="3" t="s">
        <v>288</v>
      </c>
      <c r="D166" s="3">
        <v>181.0</v>
      </c>
      <c r="E166" s="3">
        <f t="shared" si="1"/>
        <v>291.3</v>
      </c>
      <c r="F166" s="3">
        <v>646.0</v>
      </c>
      <c r="G166" s="8">
        <f t="shared" si="2"/>
        <v>9.2</v>
      </c>
      <c r="H166" s="3">
        <v>2954.0</v>
      </c>
      <c r="I166" s="8">
        <f t="shared" si="3"/>
        <v>0.219</v>
      </c>
    </row>
    <row r="167">
      <c r="A167" s="6" t="s">
        <v>91</v>
      </c>
      <c r="B167" s="6" t="s">
        <v>341</v>
      </c>
      <c r="C167" s="6" t="s">
        <v>288</v>
      </c>
      <c r="D167" s="6">
        <v>181.0</v>
      </c>
      <c r="E167" s="6">
        <f t="shared" si="1"/>
        <v>291.3</v>
      </c>
      <c r="F167" s="6">
        <v>646.0</v>
      </c>
      <c r="G167" s="11">
        <f t="shared" si="2"/>
        <v>9.2</v>
      </c>
      <c r="H167" s="6">
        <v>2954.0</v>
      </c>
      <c r="I167" s="11">
        <f t="shared" si="3"/>
        <v>0.219</v>
      </c>
    </row>
    <row r="168">
      <c r="A168" s="3" t="s">
        <v>157</v>
      </c>
      <c r="B168" s="3" t="s">
        <v>338</v>
      </c>
      <c r="C168" s="3" t="s">
        <v>269</v>
      </c>
      <c r="D168" s="3">
        <v>181.0</v>
      </c>
      <c r="E168" s="3">
        <f t="shared" si="1"/>
        <v>291.3</v>
      </c>
      <c r="F168" s="3">
        <v>514.0</v>
      </c>
      <c r="G168" s="8">
        <f t="shared" si="2"/>
        <v>11.5</v>
      </c>
      <c r="H168" s="3">
        <v>2711.0</v>
      </c>
      <c r="I168" s="8">
        <f t="shared" si="3"/>
        <v>0.19</v>
      </c>
    </row>
    <row r="169">
      <c r="A169" s="6" t="s">
        <v>126</v>
      </c>
      <c r="B169" s="6" t="s">
        <v>281</v>
      </c>
      <c r="C169" s="6" t="s">
        <v>269</v>
      </c>
      <c r="D169" s="6">
        <v>181.0</v>
      </c>
      <c r="E169" s="6">
        <f t="shared" si="1"/>
        <v>291.3</v>
      </c>
      <c r="F169" s="6">
        <v>492.0</v>
      </c>
      <c r="G169" s="11">
        <f t="shared" si="2"/>
        <v>12.1</v>
      </c>
      <c r="H169" s="6">
        <v>2788.0</v>
      </c>
      <c r="I169" s="11">
        <f t="shared" si="3"/>
        <v>0.176</v>
      </c>
    </row>
    <row r="170">
      <c r="A170" s="3" t="s">
        <v>157</v>
      </c>
      <c r="B170" s="3" t="s">
        <v>493</v>
      </c>
      <c r="C170" s="3" t="s">
        <v>475</v>
      </c>
      <c r="D170" s="3">
        <v>181.0</v>
      </c>
      <c r="E170" s="3">
        <f t="shared" si="1"/>
        <v>291.3</v>
      </c>
      <c r="F170" s="3">
        <v>434.0</v>
      </c>
      <c r="G170" s="8">
        <f t="shared" si="2"/>
        <v>13.7</v>
      </c>
      <c r="H170" s="3">
        <v>3075.0</v>
      </c>
      <c r="I170" s="8">
        <f t="shared" si="3"/>
        <v>0.141</v>
      </c>
    </row>
    <row r="171">
      <c r="A171" s="6" t="s">
        <v>122</v>
      </c>
      <c r="B171" s="6" t="s">
        <v>192</v>
      </c>
      <c r="C171" s="6" t="s">
        <v>192</v>
      </c>
      <c r="D171" s="6">
        <v>181.0</v>
      </c>
      <c r="E171" s="6">
        <f t="shared" si="1"/>
        <v>291.3</v>
      </c>
      <c r="F171" s="6">
        <v>427.0</v>
      </c>
      <c r="G171" s="11">
        <f t="shared" si="2"/>
        <v>13.9</v>
      </c>
      <c r="H171" s="6">
        <v>1984.0</v>
      </c>
      <c r="I171" s="11">
        <f t="shared" si="3"/>
        <v>0.215</v>
      </c>
    </row>
    <row r="172">
      <c r="A172" s="3" t="s">
        <v>291</v>
      </c>
      <c r="B172" s="3" t="s">
        <v>369</v>
      </c>
      <c r="C172" s="3" t="s">
        <v>370</v>
      </c>
      <c r="D172" s="3">
        <v>181.0</v>
      </c>
      <c r="E172" s="3">
        <f t="shared" si="1"/>
        <v>291.3</v>
      </c>
      <c r="F172" s="3">
        <v>615.0</v>
      </c>
      <c r="G172" s="8">
        <f t="shared" si="2"/>
        <v>9.6</v>
      </c>
      <c r="H172" s="3">
        <v>2799.0</v>
      </c>
      <c r="I172" s="8">
        <f t="shared" si="3"/>
        <v>0.22</v>
      </c>
    </row>
    <row r="173">
      <c r="A173" s="6" t="s">
        <v>122</v>
      </c>
      <c r="B173" s="6" t="s">
        <v>123</v>
      </c>
      <c r="C173" s="6" t="s">
        <v>124</v>
      </c>
      <c r="D173" s="6">
        <v>181.0</v>
      </c>
      <c r="E173" s="6">
        <f t="shared" si="1"/>
        <v>291.3</v>
      </c>
      <c r="F173" s="6">
        <v>568.0</v>
      </c>
      <c r="G173" s="11">
        <f t="shared" si="2"/>
        <v>10.4</v>
      </c>
      <c r="H173" s="6">
        <v>2041.0</v>
      </c>
      <c r="I173" s="11">
        <f t="shared" si="3"/>
        <v>0.278</v>
      </c>
    </row>
    <row r="174">
      <c r="A174" s="3" t="s">
        <v>214</v>
      </c>
      <c r="B174" s="3" t="s">
        <v>218</v>
      </c>
      <c r="C174" s="3" t="s">
        <v>220</v>
      </c>
      <c r="D174" s="3">
        <v>181.0</v>
      </c>
      <c r="E174" s="3">
        <f t="shared" si="1"/>
        <v>291.3</v>
      </c>
      <c r="F174" s="3">
        <v>643.0</v>
      </c>
      <c r="G174" s="8">
        <f t="shared" si="2"/>
        <v>9.2</v>
      </c>
      <c r="H174" s="3">
        <v>3108.0</v>
      </c>
      <c r="I174" s="8">
        <f t="shared" si="3"/>
        <v>0.207</v>
      </c>
    </row>
    <row r="175">
      <c r="A175" s="6" t="s">
        <v>91</v>
      </c>
      <c r="B175" s="6" t="s">
        <v>472</v>
      </c>
      <c r="C175" s="6" t="s">
        <v>224</v>
      </c>
      <c r="D175" s="6">
        <v>180.0</v>
      </c>
      <c r="E175" s="6">
        <f t="shared" si="1"/>
        <v>289.7</v>
      </c>
      <c r="F175" s="6">
        <v>377.0</v>
      </c>
      <c r="G175" s="11">
        <f t="shared" si="2"/>
        <v>15.5</v>
      </c>
      <c r="H175" s="6">
        <v>2987.0</v>
      </c>
      <c r="I175" s="11">
        <f t="shared" si="3"/>
        <v>0.126</v>
      </c>
    </row>
    <row r="176">
      <c r="A176" s="3" t="s">
        <v>157</v>
      </c>
      <c r="B176" s="3" t="s">
        <v>289</v>
      </c>
      <c r="C176" s="3" t="s">
        <v>269</v>
      </c>
      <c r="D176" s="3">
        <v>180.0</v>
      </c>
      <c r="E176" s="3">
        <f t="shared" si="1"/>
        <v>289.7</v>
      </c>
      <c r="F176" s="3">
        <v>518.0</v>
      </c>
      <c r="G176" s="8">
        <f t="shared" si="2"/>
        <v>11.3</v>
      </c>
      <c r="H176" s="3">
        <v>2921.0</v>
      </c>
      <c r="I176" s="8">
        <f t="shared" si="3"/>
        <v>0.177</v>
      </c>
    </row>
    <row r="177">
      <c r="A177" s="6" t="s">
        <v>153</v>
      </c>
      <c r="B177" s="6" t="s">
        <v>269</v>
      </c>
      <c r="C177" s="6" t="s">
        <v>269</v>
      </c>
      <c r="D177" s="6">
        <v>180.0</v>
      </c>
      <c r="E177" s="6">
        <f t="shared" si="1"/>
        <v>289.7</v>
      </c>
      <c r="F177" s="6">
        <v>521.0</v>
      </c>
      <c r="G177" s="11">
        <f t="shared" si="2"/>
        <v>11.2</v>
      </c>
      <c r="H177" s="6">
        <v>2877.0</v>
      </c>
      <c r="I177" s="11">
        <f t="shared" si="3"/>
        <v>0.181</v>
      </c>
    </row>
    <row r="178">
      <c r="A178" s="3" t="s">
        <v>42</v>
      </c>
      <c r="B178" s="3" t="s">
        <v>305</v>
      </c>
      <c r="C178" s="3" t="s">
        <v>269</v>
      </c>
      <c r="D178" s="3">
        <v>180.0</v>
      </c>
      <c r="E178" s="3">
        <f t="shared" si="1"/>
        <v>289.7</v>
      </c>
      <c r="F178" s="3">
        <v>552.0</v>
      </c>
      <c r="G178" s="8">
        <f t="shared" si="2"/>
        <v>10.6</v>
      </c>
      <c r="H178" s="3">
        <v>2921.0</v>
      </c>
      <c r="I178" s="8">
        <f t="shared" si="3"/>
        <v>0.189</v>
      </c>
    </row>
    <row r="179">
      <c r="A179" s="6" t="s">
        <v>38</v>
      </c>
      <c r="B179" s="6" t="s">
        <v>310</v>
      </c>
      <c r="C179" s="6" t="s">
        <v>269</v>
      </c>
      <c r="D179" s="6">
        <v>180.0</v>
      </c>
      <c r="E179" s="6">
        <f t="shared" si="1"/>
        <v>289.7</v>
      </c>
      <c r="F179" s="6">
        <v>510.0</v>
      </c>
      <c r="G179" s="11">
        <f t="shared" si="2"/>
        <v>11.4</v>
      </c>
      <c r="H179" s="6">
        <v>2744.0</v>
      </c>
      <c r="I179" s="11">
        <f t="shared" si="3"/>
        <v>0.186</v>
      </c>
    </row>
    <row r="180">
      <c r="A180" s="3" t="s">
        <v>38</v>
      </c>
      <c r="B180" s="3" t="s">
        <v>302</v>
      </c>
      <c r="C180" s="3" t="s">
        <v>269</v>
      </c>
      <c r="D180" s="3">
        <v>180.0</v>
      </c>
      <c r="E180" s="3">
        <f t="shared" si="1"/>
        <v>289.7</v>
      </c>
      <c r="F180" s="3">
        <v>510.0</v>
      </c>
      <c r="G180" s="8">
        <f t="shared" si="2"/>
        <v>11.4</v>
      </c>
      <c r="H180" s="3">
        <v>2744.0</v>
      </c>
      <c r="I180" s="8">
        <f t="shared" si="3"/>
        <v>0.186</v>
      </c>
    </row>
    <row r="181">
      <c r="A181" s="6" t="s">
        <v>127</v>
      </c>
      <c r="B181" s="6" t="s">
        <v>191</v>
      </c>
      <c r="C181" s="6" t="s">
        <v>192</v>
      </c>
      <c r="D181" s="6">
        <v>180.0</v>
      </c>
      <c r="E181" s="6">
        <f t="shared" si="1"/>
        <v>289.7</v>
      </c>
      <c r="F181" s="6">
        <v>427.0</v>
      </c>
      <c r="G181" s="11">
        <f t="shared" si="2"/>
        <v>13.7</v>
      </c>
      <c r="H181" s="6">
        <v>1984.0</v>
      </c>
      <c r="I181" s="11">
        <f t="shared" si="3"/>
        <v>0.215</v>
      </c>
    </row>
    <row r="182">
      <c r="A182" s="3" t="s">
        <v>197</v>
      </c>
      <c r="B182" s="3" t="s">
        <v>496</v>
      </c>
      <c r="C182" s="3" t="s">
        <v>131</v>
      </c>
      <c r="D182" s="3">
        <v>180.0</v>
      </c>
      <c r="E182" s="3">
        <f t="shared" si="1"/>
        <v>289.7</v>
      </c>
      <c r="F182" s="3">
        <v>585.0</v>
      </c>
      <c r="G182" s="8">
        <f t="shared" si="2"/>
        <v>10</v>
      </c>
      <c r="H182" s="3">
        <v>3450.0</v>
      </c>
      <c r="I182" s="8">
        <f t="shared" si="3"/>
        <v>0.17</v>
      </c>
    </row>
    <row r="183">
      <c r="A183" s="6" t="s">
        <v>276</v>
      </c>
      <c r="B183" s="6" t="s">
        <v>605</v>
      </c>
      <c r="C183" s="6" t="s">
        <v>278</v>
      </c>
      <c r="D183" s="6">
        <v>180.0</v>
      </c>
      <c r="E183" s="6">
        <f t="shared" si="1"/>
        <v>289.7</v>
      </c>
      <c r="F183" s="6">
        <v>345.0</v>
      </c>
      <c r="G183" s="11">
        <f t="shared" si="2"/>
        <v>16.9</v>
      </c>
      <c r="H183" s="6">
        <v>1201.0</v>
      </c>
      <c r="I183" s="11">
        <f t="shared" si="3"/>
        <v>0.287</v>
      </c>
    </row>
    <row r="184">
      <c r="A184" s="3" t="s">
        <v>157</v>
      </c>
      <c r="B184" s="3" t="s">
        <v>383</v>
      </c>
      <c r="C184" s="3" t="s">
        <v>384</v>
      </c>
      <c r="D184" s="3">
        <v>179.0</v>
      </c>
      <c r="E184" s="3">
        <f t="shared" si="1"/>
        <v>288.1</v>
      </c>
      <c r="F184" s="3">
        <v>464.0</v>
      </c>
      <c r="G184" s="8">
        <f t="shared" si="2"/>
        <v>12.4</v>
      </c>
      <c r="H184" s="3">
        <v>2248.0</v>
      </c>
      <c r="I184" s="8">
        <f t="shared" si="3"/>
        <v>0.206</v>
      </c>
    </row>
    <row r="185">
      <c r="A185" s="6" t="s">
        <v>36</v>
      </c>
      <c r="B185" s="6" t="s">
        <v>297</v>
      </c>
      <c r="C185" s="6" t="s">
        <v>269</v>
      </c>
      <c r="D185" s="6">
        <v>179.0</v>
      </c>
      <c r="E185" s="6">
        <f t="shared" si="1"/>
        <v>288.1</v>
      </c>
      <c r="F185" s="6">
        <v>493.0</v>
      </c>
      <c r="G185" s="11">
        <f t="shared" si="2"/>
        <v>11.6</v>
      </c>
      <c r="H185" s="6">
        <v>2755.0</v>
      </c>
      <c r="I185" s="11">
        <f t="shared" si="3"/>
        <v>0.179</v>
      </c>
    </row>
    <row r="186">
      <c r="A186" s="3" t="s">
        <v>36</v>
      </c>
      <c r="B186" s="3" t="s">
        <v>315</v>
      </c>
      <c r="C186" s="3" t="s">
        <v>269</v>
      </c>
      <c r="D186" s="3">
        <v>179.0</v>
      </c>
      <c r="E186" s="3">
        <f t="shared" si="1"/>
        <v>288.1</v>
      </c>
      <c r="F186" s="3">
        <v>493.0</v>
      </c>
      <c r="G186" s="8">
        <f t="shared" si="2"/>
        <v>11.6</v>
      </c>
      <c r="H186" s="3">
        <v>2755.0</v>
      </c>
      <c r="I186" s="8">
        <f t="shared" si="3"/>
        <v>0.179</v>
      </c>
    </row>
    <row r="187">
      <c r="A187" s="6" t="s">
        <v>90</v>
      </c>
      <c r="B187" s="6" t="s">
        <v>319</v>
      </c>
      <c r="C187" s="6" t="s">
        <v>269</v>
      </c>
      <c r="D187" s="6">
        <v>179.0</v>
      </c>
      <c r="E187" s="6">
        <f t="shared" si="1"/>
        <v>288.1</v>
      </c>
      <c r="F187" s="6">
        <v>497.0</v>
      </c>
      <c r="G187" s="11">
        <f t="shared" si="2"/>
        <v>11.5</v>
      </c>
      <c r="H187" s="6">
        <v>2777.0</v>
      </c>
      <c r="I187" s="11">
        <f t="shared" si="3"/>
        <v>0.179</v>
      </c>
    </row>
    <row r="188">
      <c r="A188" s="3" t="s">
        <v>291</v>
      </c>
      <c r="B188" s="3" t="s">
        <v>416</v>
      </c>
      <c r="C188" s="3" t="s">
        <v>278</v>
      </c>
      <c r="D188" s="3">
        <v>179.0</v>
      </c>
      <c r="E188" s="3">
        <f t="shared" si="1"/>
        <v>288.1</v>
      </c>
      <c r="F188" s="3">
        <v>563.0</v>
      </c>
      <c r="G188" s="8">
        <f t="shared" si="2"/>
        <v>10.2</v>
      </c>
      <c r="H188" s="3">
        <v>2202.0</v>
      </c>
      <c r="I188" s="8">
        <f t="shared" si="3"/>
        <v>0.256</v>
      </c>
    </row>
    <row r="189">
      <c r="A189" s="6" t="s">
        <v>64</v>
      </c>
      <c r="B189" s="6" t="s">
        <v>376</v>
      </c>
      <c r="C189" s="6" t="s">
        <v>263</v>
      </c>
      <c r="D189" s="6">
        <v>179.0</v>
      </c>
      <c r="E189" s="6">
        <f t="shared" si="1"/>
        <v>288.1</v>
      </c>
      <c r="F189" s="6">
        <v>409.0</v>
      </c>
      <c r="G189" s="11">
        <f t="shared" si="2"/>
        <v>14</v>
      </c>
      <c r="H189" s="6">
        <v>1245.0</v>
      </c>
      <c r="I189" s="11">
        <f t="shared" si="3"/>
        <v>0.329</v>
      </c>
    </row>
    <row r="190">
      <c r="A190" s="3" t="s">
        <v>118</v>
      </c>
      <c r="B190" s="3" t="s">
        <v>348</v>
      </c>
      <c r="C190" s="3" t="s">
        <v>269</v>
      </c>
      <c r="D190" s="3">
        <v>178.0</v>
      </c>
      <c r="E190" s="3">
        <f t="shared" si="1"/>
        <v>286.5</v>
      </c>
      <c r="F190" s="3">
        <v>505.0</v>
      </c>
      <c r="G190" s="8">
        <f t="shared" si="2"/>
        <v>11.2</v>
      </c>
      <c r="H190" s="3">
        <v>2888.0</v>
      </c>
      <c r="I190" s="8">
        <f t="shared" si="3"/>
        <v>0.175</v>
      </c>
    </row>
    <row r="191">
      <c r="A191" s="6" t="s">
        <v>118</v>
      </c>
      <c r="B191" s="6" t="s">
        <v>344</v>
      </c>
      <c r="C191" s="6" t="s">
        <v>269</v>
      </c>
      <c r="D191" s="6">
        <v>178.0</v>
      </c>
      <c r="E191" s="6">
        <f t="shared" si="1"/>
        <v>286.5</v>
      </c>
      <c r="F191" s="6">
        <v>505.0</v>
      </c>
      <c r="G191" s="11">
        <f t="shared" si="2"/>
        <v>11.2</v>
      </c>
      <c r="H191" s="6">
        <v>2888.0</v>
      </c>
      <c r="I191" s="11">
        <f t="shared" si="3"/>
        <v>0.175</v>
      </c>
    </row>
    <row r="192">
      <c r="A192" s="3" t="s">
        <v>118</v>
      </c>
      <c r="B192" s="3" t="s">
        <v>327</v>
      </c>
      <c r="C192" s="3" t="s">
        <v>269</v>
      </c>
      <c r="D192" s="3">
        <v>178.0</v>
      </c>
      <c r="E192" s="3">
        <f t="shared" si="1"/>
        <v>286.5</v>
      </c>
      <c r="F192" s="3">
        <v>505.0</v>
      </c>
      <c r="G192" s="8">
        <f t="shared" si="2"/>
        <v>11.2</v>
      </c>
      <c r="H192" s="3">
        <v>2888.0</v>
      </c>
      <c r="I192" s="8">
        <f t="shared" si="3"/>
        <v>0.175</v>
      </c>
    </row>
    <row r="193">
      <c r="A193" s="6" t="s">
        <v>214</v>
      </c>
      <c r="B193" s="6" t="s">
        <v>524</v>
      </c>
      <c r="C193" s="6" t="s">
        <v>475</v>
      </c>
      <c r="D193" s="6">
        <v>178.0</v>
      </c>
      <c r="E193" s="6">
        <f t="shared" si="1"/>
        <v>286.5</v>
      </c>
      <c r="F193" s="6">
        <v>448.0</v>
      </c>
      <c r="G193" s="11">
        <f t="shared" si="2"/>
        <v>12.6</v>
      </c>
      <c r="H193" s="6">
        <v>3384.0</v>
      </c>
      <c r="I193" s="11">
        <f t="shared" si="3"/>
        <v>0.132</v>
      </c>
    </row>
    <row r="194">
      <c r="A194" s="3" t="s">
        <v>450</v>
      </c>
      <c r="B194" s="3" t="s">
        <v>452</v>
      </c>
      <c r="C194" s="3" t="s">
        <v>401</v>
      </c>
      <c r="D194" s="3">
        <v>178.0</v>
      </c>
      <c r="E194" s="3">
        <f t="shared" si="1"/>
        <v>286.5</v>
      </c>
      <c r="F194" s="3">
        <v>575.0</v>
      </c>
      <c r="G194" s="8">
        <f t="shared" si="2"/>
        <v>9.8</v>
      </c>
      <c r="H194" s="3">
        <v>2866.0</v>
      </c>
      <c r="I194" s="8">
        <f t="shared" si="3"/>
        <v>0.201</v>
      </c>
    </row>
    <row r="195">
      <c r="A195" s="6" t="s">
        <v>91</v>
      </c>
      <c r="B195" s="6" t="s">
        <v>268</v>
      </c>
      <c r="C195" s="6" t="s">
        <v>269</v>
      </c>
      <c r="D195" s="6">
        <v>177.0</v>
      </c>
      <c r="E195" s="6">
        <f t="shared" si="1"/>
        <v>284.9</v>
      </c>
      <c r="F195" s="6">
        <v>501.0</v>
      </c>
      <c r="G195" s="11">
        <f t="shared" si="2"/>
        <v>11.1</v>
      </c>
      <c r="H195" s="6">
        <v>2788.0</v>
      </c>
      <c r="I195" s="11">
        <f t="shared" si="3"/>
        <v>0.18</v>
      </c>
    </row>
    <row r="196">
      <c r="A196" s="3" t="s">
        <v>64</v>
      </c>
      <c r="B196" s="3" t="s">
        <v>176</v>
      </c>
      <c r="C196" s="3" t="s">
        <v>178</v>
      </c>
      <c r="D196" s="3">
        <v>177.0</v>
      </c>
      <c r="E196" s="3">
        <f t="shared" si="1"/>
        <v>284.9</v>
      </c>
      <c r="F196" s="3">
        <v>485.0</v>
      </c>
      <c r="G196" s="8">
        <f t="shared" si="2"/>
        <v>11.4</v>
      </c>
      <c r="H196" s="3">
        <v>1289.0</v>
      </c>
      <c r="I196" s="8">
        <f t="shared" si="3"/>
        <v>0.376</v>
      </c>
    </row>
    <row r="197">
      <c r="A197" s="6" t="s">
        <v>91</v>
      </c>
      <c r="B197" s="6" t="s">
        <v>554</v>
      </c>
      <c r="C197" s="6" t="s">
        <v>532</v>
      </c>
      <c r="D197" s="6">
        <v>177.0</v>
      </c>
      <c r="E197" s="6">
        <f t="shared" si="1"/>
        <v>284.9</v>
      </c>
      <c r="F197" s="6">
        <v>402.0</v>
      </c>
      <c r="G197" s="11">
        <f t="shared" si="2"/>
        <v>13.8</v>
      </c>
      <c r="H197" s="6">
        <v>2733.0</v>
      </c>
      <c r="I197" s="11">
        <f t="shared" si="3"/>
        <v>0.147</v>
      </c>
    </row>
    <row r="198">
      <c r="A198" s="3" t="s">
        <v>90</v>
      </c>
      <c r="B198" s="3" t="s">
        <v>388</v>
      </c>
      <c r="C198" s="3" t="s">
        <v>389</v>
      </c>
      <c r="D198" s="3">
        <v>176.0</v>
      </c>
      <c r="E198" s="3">
        <f t="shared" si="1"/>
        <v>283.2</v>
      </c>
      <c r="F198" s="3">
        <v>403.0</v>
      </c>
      <c r="G198" s="8">
        <f t="shared" si="2"/>
        <v>13.5</v>
      </c>
      <c r="H198" s="3">
        <v>2200.0</v>
      </c>
      <c r="I198" s="8">
        <f t="shared" si="3"/>
        <v>0.183</v>
      </c>
    </row>
    <row r="199">
      <c r="A199" s="6" t="s">
        <v>38</v>
      </c>
      <c r="B199" s="6" t="s">
        <v>462</v>
      </c>
      <c r="C199" s="6" t="s">
        <v>384</v>
      </c>
      <c r="D199" s="6">
        <v>175.0</v>
      </c>
      <c r="E199" s="6">
        <f t="shared" si="1"/>
        <v>281.6</v>
      </c>
      <c r="F199" s="6">
        <v>351.0</v>
      </c>
      <c r="G199" s="11">
        <f t="shared" si="2"/>
        <v>15.3</v>
      </c>
      <c r="H199" s="6">
        <v>2083.0</v>
      </c>
      <c r="I199" s="11">
        <f t="shared" si="3"/>
        <v>0.169</v>
      </c>
    </row>
    <row r="200">
      <c r="A200" s="3" t="s">
        <v>70</v>
      </c>
      <c r="B200" s="3" t="s">
        <v>637</v>
      </c>
      <c r="C200" s="3" t="s">
        <v>412</v>
      </c>
      <c r="D200" s="3">
        <v>175.0</v>
      </c>
      <c r="E200" s="3">
        <f t="shared" si="1"/>
        <v>281.6</v>
      </c>
      <c r="F200" s="3">
        <v>243.0</v>
      </c>
      <c r="G200" s="8">
        <f t="shared" si="2"/>
        <v>22.1</v>
      </c>
      <c r="H200" s="3">
        <v>1918.0</v>
      </c>
      <c r="I200" s="8">
        <f t="shared" si="3"/>
        <v>0.127</v>
      </c>
    </row>
    <row r="201">
      <c r="A201" s="6" t="s">
        <v>197</v>
      </c>
      <c r="B201" s="6" t="s">
        <v>499</v>
      </c>
      <c r="C201" s="6" t="s">
        <v>475</v>
      </c>
      <c r="D201" s="6">
        <v>174.0</v>
      </c>
      <c r="E201" s="6">
        <f t="shared" si="1"/>
        <v>280</v>
      </c>
      <c r="F201" s="6">
        <v>423.0</v>
      </c>
      <c r="G201" s="11">
        <f t="shared" si="2"/>
        <v>12.5</v>
      </c>
      <c r="H201" s="6">
        <v>3042.0</v>
      </c>
      <c r="I201" s="11">
        <f t="shared" si="3"/>
        <v>0.139</v>
      </c>
    </row>
    <row r="202">
      <c r="A202" s="3" t="s">
        <v>276</v>
      </c>
      <c r="B202" s="3" t="s">
        <v>277</v>
      </c>
      <c r="C202" s="3" t="s">
        <v>278</v>
      </c>
      <c r="D202" s="3">
        <v>174.0</v>
      </c>
      <c r="E202" s="3">
        <f t="shared" si="1"/>
        <v>280</v>
      </c>
      <c r="F202" s="3">
        <v>311.0</v>
      </c>
      <c r="G202" s="8">
        <f t="shared" si="2"/>
        <v>16.9</v>
      </c>
      <c r="H202" s="3">
        <v>1201.0</v>
      </c>
      <c r="I202" s="8">
        <f t="shared" si="3"/>
        <v>0.259</v>
      </c>
    </row>
    <row r="203">
      <c r="A203" s="6" t="s">
        <v>64</v>
      </c>
      <c r="B203" s="6" t="s">
        <v>262</v>
      </c>
      <c r="C203" s="6" t="s">
        <v>263</v>
      </c>
      <c r="D203" s="6">
        <v>174.0</v>
      </c>
      <c r="E203" s="6">
        <f t="shared" si="1"/>
        <v>280</v>
      </c>
      <c r="F203" s="6">
        <v>473.0</v>
      </c>
      <c r="G203" s="11">
        <f t="shared" si="2"/>
        <v>11.1</v>
      </c>
      <c r="H203" s="6">
        <v>1267.0</v>
      </c>
      <c r="I203" s="11">
        <f t="shared" si="3"/>
        <v>0.373</v>
      </c>
    </row>
    <row r="204">
      <c r="A204" s="3" t="s">
        <v>38</v>
      </c>
      <c r="B204" s="3" t="s">
        <v>255</v>
      </c>
      <c r="C204" s="3" t="s">
        <v>256</v>
      </c>
      <c r="D204" s="3">
        <v>174.0</v>
      </c>
      <c r="E204" s="3">
        <f t="shared" si="1"/>
        <v>280</v>
      </c>
      <c r="F204" s="3">
        <v>367.0</v>
      </c>
      <c r="G204" s="8">
        <f t="shared" si="2"/>
        <v>14.4</v>
      </c>
      <c r="H204" s="3">
        <v>1245.0</v>
      </c>
      <c r="I204" s="8">
        <f t="shared" si="3"/>
        <v>0.295</v>
      </c>
    </row>
    <row r="205">
      <c r="A205" s="6" t="s">
        <v>36</v>
      </c>
      <c r="B205" s="6" t="s">
        <v>511</v>
      </c>
      <c r="C205" s="6" t="s">
        <v>432</v>
      </c>
      <c r="D205" s="6">
        <v>173.0</v>
      </c>
      <c r="E205" s="6">
        <f t="shared" si="1"/>
        <v>278.4</v>
      </c>
      <c r="F205" s="6">
        <v>454.0</v>
      </c>
      <c r="G205" s="11">
        <f t="shared" si="2"/>
        <v>11.4</v>
      </c>
      <c r="H205" s="6">
        <v>2755.0</v>
      </c>
      <c r="I205" s="11">
        <f t="shared" si="3"/>
        <v>0.165</v>
      </c>
    </row>
    <row r="206">
      <c r="A206" s="3" t="s">
        <v>157</v>
      </c>
      <c r="B206" s="3" t="s">
        <v>569</v>
      </c>
      <c r="C206" s="3" t="s">
        <v>412</v>
      </c>
      <c r="D206" s="3">
        <v>173.0</v>
      </c>
      <c r="E206" s="3">
        <f t="shared" si="1"/>
        <v>278.4</v>
      </c>
      <c r="F206" s="3">
        <v>337.0</v>
      </c>
      <c r="G206" s="8">
        <f t="shared" si="2"/>
        <v>15.4</v>
      </c>
      <c r="H206" s="3">
        <v>3240.0</v>
      </c>
      <c r="I206" s="8">
        <f t="shared" si="3"/>
        <v>0.104</v>
      </c>
    </row>
    <row r="207">
      <c r="A207" s="6" t="s">
        <v>214</v>
      </c>
      <c r="B207" s="6" t="s">
        <v>567</v>
      </c>
      <c r="C207" s="6" t="s">
        <v>412</v>
      </c>
      <c r="D207" s="6">
        <v>173.0</v>
      </c>
      <c r="E207" s="6">
        <f t="shared" si="1"/>
        <v>278.4</v>
      </c>
      <c r="F207" s="6">
        <v>437.0</v>
      </c>
      <c r="G207" s="11">
        <f t="shared" si="2"/>
        <v>11.8</v>
      </c>
      <c r="H207" s="6">
        <v>3802.0</v>
      </c>
      <c r="I207" s="11">
        <f t="shared" si="3"/>
        <v>0.115</v>
      </c>
    </row>
    <row r="208">
      <c r="A208" s="3" t="s">
        <v>153</v>
      </c>
      <c r="B208" s="3" t="s">
        <v>564</v>
      </c>
      <c r="C208" s="3" t="s">
        <v>412</v>
      </c>
      <c r="D208" s="3">
        <v>173.0</v>
      </c>
      <c r="E208" s="3">
        <f t="shared" si="1"/>
        <v>278.4</v>
      </c>
      <c r="F208" s="3">
        <v>386.0</v>
      </c>
      <c r="G208" s="8">
        <f t="shared" si="2"/>
        <v>13.4</v>
      </c>
      <c r="H208" s="3">
        <v>3428.0</v>
      </c>
      <c r="I208" s="8">
        <f t="shared" si="3"/>
        <v>0.113</v>
      </c>
    </row>
    <row r="209">
      <c r="A209" s="6" t="s">
        <v>48</v>
      </c>
      <c r="B209" s="6" t="s">
        <v>534</v>
      </c>
      <c r="C209" s="6" t="s">
        <v>532</v>
      </c>
      <c r="D209" s="6">
        <v>173.0</v>
      </c>
      <c r="E209" s="6">
        <f t="shared" si="1"/>
        <v>278.4</v>
      </c>
      <c r="F209" s="6">
        <v>413.0</v>
      </c>
      <c r="G209" s="11">
        <f t="shared" si="2"/>
        <v>12.5</v>
      </c>
      <c r="H209" s="6">
        <v>2799.0</v>
      </c>
      <c r="I209" s="11">
        <f t="shared" si="3"/>
        <v>0.148</v>
      </c>
    </row>
    <row r="210">
      <c r="A210" s="3" t="s">
        <v>42</v>
      </c>
      <c r="B210" s="3" t="s">
        <v>571</v>
      </c>
      <c r="C210" s="3" t="s">
        <v>572</v>
      </c>
      <c r="D210" s="3">
        <v>173.0</v>
      </c>
      <c r="E210" s="3">
        <f t="shared" si="1"/>
        <v>278.4</v>
      </c>
      <c r="F210" s="3">
        <v>423.0</v>
      </c>
      <c r="G210" s="8">
        <f t="shared" si="2"/>
        <v>12.2</v>
      </c>
      <c r="H210" s="3">
        <v>3428.0</v>
      </c>
      <c r="I210" s="8">
        <f t="shared" si="3"/>
        <v>0.123</v>
      </c>
    </row>
    <row r="211">
      <c r="A211" s="6" t="s">
        <v>122</v>
      </c>
      <c r="B211" s="6" t="s">
        <v>312</v>
      </c>
      <c r="C211" s="6" t="s">
        <v>269</v>
      </c>
      <c r="D211" s="6">
        <v>172.0</v>
      </c>
      <c r="E211" s="6">
        <f t="shared" si="1"/>
        <v>276.8</v>
      </c>
      <c r="F211" s="6">
        <v>496.0</v>
      </c>
      <c r="G211" s="11">
        <f t="shared" si="2"/>
        <v>10.3</v>
      </c>
      <c r="H211" s="6">
        <v>2788.0</v>
      </c>
      <c r="I211" s="11">
        <f t="shared" si="3"/>
        <v>0.178</v>
      </c>
    </row>
    <row r="212">
      <c r="A212" s="3" t="s">
        <v>38</v>
      </c>
      <c r="B212" s="3" t="s">
        <v>482</v>
      </c>
      <c r="C212" s="3" t="s">
        <v>475</v>
      </c>
      <c r="D212" s="3">
        <v>171.0</v>
      </c>
      <c r="E212" s="3">
        <f t="shared" si="1"/>
        <v>275.2</v>
      </c>
      <c r="F212" s="3">
        <v>385.0</v>
      </c>
      <c r="G212" s="8">
        <f t="shared" si="2"/>
        <v>13</v>
      </c>
      <c r="H212" s="3">
        <v>2932.0</v>
      </c>
      <c r="I212" s="8">
        <f t="shared" si="3"/>
        <v>0.131</v>
      </c>
    </row>
    <row r="213">
      <c r="A213" s="6" t="s">
        <v>214</v>
      </c>
      <c r="B213" s="6" t="s">
        <v>547</v>
      </c>
      <c r="C213" s="6" t="s">
        <v>532</v>
      </c>
      <c r="D213" s="6">
        <v>171.0</v>
      </c>
      <c r="E213" s="6">
        <f t="shared" si="1"/>
        <v>275.2</v>
      </c>
      <c r="F213" s="6">
        <v>397.0</v>
      </c>
      <c r="G213" s="11">
        <f t="shared" si="2"/>
        <v>12.6</v>
      </c>
      <c r="H213" s="6">
        <v>2843.0</v>
      </c>
      <c r="I213" s="11">
        <f t="shared" si="3"/>
        <v>0.14</v>
      </c>
    </row>
    <row r="214">
      <c r="A214" s="3" t="s">
        <v>46</v>
      </c>
      <c r="B214" s="3" t="s">
        <v>477</v>
      </c>
      <c r="C214" s="3" t="s">
        <v>432</v>
      </c>
      <c r="D214" s="3">
        <v>170.0</v>
      </c>
      <c r="E214" s="3">
        <f t="shared" si="1"/>
        <v>273.6</v>
      </c>
      <c r="F214" s="3">
        <v>490.0</v>
      </c>
      <c r="G214" s="8">
        <f t="shared" si="2"/>
        <v>10</v>
      </c>
      <c r="H214" s="3">
        <v>2777.0</v>
      </c>
      <c r="I214" s="8">
        <f t="shared" si="3"/>
        <v>0.176</v>
      </c>
    </row>
    <row r="215">
      <c r="A215" s="6" t="s">
        <v>353</v>
      </c>
      <c r="B215" s="6" t="s">
        <v>354</v>
      </c>
      <c r="C215" s="6" t="s">
        <v>196</v>
      </c>
      <c r="D215" s="6">
        <v>170.0</v>
      </c>
      <c r="E215" s="6">
        <f t="shared" si="1"/>
        <v>273.6</v>
      </c>
      <c r="F215" s="6">
        <v>307.0</v>
      </c>
      <c r="G215" s="11">
        <f t="shared" si="2"/>
        <v>16</v>
      </c>
      <c r="H215" s="6">
        <v>1278.0</v>
      </c>
      <c r="I215" s="11">
        <f t="shared" si="3"/>
        <v>0.24</v>
      </c>
    </row>
    <row r="216">
      <c r="A216" s="3" t="s">
        <v>214</v>
      </c>
      <c r="B216" s="3" t="s">
        <v>507</v>
      </c>
      <c r="C216" s="3" t="s">
        <v>475</v>
      </c>
      <c r="D216" s="3">
        <v>169.0</v>
      </c>
      <c r="E216" s="3">
        <f t="shared" si="1"/>
        <v>272</v>
      </c>
      <c r="F216" s="3">
        <v>437.0</v>
      </c>
      <c r="G216" s="8">
        <f t="shared" si="2"/>
        <v>11</v>
      </c>
      <c r="H216" s="3">
        <v>3406.0</v>
      </c>
      <c r="I216" s="8">
        <f t="shared" si="3"/>
        <v>0.128</v>
      </c>
    </row>
    <row r="217">
      <c r="A217" s="6" t="s">
        <v>70</v>
      </c>
      <c r="B217" s="6" t="s">
        <v>646</v>
      </c>
      <c r="C217" s="6" t="s">
        <v>580</v>
      </c>
      <c r="D217" s="6">
        <v>169.0</v>
      </c>
      <c r="E217" s="6">
        <f t="shared" si="1"/>
        <v>272</v>
      </c>
      <c r="F217" s="6">
        <v>288.0</v>
      </c>
      <c r="G217" s="11">
        <f t="shared" si="2"/>
        <v>16.8</v>
      </c>
      <c r="H217" s="6">
        <v>2718.0</v>
      </c>
      <c r="I217" s="11">
        <f t="shared" si="3"/>
        <v>0.106</v>
      </c>
    </row>
    <row r="218">
      <c r="A218" s="3" t="s">
        <v>76</v>
      </c>
      <c r="B218" s="3" t="s">
        <v>647</v>
      </c>
      <c r="C218" s="3" t="s">
        <v>580</v>
      </c>
      <c r="D218" s="3">
        <v>168.0</v>
      </c>
      <c r="E218" s="3">
        <f t="shared" si="1"/>
        <v>270.4</v>
      </c>
      <c r="F218" s="3">
        <v>260.0</v>
      </c>
      <c r="G218" s="8">
        <f t="shared" si="2"/>
        <v>18.2</v>
      </c>
      <c r="H218" s="3">
        <v>2755.0</v>
      </c>
      <c r="I218" s="8">
        <f t="shared" si="3"/>
        <v>0.094</v>
      </c>
    </row>
    <row r="219">
      <c r="A219" s="6" t="s">
        <v>42</v>
      </c>
      <c r="B219" s="6" t="s">
        <v>536</v>
      </c>
      <c r="C219" s="6" t="s">
        <v>432</v>
      </c>
      <c r="D219" s="6">
        <v>167.0</v>
      </c>
      <c r="E219" s="6">
        <f t="shared" si="1"/>
        <v>268.8</v>
      </c>
      <c r="F219" s="6">
        <v>333.0</v>
      </c>
      <c r="G219" s="11">
        <f t="shared" si="2"/>
        <v>14</v>
      </c>
      <c r="H219" s="6">
        <v>2160.0</v>
      </c>
      <c r="I219" s="11">
        <f t="shared" si="3"/>
        <v>0.154</v>
      </c>
    </row>
    <row r="220">
      <c r="A220" s="3" t="s">
        <v>214</v>
      </c>
      <c r="B220" s="3" t="s">
        <v>648</v>
      </c>
      <c r="C220" s="3" t="s">
        <v>359</v>
      </c>
      <c r="D220" s="3">
        <v>166.0</v>
      </c>
      <c r="E220" s="3">
        <f t="shared" si="1"/>
        <v>267.2</v>
      </c>
      <c r="F220" s="3">
        <v>400.0</v>
      </c>
      <c r="G220" s="8">
        <f t="shared" si="2"/>
        <v>11.4</v>
      </c>
      <c r="H220" s="3">
        <v>3236.0</v>
      </c>
      <c r="I220" s="8">
        <f t="shared" si="3"/>
        <v>0.124</v>
      </c>
    </row>
    <row r="221">
      <c r="A221" s="6" t="s">
        <v>70</v>
      </c>
      <c r="B221" s="6" t="s">
        <v>539</v>
      </c>
      <c r="C221" s="6" t="s">
        <v>475</v>
      </c>
      <c r="D221" s="6">
        <v>165.0</v>
      </c>
      <c r="E221" s="6">
        <f t="shared" si="1"/>
        <v>265.5</v>
      </c>
      <c r="F221" s="6">
        <v>371.0</v>
      </c>
      <c r="G221" s="11">
        <f t="shared" si="2"/>
        <v>12.1</v>
      </c>
      <c r="H221" s="6">
        <v>2590.0</v>
      </c>
      <c r="I221" s="11">
        <f t="shared" si="3"/>
        <v>0.143</v>
      </c>
    </row>
    <row r="222">
      <c r="A222" s="3" t="s">
        <v>83</v>
      </c>
      <c r="B222" s="3" t="s">
        <v>579</v>
      </c>
      <c r="C222" s="3" t="s">
        <v>580</v>
      </c>
      <c r="D222" s="3">
        <v>165.0</v>
      </c>
      <c r="E222" s="3">
        <f t="shared" si="1"/>
        <v>265.5</v>
      </c>
      <c r="F222" s="3">
        <v>311.0</v>
      </c>
      <c r="G222" s="8">
        <f t="shared" si="2"/>
        <v>14.4</v>
      </c>
      <c r="H222" s="3">
        <v>3046.0</v>
      </c>
      <c r="I222" s="8">
        <f t="shared" si="3"/>
        <v>0.102</v>
      </c>
    </row>
    <row r="223">
      <c r="A223" s="6" t="s">
        <v>649</v>
      </c>
      <c r="B223" s="6" t="s">
        <v>650</v>
      </c>
      <c r="C223" s="6" t="s">
        <v>580</v>
      </c>
      <c r="D223" s="6">
        <v>165.0</v>
      </c>
      <c r="E223" s="6">
        <f t="shared" si="1"/>
        <v>265.5</v>
      </c>
      <c r="F223" s="6">
        <v>232.0</v>
      </c>
      <c r="G223" s="11">
        <f t="shared" si="2"/>
        <v>19.4</v>
      </c>
      <c r="H223" s="6">
        <v>1675.0</v>
      </c>
      <c r="I223" s="11">
        <f t="shared" si="3"/>
        <v>0.139</v>
      </c>
    </row>
    <row r="224">
      <c r="A224" s="3" t="s">
        <v>90</v>
      </c>
      <c r="B224" s="3" t="s">
        <v>484</v>
      </c>
      <c r="C224" s="3" t="s">
        <v>485</v>
      </c>
      <c r="D224" s="3">
        <v>165.0</v>
      </c>
      <c r="E224" s="3">
        <f t="shared" si="1"/>
        <v>265.5</v>
      </c>
      <c r="F224" s="3">
        <v>330.0</v>
      </c>
      <c r="G224" s="8">
        <f t="shared" si="2"/>
        <v>13.6</v>
      </c>
      <c r="H224" s="3">
        <v>2777.0</v>
      </c>
      <c r="I224" s="8">
        <f t="shared" si="3"/>
        <v>0.119</v>
      </c>
    </row>
    <row r="225">
      <c r="A225" s="6" t="s">
        <v>91</v>
      </c>
      <c r="B225" s="6" t="s">
        <v>596</v>
      </c>
      <c r="C225" s="6" t="s">
        <v>584</v>
      </c>
      <c r="D225" s="6">
        <v>165.0</v>
      </c>
      <c r="E225" s="6">
        <f t="shared" si="1"/>
        <v>265.5</v>
      </c>
      <c r="F225" s="6">
        <v>260.0</v>
      </c>
      <c r="G225" s="11">
        <f t="shared" si="2"/>
        <v>17.3</v>
      </c>
      <c r="H225" s="6">
        <v>2109.0</v>
      </c>
      <c r="I225" s="11">
        <f t="shared" si="3"/>
        <v>0.123</v>
      </c>
    </row>
    <row r="226">
      <c r="A226" s="3" t="s">
        <v>9</v>
      </c>
      <c r="B226" s="3" t="s">
        <v>397</v>
      </c>
      <c r="C226" s="3" t="s">
        <v>397</v>
      </c>
      <c r="D226" s="3">
        <v>164.0</v>
      </c>
      <c r="E226" s="3">
        <f t="shared" si="1"/>
        <v>263.9</v>
      </c>
      <c r="F226" s="3">
        <v>204.0</v>
      </c>
      <c r="G226" s="8">
        <f t="shared" si="2"/>
        <v>21.6</v>
      </c>
      <c r="H226" s="3">
        <v>1102.0</v>
      </c>
      <c r="I226" s="8">
        <f t="shared" si="3"/>
        <v>0.185</v>
      </c>
    </row>
    <row r="227">
      <c r="A227" s="6" t="s">
        <v>122</v>
      </c>
      <c r="B227" s="6" t="s">
        <v>474</v>
      </c>
      <c r="C227" s="6" t="s">
        <v>475</v>
      </c>
      <c r="D227" s="6">
        <v>164.0</v>
      </c>
      <c r="E227" s="6">
        <f t="shared" si="1"/>
        <v>263.9</v>
      </c>
      <c r="F227" s="6">
        <v>349.0</v>
      </c>
      <c r="G227" s="11">
        <f t="shared" si="2"/>
        <v>12.6</v>
      </c>
      <c r="H227" s="6">
        <v>2535.0</v>
      </c>
      <c r="I227" s="11">
        <f t="shared" si="3"/>
        <v>0.138</v>
      </c>
    </row>
    <row r="228">
      <c r="A228" s="3" t="s">
        <v>153</v>
      </c>
      <c r="B228" s="3" t="s">
        <v>509</v>
      </c>
      <c r="C228" s="3" t="s">
        <v>485</v>
      </c>
      <c r="D228" s="3">
        <v>164.0</v>
      </c>
      <c r="E228" s="3">
        <f t="shared" si="1"/>
        <v>263.9</v>
      </c>
      <c r="F228" s="3">
        <v>330.0</v>
      </c>
      <c r="G228" s="8">
        <f t="shared" si="2"/>
        <v>13.4</v>
      </c>
      <c r="H228" s="3">
        <v>2777.0</v>
      </c>
      <c r="I228" s="8">
        <f t="shared" si="3"/>
        <v>0.119</v>
      </c>
    </row>
    <row r="229">
      <c r="A229" s="6" t="s">
        <v>197</v>
      </c>
      <c r="B229" s="6" t="s">
        <v>603</v>
      </c>
      <c r="C229" s="6" t="s">
        <v>584</v>
      </c>
      <c r="D229" s="6">
        <v>164.0</v>
      </c>
      <c r="E229" s="6">
        <f t="shared" si="1"/>
        <v>263.9</v>
      </c>
      <c r="F229" s="6">
        <v>252.0</v>
      </c>
      <c r="G229" s="11">
        <f t="shared" si="2"/>
        <v>17.5</v>
      </c>
      <c r="H229" s="6">
        <v>1887.0</v>
      </c>
      <c r="I229" s="11">
        <f t="shared" si="3"/>
        <v>0.134</v>
      </c>
    </row>
    <row r="230">
      <c r="A230" s="3" t="s">
        <v>91</v>
      </c>
      <c r="B230" s="3" t="s">
        <v>583</v>
      </c>
      <c r="C230" s="3" t="s">
        <v>584</v>
      </c>
      <c r="D230" s="3">
        <v>164.0</v>
      </c>
      <c r="E230" s="3">
        <f t="shared" si="1"/>
        <v>263.9</v>
      </c>
      <c r="F230" s="3">
        <v>290.0</v>
      </c>
      <c r="G230" s="8">
        <f t="shared" si="2"/>
        <v>15.2</v>
      </c>
      <c r="H230" s="3">
        <v>1955.0</v>
      </c>
      <c r="I230" s="8">
        <f t="shared" si="3"/>
        <v>0.148</v>
      </c>
    </row>
    <row r="231">
      <c r="A231" s="6" t="s">
        <v>214</v>
      </c>
      <c r="B231" s="6" t="s">
        <v>515</v>
      </c>
      <c r="C231" s="6" t="s">
        <v>516</v>
      </c>
      <c r="D231" s="6">
        <v>163.0</v>
      </c>
      <c r="E231" s="6">
        <f t="shared" si="1"/>
        <v>262.3</v>
      </c>
      <c r="F231" s="6">
        <v>430.0</v>
      </c>
      <c r="G231" s="11">
        <f t="shared" si="2"/>
        <v>10.1</v>
      </c>
      <c r="H231" s="6">
        <v>2314.0</v>
      </c>
      <c r="I231" s="11">
        <f t="shared" si="3"/>
        <v>0.186</v>
      </c>
    </row>
    <row r="232">
      <c r="A232" s="3" t="s">
        <v>90</v>
      </c>
      <c r="B232" s="3" t="s">
        <v>541</v>
      </c>
      <c r="C232" s="3" t="s">
        <v>516</v>
      </c>
      <c r="D232" s="3">
        <v>162.0</v>
      </c>
      <c r="E232" s="3">
        <f t="shared" si="1"/>
        <v>260.7</v>
      </c>
      <c r="F232" s="3">
        <v>361.0</v>
      </c>
      <c r="G232" s="8">
        <f t="shared" si="2"/>
        <v>11.8</v>
      </c>
      <c r="H232" s="3">
        <v>1995.0</v>
      </c>
      <c r="I232" s="8">
        <f t="shared" si="3"/>
        <v>0.181</v>
      </c>
    </row>
    <row r="233">
      <c r="A233" s="6" t="s">
        <v>157</v>
      </c>
      <c r="B233" s="6" t="s">
        <v>491</v>
      </c>
      <c r="C233" s="6" t="s">
        <v>485</v>
      </c>
      <c r="D233" s="6">
        <v>162.0</v>
      </c>
      <c r="E233" s="6">
        <f t="shared" si="1"/>
        <v>260.7</v>
      </c>
      <c r="F233" s="6">
        <v>316.0</v>
      </c>
      <c r="G233" s="11">
        <f t="shared" si="2"/>
        <v>13.5</v>
      </c>
      <c r="H233" s="6">
        <v>2535.0</v>
      </c>
      <c r="I233" s="11">
        <f t="shared" si="3"/>
        <v>0.125</v>
      </c>
    </row>
    <row r="234">
      <c r="A234" s="3" t="s">
        <v>83</v>
      </c>
      <c r="B234" s="3" t="s">
        <v>413</v>
      </c>
      <c r="C234" s="3" t="s">
        <v>278</v>
      </c>
      <c r="D234" s="3">
        <v>162.0</v>
      </c>
      <c r="E234" s="3">
        <f t="shared" si="1"/>
        <v>260.7</v>
      </c>
      <c r="F234" s="3">
        <v>223.0</v>
      </c>
      <c r="G234" s="8">
        <f t="shared" si="2"/>
        <v>19.1</v>
      </c>
      <c r="H234" s="3">
        <v>892.0</v>
      </c>
      <c r="I234" s="8">
        <f t="shared" si="3"/>
        <v>0.25</v>
      </c>
    </row>
    <row r="235">
      <c r="A235" s="6" t="s">
        <v>157</v>
      </c>
      <c r="B235" s="6" t="s">
        <v>562</v>
      </c>
      <c r="C235" s="6" t="s">
        <v>432</v>
      </c>
      <c r="D235" s="6">
        <v>161.0</v>
      </c>
      <c r="E235" s="6">
        <f t="shared" si="1"/>
        <v>259.1</v>
      </c>
      <c r="F235" s="6">
        <v>323.0</v>
      </c>
      <c r="G235" s="11">
        <f t="shared" si="2"/>
        <v>12.9</v>
      </c>
      <c r="H235" s="6">
        <v>2116.0</v>
      </c>
      <c r="I235" s="11">
        <f t="shared" si="3"/>
        <v>0.153</v>
      </c>
    </row>
    <row r="236">
      <c r="A236" s="3" t="s">
        <v>276</v>
      </c>
      <c r="B236" s="3" t="s">
        <v>470</v>
      </c>
      <c r="C236" s="3" t="s">
        <v>359</v>
      </c>
      <c r="D236" s="3">
        <v>161.0</v>
      </c>
      <c r="E236" s="3">
        <f t="shared" si="1"/>
        <v>259.1</v>
      </c>
      <c r="F236" s="3">
        <v>306.0</v>
      </c>
      <c r="G236" s="8">
        <f t="shared" si="2"/>
        <v>13.6</v>
      </c>
      <c r="H236" s="3">
        <v>1327.0</v>
      </c>
      <c r="I236" s="8">
        <f t="shared" si="3"/>
        <v>0.231</v>
      </c>
    </row>
    <row r="237">
      <c r="A237" s="6" t="s">
        <v>208</v>
      </c>
      <c r="B237" s="6" t="s">
        <v>552</v>
      </c>
      <c r="C237" s="6" t="s">
        <v>412</v>
      </c>
      <c r="D237" s="6">
        <v>161.0</v>
      </c>
      <c r="E237" s="6">
        <f t="shared" si="1"/>
        <v>259.1</v>
      </c>
      <c r="F237" s="6">
        <v>412.0</v>
      </c>
      <c r="G237" s="11">
        <f t="shared" si="2"/>
        <v>10.1</v>
      </c>
      <c r="H237" s="6">
        <v>3439.0</v>
      </c>
      <c r="I237" s="11">
        <f t="shared" si="3"/>
        <v>0.12</v>
      </c>
    </row>
    <row r="238">
      <c r="A238" s="3" t="s">
        <v>501</v>
      </c>
      <c r="B238" s="3" t="s">
        <v>502</v>
      </c>
      <c r="C238" s="3" t="s">
        <v>485</v>
      </c>
      <c r="D238" s="3">
        <v>161.0</v>
      </c>
      <c r="E238" s="3">
        <f t="shared" si="1"/>
        <v>259.1</v>
      </c>
      <c r="F238" s="3">
        <v>328.0</v>
      </c>
      <c r="G238" s="8">
        <f t="shared" si="2"/>
        <v>12.7</v>
      </c>
      <c r="H238" s="3">
        <v>2832.0</v>
      </c>
      <c r="I238" s="8">
        <f t="shared" si="3"/>
        <v>0.116</v>
      </c>
    </row>
    <row r="239">
      <c r="A239" s="6" t="s">
        <v>46</v>
      </c>
      <c r="B239" s="6" t="s">
        <v>574</v>
      </c>
      <c r="C239" s="6" t="s">
        <v>575</v>
      </c>
      <c r="D239" s="6">
        <v>161.0</v>
      </c>
      <c r="E239" s="6">
        <f t="shared" si="1"/>
        <v>259.1</v>
      </c>
      <c r="F239" s="6">
        <v>306.0</v>
      </c>
      <c r="G239" s="11">
        <f t="shared" si="2"/>
        <v>13.6</v>
      </c>
      <c r="H239" s="6">
        <v>2336.0</v>
      </c>
      <c r="I239" s="11">
        <f t="shared" si="3"/>
        <v>0.131</v>
      </c>
    </row>
    <row r="240">
      <c r="A240" s="3" t="s">
        <v>38</v>
      </c>
      <c r="B240" s="3" t="s">
        <v>556</v>
      </c>
      <c r="C240" s="3" t="s">
        <v>532</v>
      </c>
      <c r="D240" s="3">
        <v>158.0</v>
      </c>
      <c r="E240" s="3">
        <f t="shared" si="1"/>
        <v>254.3</v>
      </c>
      <c r="F240" s="3">
        <v>310.0</v>
      </c>
      <c r="G240" s="8">
        <f t="shared" si="2"/>
        <v>12.7</v>
      </c>
      <c r="H240" s="3">
        <v>1984.0</v>
      </c>
      <c r="I240" s="8">
        <f t="shared" si="3"/>
        <v>0.156</v>
      </c>
    </row>
    <row r="241">
      <c r="A241" s="6" t="s">
        <v>90</v>
      </c>
      <c r="B241" s="6" t="s">
        <v>593</v>
      </c>
      <c r="C241" s="6" t="s">
        <v>580</v>
      </c>
      <c r="D241" s="6">
        <v>156.0</v>
      </c>
      <c r="E241" s="6">
        <f t="shared" si="1"/>
        <v>251.1</v>
      </c>
      <c r="F241" s="6">
        <v>280.0</v>
      </c>
      <c r="G241" s="11">
        <f t="shared" si="2"/>
        <v>13.6</v>
      </c>
      <c r="H241" s="6">
        <v>2859.0</v>
      </c>
      <c r="I241" s="11">
        <f t="shared" si="3"/>
        <v>0.098</v>
      </c>
    </row>
    <row r="242">
      <c r="A242" s="3" t="s">
        <v>76</v>
      </c>
      <c r="B242" s="3" t="s">
        <v>651</v>
      </c>
      <c r="C242" s="3" t="s">
        <v>612</v>
      </c>
      <c r="D242" s="3">
        <v>156.0</v>
      </c>
      <c r="E242" s="3">
        <f t="shared" si="1"/>
        <v>251.1</v>
      </c>
      <c r="F242" s="3">
        <v>182.0</v>
      </c>
      <c r="G242" s="8">
        <f t="shared" si="2"/>
        <v>20.9</v>
      </c>
      <c r="H242" s="3">
        <v>2755.0</v>
      </c>
      <c r="I242" s="8">
        <f t="shared" si="3"/>
        <v>0.066</v>
      </c>
    </row>
    <row r="243">
      <c r="A243" s="6" t="s">
        <v>208</v>
      </c>
      <c r="B243" s="6" t="s">
        <v>558</v>
      </c>
      <c r="C243" s="6" t="s">
        <v>412</v>
      </c>
      <c r="D243" s="6">
        <v>155.0</v>
      </c>
      <c r="E243" s="6">
        <f t="shared" si="1"/>
        <v>249.4</v>
      </c>
      <c r="F243" s="6">
        <v>364.0</v>
      </c>
      <c r="G243" s="11">
        <f t="shared" si="2"/>
        <v>10.2</v>
      </c>
      <c r="H243" s="6">
        <v>3086.0</v>
      </c>
      <c r="I243" s="11">
        <f t="shared" si="3"/>
        <v>0.118</v>
      </c>
    </row>
    <row r="244">
      <c r="A244" s="3" t="s">
        <v>519</v>
      </c>
      <c r="B244" s="3" t="s">
        <v>528</v>
      </c>
      <c r="C244" s="3" t="s">
        <v>475</v>
      </c>
      <c r="D244" s="3">
        <v>154.0</v>
      </c>
      <c r="E244" s="3">
        <f t="shared" si="1"/>
        <v>247.8</v>
      </c>
      <c r="F244" s="3">
        <v>339.0</v>
      </c>
      <c r="G244" s="8">
        <f t="shared" si="2"/>
        <v>10.8</v>
      </c>
      <c r="H244" s="3">
        <v>2524.0</v>
      </c>
      <c r="I244" s="8">
        <f t="shared" si="3"/>
        <v>0.134</v>
      </c>
    </row>
    <row r="245">
      <c r="A245" s="6" t="s">
        <v>214</v>
      </c>
      <c r="B245" s="6" t="s">
        <v>611</v>
      </c>
      <c r="C245" s="6" t="s">
        <v>612</v>
      </c>
      <c r="D245" s="6">
        <v>154.0</v>
      </c>
      <c r="E245" s="6">
        <f t="shared" si="1"/>
        <v>247.8</v>
      </c>
      <c r="F245" s="6">
        <v>269.0</v>
      </c>
      <c r="G245" s="11">
        <f t="shared" si="2"/>
        <v>13.6</v>
      </c>
      <c r="H245" s="6">
        <v>2892.0</v>
      </c>
      <c r="I245" s="11">
        <f t="shared" si="3"/>
        <v>0.093</v>
      </c>
    </row>
    <row r="246">
      <c r="A246" s="3" t="s">
        <v>64</v>
      </c>
      <c r="B246" s="3" t="s">
        <v>560</v>
      </c>
      <c r="C246" s="3" t="s">
        <v>424</v>
      </c>
      <c r="D246" s="3">
        <v>154.0</v>
      </c>
      <c r="E246" s="3">
        <f t="shared" si="1"/>
        <v>247.8</v>
      </c>
      <c r="F246" s="3">
        <v>198.0</v>
      </c>
      <c r="G246" s="8">
        <f t="shared" si="2"/>
        <v>18.4</v>
      </c>
      <c r="H246" s="3">
        <v>996.0</v>
      </c>
      <c r="I246" s="8">
        <f t="shared" si="3"/>
        <v>0.199</v>
      </c>
    </row>
    <row r="247">
      <c r="A247" s="6" t="s">
        <v>36</v>
      </c>
      <c r="B247" s="6" t="s">
        <v>609</v>
      </c>
      <c r="C247" s="6" t="s">
        <v>580</v>
      </c>
      <c r="D247" s="6">
        <v>152.0</v>
      </c>
      <c r="E247" s="6">
        <f t="shared" si="1"/>
        <v>244.6</v>
      </c>
      <c r="F247" s="6">
        <v>259.0</v>
      </c>
      <c r="G247" s="11">
        <f t="shared" si="2"/>
        <v>13.6</v>
      </c>
      <c r="H247" s="6">
        <v>3161.0</v>
      </c>
      <c r="I247" s="11">
        <f t="shared" si="3"/>
        <v>0.082</v>
      </c>
    </row>
    <row r="248">
      <c r="A248" s="3" t="s">
        <v>652</v>
      </c>
      <c r="B248" s="3" t="s">
        <v>653</v>
      </c>
      <c r="C248" s="3" t="s">
        <v>580</v>
      </c>
      <c r="D248" s="3">
        <v>152.0</v>
      </c>
      <c r="E248" s="3">
        <f t="shared" si="1"/>
        <v>244.6</v>
      </c>
      <c r="F248" s="3">
        <v>225.0</v>
      </c>
      <c r="G248" s="8">
        <f t="shared" si="2"/>
        <v>15.6</v>
      </c>
      <c r="H248" s="3">
        <v>2425.0</v>
      </c>
      <c r="I248" s="8">
        <f t="shared" si="3"/>
        <v>0.093</v>
      </c>
    </row>
    <row r="249">
      <c r="A249" s="6" t="s">
        <v>234</v>
      </c>
      <c r="B249" s="6" t="s">
        <v>393</v>
      </c>
      <c r="C249" s="6" t="s">
        <v>278</v>
      </c>
      <c r="D249" s="6">
        <v>149.0</v>
      </c>
      <c r="E249" s="6">
        <f t="shared" si="1"/>
        <v>239.8</v>
      </c>
      <c r="F249" s="6">
        <v>259.0</v>
      </c>
      <c r="G249" s="11">
        <f t="shared" si="2"/>
        <v>12.8</v>
      </c>
      <c r="H249" s="6">
        <v>1201.0</v>
      </c>
      <c r="I249" s="11">
        <f t="shared" si="3"/>
        <v>0.216</v>
      </c>
    </row>
    <row r="250">
      <c r="A250" s="3" t="s">
        <v>157</v>
      </c>
      <c r="B250" s="3" t="s">
        <v>577</v>
      </c>
      <c r="C250" s="3" t="s">
        <v>572</v>
      </c>
      <c r="D250" s="3">
        <v>149.0</v>
      </c>
      <c r="E250" s="3">
        <f t="shared" si="1"/>
        <v>239.8</v>
      </c>
      <c r="F250" s="3">
        <v>269.0</v>
      </c>
      <c r="G250" s="8">
        <f t="shared" si="2"/>
        <v>12.3</v>
      </c>
      <c r="H250" s="3">
        <v>2281.0</v>
      </c>
      <c r="I250" s="8">
        <f t="shared" si="3"/>
        <v>0.118</v>
      </c>
    </row>
    <row r="251">
      <c r="A251" s="6" t="s">
        <v>42</v>
      </c>
      <c r="B251" s="6" t="s">
        <v>622</v>
      </c>
      <c r="C251" s="6" t="s">
        <v>623</v>
      </c>
      <c r="D251" s="6">
        <v>149.0</v>
      </c>
      <c r="E251" s="6">
        <f t="shared" si="1"/>
        <v>239.8</v>
      </c>
      <c r="F251" s="6">
        <v>181.0</v>
      </c>
      <c r="G251" s="11">
        <f t="shared" si="2"/>
        <v>18.3</v>
      </c>
      <c r="H251" s="6">
        <v>2171.0</v>
      </c>
      <c r="I251" s="11">
        <f t="shared" si="3"/>
        <v>0.083</v>
      </c>
    </row>
    <row r="252">
      <c r="A252" s="3" t="s">
        <v>36</v>
      </c>
      <c r="B252" s="3" t="s">
        <v>545</v>
      </c>
      <c r="C252" s="3" t="s">
        <v>516</v>
      </c>
      <c r="D252" s="3">
        <v>148.0</v>
      </c>
      <c r="E252" s="3">
        <f t="shared" si="1"/>
        <v>238.2</v>
      </c>
      <c r="F252" s="3">
        <v>450.0</v>
      </c>
      <c r="G252" s="8">
        <f t="shared" si="2"/>
        <v>7.2</v>
      </c>
      <c r="H252" s="3">
        <v>2403.0</v>
      </c>
      <c r="I252" s="8">
        <f t="shared" si="3"/>
        <v>0.187</v>
      </c>
    </row>
    <row r="253">
      <c r="A253" s="6" t="s">
        <v>122</v>
      </c>
      <c r="B253" s="6" t="s">
        <v>586</v>
      </c>
      <c r="C253" s="6" t="s">
        <v>587</v>
      </c>
      <c r="D253" s="6">
        <v>145.0</v>
      </c>
      <c r="E253" s="6">
        <f t="shared" si="1"/>
        <v>233.4</v>
      </c>
      <c r="F253" s="6">
        <v>158.0</v>
      </c>
      <c r="G253" s="11">
        <f t="shared" si="2"/>
        <v>19.3</v>
      </c>
      <c r="H253" s="6">
        <v>2006.0</v>
      </c>
      <c r="I253" s="11">
        <f t="shared" si="3"/>
        <v>0.079</v>
      </c>
    </row>
    <row r="254">
      <c r="A254" s="3" t="s">
        <v>214</v>
      </c>
      <c r="B254" s="3" t="s">
        <v>601</v>
      </c>
      <c r="C254" s="3" t="s">
        <v>572</v>
      </c>
      <c r="D254" s="3">
        <v>145.0</v>
      </c>
      <c r="E254" s="3">
        <f t="shared" si="1"/>
        <v>233.4</v>
      </c>
      <c r="F254" s="3">
        <v>190.0</v>
      </c>
      <c r="G254" s="8">
        <f t="shared" si="2"/>
        <v>16</v>
      </c>
      <c r="H254" s="3">
        <v>1686.0</v>
      </c>
      <c r="I254" s="8">
        <f t="shared" si="3"/>
        <v>0.113</v>
      </c>
    </row>
    <row r="255">
      <c r="A255" s="6" t="s">
        <v>589</v>
      </c>
      <c r="B255" s="6" t="s">
        <v>590</v>
      </c>
      <c r="C255" s="6" t="s">
        <v>591</v>
      </c>
      <c r="D255" s="6">
        <v>143.0</v>
      </c>
      <c r="E255" s="6">
        <f t="shared" si="1"/>
        <v>230.1</v>
      </c>
      <c r="F255" s="6">
        <v>315.0</v>
      </c>
      <c r="G255" s="11">
        <f t="shared" si="2"/>
        <v>9.3</v>
      </c>
      <c r="H255" s="6">
        <v>2667.0</v>
      </c>
      <c r="I255" s="11">
        <f t="shared" si="3"/>
        <v>0.118</v>
      </c>
    </row>
    <row r="256">
      <c r="A256" s="3" t="s">
        <v>214</v>
      </c>
      <c r="B256" s="3" t="s">
        <v>614</v>
      </c>
      <c r="C256" s="3" t="s">
        <v>615</v>
      </c>
      <c r="D256" s="3">
        <v>143.0</v>
      </c>
      <c r="E256" s="3">
        <f t="shared" si="1"/>
        <v>230.1</v>
      </c>
      <c r="F256" s="3">
        <v>190.0</v>
      </c>
      <c r="G256" s="8">
        <f t="shared" si="2"/>
        <v>15.4</v>
      </c>
      <c r="H256" s="3">
        <v>1686.0</v>
      </c>
      <c r="I256" s="8">
        <f t="shared" si="3"/>
        <v>0.113</v>
      </c>
    </row>
    <row r="257">
      <c r="A257" s="6" t="s">
        <v>519</v>
      </c>
      <c r="B257" s="6" t="s">
        <v>520</v>
      </c>
      <c r="C257" s="6" t="s">
        <v>359</v>
      </c>
      <c r="D257" s="6">
        <v>142.0</v>
      </c>
      <c r="E257" s="6">
        <f t="shared" si="1"/>
        <v>228.5</v>
      </c>
      <c r="F257" s="6">
        <v>301.0</v>
      </c>
      <c r="G257" s="11">
        <f t="shared" si="2"/>
        <v>9.5</v>
      </c>
      <c r="H257" s="6">
        <v>1741.0</v>
      </c>
      <c r="I257" s="11">
        <f t="shared" si="3"/>
        <v>0.173</v>
      </c>
    </row>
    <row r="258">
      <c r="A258" s="3" t="s">
        <v>70</v>
      </c>
      <c r="B258" s="27">
        <v>86.0</v>
      </c>
      <c r="C258" s="3" t="s">
        <v>612</v>
      </c>
      <c r="D258" s="3">
        <v>141.0</v>
      </c>
      <c r="E258" s="3">
        <f t="shared" si="1"/>
        <v>226.9</v>
      </c>
      <c r="F258" s="3">
        <v>197.0</v>
      </c>
      <c r="G258" s="8">
        <f t="shared" si="2"/>
        <v>14.2</v>
      </c>
      <c r="H258" s="3">
        <v>2674.0</v>
      </c>
      <c r="I258" s="8">
        <f t="shared" si="3"/>
        <v>0.074</v>
      </c>
    </row>
    <row r="259">
      <c r="A259" s="6" t="s">
        <v>70</v>
      </c>
      <c r="B259" s="6" t="s">
        <v>620</v>
      </c>
      <c r="C259" s="6" t="s">
        <v>612</v>
      </c>
      <c r="D259" s="6">
        <v>141.0</v>
      </c>
      <c r="E259" s="6">
        <f t="shared" si="1"/>
        <v>226.9</v>
      </c>
      <c r="F259" s="6">
        <v>197.0</v>
      </c>
      <c r="G259" s="11">
        <f t="shared" si="2"/>
        <v>14.2</v>
      </c>
      <c r="H259" s="6">
        <v>2674.0</v>
      </c>
      <c r="I259" s="11">
        <f t="shared" si="3"/>
        <v>0.074</v>
      </c>
    </row>
    <row r="260">
      <c r="A260" s="3" t="s">
        <v>208</v>
      </c>
      <c r="B260" s="3" t="s">
        <v>607</v>
      </c>
      <c r="C260" s="3" t="s">
        <v>580</v>
      </c>
      <c r="D260" s="3">
        <v>140.0</v>
      </c>
      <c r="E260" s="3">
        <f t="shared" si="1"/>
        <v>225.3</v>
      </c>
      <c r="F260" s="3">
        <v>283.0</v>
      </c>
      <c r="G260" s="8">
        <f t="shared" si="2"/>
        <v>9.7</v>
      </c>
      <c r="H260" s="3">
        <v>3009.0</v>
      </c>
      <c r="I260" s="8">
        <f t="shared" si="3"/>
        <v>0.094</v>
      </c>
    </row>
    <row r="261">
      <c r="A261" s="6" t="s">
        <v>90</v>
      </c>
      <c r="B261" s="6" t="s">
        <v>598</v>
      </c>
      <c r="C261" s="6" t="s">
        <v>599</v>
      </c>
      <c r="D261" s="6">
        <v>140.0</v>
      </c>
      <c r="E261" s="6">
        <f t="shared" si="1"/>
        <v>225.3</v>
      </c>
      <c r="F261" s="6">
        <v>221.0</v>
      </c>
      <c r="G261" s="11">
        <f t="shared" si="2"/>
        <v>12.4</v>
      </c>
      <c r="H261" s="6">
        <v>2557.0</v>
      </c>
      <c r="I261" s="11">
        <f t="shared" si="3"/>
        <v>0.086</v>
      </c>
    </row>
    <row r="262">
      <c r="A262" s="3" t="s">
        <v>214</v>
      </c>
      <c r="B262" s="3" t="s">
        <v>630</v>
      </c>
      <c r="C262" s="3" t="s">
        <v>631</v>
      </c>
      <c r="D262" s="3">
        <v>140.0</v>
      </c>
      <c r="E262" s="3">
        <f t="shared" si="1"/>
        <v>225.3</v>
      </c>
      <c r="F262" s="3">
        <v>597.0</v>
      </c>
      <c r="G262" s="8">
        <f t="shared" si="2"/>
        <v>4.6</v>
      </c>
      <c r="H262" s="3">
        <v>4299.0</v>
      </c>
      <c r="I262" s="8">
        <f t="shared" si="3"/>
        <v>0.139</v>
      </c>
    </row>
    <row r="263">
      <c r="A263" s="6" t="s">
        <v>214</v>
      </c>
      <c r="B263" s="6" t="s">
        <v>617</v>
      </c>
      <c r="C263" s="6" t="s">
        <v>612</v>
      </c>
      <c r="D263" s="6">
        <v>139.0</v>
      </c>
      <c r="E263" s="6">
        <f t="shared" si="1"/>
        <v>223.7</v>
      </c>
      <c r="F263" s="6">
        <v>437.0</v>
      </c>
      <c r="G263" s="11">
        <f t="shared" si="2"/>
        <v>6.1</v>
      </c>
      <c r="H263" s="6">
        <v>4629.0</v>
      </c>
      <c r="I263" s="11">
        <f t="shared" si="3"/>
        <v>0.094</v>
      </c>
    </row>
    <row r="264">
      <c r="A264" s="3" t="s">
        <v>157</v>
      </c>
      <c r="B264" s="3" t="s">
        <v>625</v>
      </c>
      <c r="C264" s="3" t="s">
        <v>612</v>
      </c>
      <c r="D264" s="3">
        <v>137.0</v>
      </c>
      <c r="E264" s="3">
        <f t="shared" si="1"/>
        <v>220.5</v>
      </c>
      <c r="F264" s="3">
        <v>168.0</v>
      </c>
      <c r="G264" s="8">
        <f t="shared" si="2"/>
        <v>15.3</v>
      </c>
      <c r="H264" s="3">
        <v>2281.0</v>
      </c>
      <c r="I264" s="8">
        <f t="shared" si="3"/>
        <v>0.074</v>
      </c>
    </row>
    <row r="265">
      <c r="A265" s="6" t="s">
        <v>214</v>
      </c>
      <c r="B265" s="6" t="s">
        <v>633</v>
      </c>
      <c r="C265" s="6" t="s">
        <v>612</v>
      </c>
      <c r="D265" s="6">
        <v>131.0</v>
      </c>
      <c r="E265" s="6">
        <f t="shared" si="1"/>
        <v>210.8</v>
      </c>
      <c r="F265" s="6">
        <v>118.0</v>
      </c>
      <c r="G265" s="11">
        <f t="shared" si="2"/>
        <v>19.1</v>
      </c>
      <c r="H265" s="6">
        <v>1686.0</v>
      </c>
      <c r="I265" s="11">
        <f t="shared" si="3"/>
        <v>0.07</v>
      </c>
    </row>
    <row r="266">
      <c r="A266" s="3" t="s">
        <v>9</v>
      </c>
      <c r="B266" s="3" t="s">
        <v>527</v>
      </c>
      <c r="C266" s="3" t="s">
        <v>527</v>
      </c>
      <c r="D266" s="3">
        <v>130.0</v>
      </c>
      <c r="E266" s="3">
        <f t="shared" si="1"/>
        <v>209.2</v>
      </c>
      <c r="F266" s="3">
        <v>106.0</v>
      </c>
      <c r="G266" s="8">
        <f t="shared" si="2"/>
        <v>20.7</v>
      </c>
      <c r="H266" s="3">
        <v>936.0</v>
      </c>
      <c r="I266" s="8">
        <f t="shared" si="3"/>
        <v>0.113</v>
      </c>
    </row>
    <row r="267">
      <c r="A267" s="6" t="s">
        <v>64</v>
      </c>
      <c r="B267" s="6" t="s">
        <v>627</v>
      </c>
      <c r="C267" s="6" t="s">
        <v>628</v>
      </c>
      <c r="D267" s="6">
        <v>125.0</v>
      </c>
      <c r="E267" s="6">
        <f t="shared" si="1"/>
        <v>201.2</v>
      </c>
      <c r="F267" s="6">
        <v>116.0</v>
      </c>
      <c r="G267" s="11">
        <f t="shared" si="2"/>
        <v>16.8</v>
      </c>
      <c r="H267" s="6">
        <v>932.0</v>
      </c>
      <c r="I267" s="11">
        <f t="shared" si="3"/>
        <v>0.124</v>
      </c>
    </row>
    <row r="268">
      <c r="A268" s="3" t="s">
        <v>122</v>
      </c>
      <c r="B268" s="3" t="s">
        <v>635</v>
      </c>
      <c r="C268" s="3" t="s">
        <v>635</v>
      </c>
      <c r="D268" s="3">
        <v>123.0</v>
      </c>
      <c r="E268" s="3">
        <f t="shared" si="1"/>
        <v>197.9</v>
      </c>
      <c r="F268" s="3">
        <v>105.0</v>
      </c>
      <c r="G268" s="8">
        <f t="shared" si="2"/>
        <v>17.7</v>
      </c>
      <c r="H268" s="3">
        <v>1962.0</v>
      </c>
      <c r="I268" s="8">
        <f t="shared" si="3"/>
        <v>0.054</v>
      </c>
    </row>
    <row r="269">
      <c r="A269" s="6" t="s">
        <v>9</v>
      </c>
      <c r="B269" s="6" t="s">
        <v>654</v>
      </c>
      <c r="C269" s="6" t="s">
        <v>655</v>
      </c>
      <c r="D269" s="6">
        <v>82.0</v>
      </c>
      <c r="E269" s="6">
        <f t="shared" si="1"/>
        <v>132</v>
      </c>
      <c r="F269" s="6">
        <v>29.0</v>
      </c>
      <c r="G269" s="11">
        <f t="shared" si="2"/>
        <v>19</v>
      </c>
      <c r="H269" s="6">
        <v>352.0</v>
      </c>
      <c r="I269" s="11">
        <f t="shared" si="3"/>
        <v>0.082</v>
      </c>
    </row>
  </sheetData>
  <autoFilter ref="$A$1:$Z$1007">
    <sortState ref="A1:Z1007">
      <sortCondition descending="1" ref="E1:E1007"/>
      <sortCondition ref="C1:C1007"/>
      <sortCondition ref="A1:A1007"/>
      <sortCondition ref="B1:B1007"/>
      <sortCondition descending="1" ref="G1:G1007"/>
      <sortCondition ref="I1:I1007"/>
      <sortCondition ref="F1:F1007"/>
      <sortCondition descending="1" ref="D1:D100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44.86"/>
    <col customWidth="1" min="3" max="3" width="15.0"/>
    <col customWidth="1" min="4" max="4" width="42.14"/>
    <col customWidth="1" min="5" max="5" width="15.71"/>
    <col customWidth="1" min="7" max="7" width="15.86"/>
    <col customWidth="1" min="8" max="8" width="42.57"/>
    <col customWidth="1" min="10" max="10" width="41.86"/>
    <col customWidth="1" min="12" max="12" width="17.29"/>
    <col customWidth="1" min="13" max="13" width="16.0"/>
    <col customWidth="1" min="14" max="14" width="40.0"/>
    <col customWidth="1" min="15" max="15" width="12.71"/>
    <col customWidth="1" min="16" max="16" width="45.43"/>
    <col customWidth="1" min="17" max="17" width="12.71"/>
    <col customWidth="1" min="18" max="18" width="21.0"/>
    <col customWidth="1" min="19" max="19" width="16.29"/>
    <col customWidth="1" min="20" max="20" width="41.86"/>
    <col customWidth="1" min="21" max="21" width="16.71"/>
    <col customWidth="1" min="22" max="22" width="41.43"/>
    <col customWidth="1" min="23" max="23" width="16.71"/>
    <col customWidth="1" min="24" max="24" width="23.86"/>
    <col customWidth="1" min="25" max="25" width="15.86"/>
  </cols>
  <sheetData>
    <row r="1">
      <c r="A1" s="1" t="s">
        <v>2</v>
      </c>
      <c r="B1" s="1" t="s">
        <v>10</v>
      </c>
      <c r="C1" s="1" t="s">
        <v>11</v>
      </c>
      <c r="D1" s="1" t="s">
        <v>13</v>
      </c>
      <c r="E1" s="1" t="s">
        <v>11</v>
      </c>
      <c r="F1" s="1" t="s">
        <v>17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21</v>
      </c>
      <c r="L1" s="1" t="s">
        <v>24</v>
      </c>
      <c r="M1" s="1" t="s">
        <v>19</v>
      </c>
      <c r="N1" s="1" t="s">
        <v>25</v>
      </c>
      <c r="O1" s="1" t="s">
        <v>26</v>
      </c>
      <c r="P1" s="1" t="s">
        <v>27</v>
      </c>
      <c r="Q1" s="1" t="s">
        <v>26</v>
      </c>
      <c r="R1" s="1" t="s">
        <v>28</v>
      </c>
      <c r="S1" s="1" t="s">
        <v>19</v>
      </c>
      <c r="T1" s="1" t="s">
        <v>29</v>
      </c>
      <c r="U1" s="1" t="s">
        <v>30</v>
      </c>
      <c r="V1" s="1" t="s">
        <v>31</v>
      </c>
      <c r="W1" s="1" t="s">
        <v>30</v>
      </c>
      <c r="X1" s="1" t="s">
        <v>32</v>
      </c>
      <c r="Y1" s="1" t="s">
        <v>19</v>
      </c>
    </row>
    <row r="2">
      <c r="A2" s="3" t="s">
        <v>33</v>
      </c>
      <c r="B2" s="8" t="str">
        <f t="array" ref="B2">CONCATENATE(INDEX('Car Data'!$A$2:$E$403,MATCH(1,('Car Data'!$D$2:$D$403=C2)*('Car Data'!$C$2:$C$403=A2),0),1)," ",INDEX('Car Data'!$A$2:$E$403,MATCH(1,('Car Data'!$D$2:$D$403=C2)*('Car Data'!$C$2:$C$403=A2),0),2))</f>
        <v>Porsche 917/10</v>
      </c>
      <c r="C2" s="8">
        <f>MAXIFS('Car Data'!$D$2:$D$403,'Car Data'!$C$2:$C$403,A2)</f>
        <v>250</v>
      </c>
      <c r="D2" s="8" t="str">
        <f t="array" ref="D2">CONCATENATE(INDEX('Car Data'!$A$2:$E$403,MATCH(1,('Car Data'!$D$2:$D$403=E2)*('Car Data'!$C$2:$C$403=A2),0),1)," ",INDEX('Car Data'!$A$2:$E$403,MATCH(1,('Car Data'!$D$2:$D$403=E2)*('Car Data'!$C$2:$C$403=A2),0),2))</f>
        <v>Porsche 917/10</v>
      </c>
      <c r="E2" s="8">
        <f>MINIFS('Car Data'!$D$2:$D$403,'Car Data'!$C$2:$C$403,A2)</f>
        <v>250</v>
      </c>
      <c r="F2" s="8">
        <f>ROUND(AVERAGEIFS('Car Data'!$D$2:$D$403,'Car Data'!$C$2:$C$403,A2),2)</f>
        <v>250</v>
      </c>
      <c r="G2" s="8" t="str">
        <f>IFERROR(__xludf.DUMMYFUNCTION("ROUND(STDEV(FILTER('Car Data'!$D$2:$D$403,'Car Data'!$C$2:$C$403=A2)),2)"),"#DIV/0!")</f>
        <v>#DIV/0!</v>
      </c>
      <c r="H2" s="8" t="str">
        <f t="array" ref="H2">CONCATENATE(INDEX('Car Data'!$A$2:$E$403,MATCH(1,('Car Data'!$F$2:$F$403=I2)*('Car Data'!$C$2:$C$403=A2),0),1)," ",INDEX('Car Data'!$A$2:$E$403,MATCH(1,('Car Data'!$F$2:$F$403=I2)*('Car Data'!$C$2:$C$403=A2),0),2))</f>
        <v>Porsche 917/10</v>
      </c>
      <c r="I2" s="8">
        <f>MAXIFS('Car Data'!$F$2:$F$403,'Car Data'!$C$2:$C$403,A2)</f>
        <v>1229</v>
      </c>
      <c r="J2" s="8" t="str">
        <f t="array" ref="J2">CONCATENATE(INDEX('Car Data'!$A$2:$E$403,MATCH(1,('Car Data'!$F$2:$F$403=K2)*('Car Data'!$C$2:$C$403=A2),0),1)," ",INDEX('Car Data'!$A$2:$E$403,MATCH(1,('Car Data'!$F$2:$F$403=K2)*('Car Data'!$C$2:$C$403=A2),0),2))</f>
        <v>Porsche 917/10</v>
      </c>
      <c r="K2" s="8">
        <f>MINIFS('Car Data'!$F$2:$F$403,'Car Data'!$C$2:$C$403,A2)</f>
        <v>1229</v>
      </c>
      <c r="L2" s="8">
        <f>ROUND(AVERAGEIFS('Car Data'!$F$2:$F$403,'Car Data'!$C$2:$C$403,A2),2)</f>
        <v>1229</v>
      </c>
      <c r="M2" s="8" t="str">
        <f>IFERROR(__xludf.DUMMYFUNCTION("ROUND(STDEV(FILTER('Car Data'!$F$2:$F$403,'Car Data'!$C$2:$C$403=A2)),2)"),"#DIV/0!")</f>
        <v>#DIV/0!</v>
      </c>
      <c r="N2" s="8" t="str">
        <f t="array" ref="N2">CONCATENATE(INDEX('Car Data'!$A$2:$E$403,MATCH(1,('Car Data'!$G$2:$G$403=O2)*('Car Data'!$C$2:$C$403=A2),0),1)," ",INDEX('Car Data'!$A$2:$E$403,MATCH(1,('Car Data'!$G$2:$G$403=O2)*('Car Data'!$C$2:$C$403=A2),0),2))</f>
        <v>Porsche 917/10</v>
      </c>
      <c r="O2" s="14">
        <f>MAXIFS('Car Data'!$G$2:$G$403,'Car Data'!$C$2:$C$403,A2)</f>
        <v>12.7</v>
      </c>
      <c r="P2" s="14" t="str">
        <f t="array" ref="P2">CONCATENATE(INDEX('Car Data'!$A$2:$E$403,MATCH(1,('Car Data'!$G$2:$G$403=Q2)*('Car Data'!$C$2:$C$403=A2),0),1)," ",INDEX('Car Data'!$A$2:$E$403,MATCH(1,('Car Data'!$G$2:$G$403=Q2)*('Car Data'!$C$2:$C$403=A2),0),2))</f>
        <v>Porsche 917/10</v>
      </c>
      <c r="Q2" s="8">
        <f>MINIFS('Car Data'!$G$2:$G$403,'Car Data'!$C$2:$C$403,A2)</f>
        <v>12.7</v>
      </c>
      <c r="R2" s="8">
        <f>ROUND(AVERAGEIFS('Car Data'!$G$2:$G$403,'Car Data'!$C$2:$C$403,A2),2)</f>
        <v>12.7</v>
      </c>
      <c r="S2" s="8" t="str">
        <f>IFERROR(__xludf.DUMMYFUNCTION("ROUND(STDEV(FILTER('Car Data'!$G$2:$G$403,'Car Data'!$C$2:$C$403=A2)),2)"),"#DIV/0!")</f>
        <v>#DIV/0!</v>
      </c>
      <c r="T2" s="8" t="str">
        <f t="array" ref="T2">CONCATENATE(INDEX('Car Data'!$A$2:$E$403,MATCH(1,('Car Data'!$I$2:$I$403=U2)*('Car Data'!$C$2:$C$403=A2),0),1)," ",INDEX('Car Data'!$A$2:$E$403,MATCH(1,('Car Data'!$I$2:$I$403=U2)*('Car Data'!$C$2:$C$403=A2),0),2))</f>
        <v>Porsche 917/10</v>
      </c>
      <c r="U2" s="8">
        <f>MAXIFS('Car Data'!$I$2:$I$403,'Car Data'!$C$2:$C$403,A2)</f>
        <v>0.672</v>
      </c>
      <c r="V2" s="8" t="str">
        <f t="array" ref="V2">CONCATENATE(INDEX('Car Data'!$A$2:$E$403,MATCH(1,('Car Data'!$I$2:$I$403=W2)*('Car Data'!$C$2:$C$403=A2),0),1)," ",INDEX('Car Data'!$A$2:$E$403,MATCH(1,('Car Data'!$I$2:$I$403=W2)*('Car Data'!$C$2:$C$403=A2),0),2))</f>
        <v>Porsche 917/10</v>
      </c>
      <c r="W2" s="8">
        <f>MINIFS('Car Data'!$I$2:$I$403,'Car Data'!$C$2:$C$403,A2)</f>
        <v>0.672</v>
      </c>
      <c r="X2" s="8">
        <f>ROUND(AVERAGEIFS('Car Data'!$I$2:$I$403,'Car Data'!$C$2:$C$403,A2),2)</f>
        <v>0.67</v>
      </c>
      <c r="Y2" s="8" t="str">
        <f>IFERROR(__xludf.DUMMYFUNCTION("ROUND(STDEV(FILTER('Car Data'!$I$2:$I$403,'Car Data'!$C$2:$C$403=A2)),2)"),"#DIV/0!")</f>
        <v>#DIV/0!</v>
      </c>
    </row>
    <row r="3">
      <c r="A3" s="6" t="s">
        <v>78</v>
      </c>
      <c r="B3" s="11" t="str">
        <f t="array" ref="B3">CONCATENATE(INDEX('Car Data'!$A$2:$E$403,MATCH(1,('Car Data'!$D$2:$D$403=C3)*('Car Data'!$C$2:$C$403=A3),0),1)," ",INDEX('Car Data'!$A$2:$E$403,MATCH(1,('Car Data'!$D$2:$D$403=C3)*('Car Data'!$C$2:$C$403=A3),0),2))</f>
        <v>Mazda MX-5 Radbul</v>
      </c>
      <c r="C3" s="11">
        <f>MAXIFS('Car Data'!$D$2:$D$403,'Car Data'!$C$2:$C$403,A3)</f>
        <v>235</v>
      </c>
      <c r="D3" s="11" t="str">
        <f t="array" ref="D3">CONCATENATE(INDEX('Car Data'!$A$2:$E$403,MATCH(1,('Car Data'!$D$2:$D$403=E3)*('Car Data'!$C$2:$C$403=A3),0),1)," ",INDEX('Car Data'!$A$2:$E$403,MATCH(1,('Car Data'!$D$2:$D$403=E3)*('Car Data'!$C$2:$C$403=A3),0),2))</f>
        <v>Ford Mustang RTR Spec - 5D</v>
      </c>
      <c r="E3" s="11">
        <f>MINIFS('Car Data'!$D$2:$D$403,'Car Data'!$C$2:$C$403,A3)</f>
        <v>213</v>
      </c>
      <c r="F3" s="11">
        <f>ROUND(AVERAGEIFS('Car Data'!$D$2:$D$403,'Car Data'!$C$2:$C$403,A3),2)</f>
        <v>224</v>
      </c>
      <c r="G3" s="11">
        <f>IFERROR(__xludf.DUMMYFUNCTION("ROUND(STDEV(FILTER('Car Data'!$D$2:$D$403,'Car Data'!$C$2:$C$403=A3)),2)"),15.56)</f>
        <v>15.56</v>
      </c>
      <c r="H3" s="11" t="str">
        <f t="array" ref="H3">CONCATENATE(INDEX('Car Data'!$A$2:$E$403,MATCH(1,('Car Data'!$F$2:$F$403=I3)*('Car Data'!$C$2:$C$403=A3),0),1)," ",INDEX('Car Data'!$A$2:$E$403,MATCH(1,('Car Data'!$F$2:$F$403=I3)*('Car Data'!$C$2:$C$403=A3),0),2))</f>
        <v>Mazda MX-5 Radbul</v>
      </c>
      <c r="I3" s="11">
        <f>MAXIFS('Car Data'!$F$2:$F$403,'Car Data'!$C$2:$C$403,A3)</f>
        <v>1411</v>
      </c>
      <c r="J3" s="11" t="str">
        <f t="array" ref="J3">CONCATENATE(INDEX('Car Data'!$A$2:$E$403,MATCH(1,('Car Data'!$F$2:$F$403=K3)*('Car Data'!$C$2:$C$403=A3),0),1)," ",INDEX('Car Data'!$A$2:$E$403,MATCH(1,('Car Data'!$F$2:$F$403=K3)*('Car Data'!$C$2:$C$403=A3),0),2))</f>
        <v>Ford Mustang RTR Spec - 5D</v>
      </c>
      <c r="K3" s="11">
        <f>MINIFS('Car Data'!$F$2:$F$403,'Car Data'!$C$2:$C$403,A3)</f>
        <v>938</v>
      </c>
      <c r="L3" s="11">
        <f>ROUND(AVERAGEIFS('Car Data'!$F$2:$F$403,'Car Data'!$C$2:$C$403,A3),2)</f>
        <v>1174.5</v>
      </c>
      <c r="M3" s="11">
        <f>IFERROR(__xludf.DUMMYFUNCTION("ROUND(STDEV(FILTER('Car Data'!$F$2:$F$403,'Car Data'!$C$2:$C$403=A3)),2)"),334.46)</f>
        <v>334.46</v>
      </c>
      <c r="N3" s="11" t="str">
        <f t="array" ref="N3">CONCATENATE(INDEX('Car Data'!$A$2:$E$403,MATCH(1,('Car Data'!$G$2:$G$403=O3)*('Car Data'!$C$2:$C$403=A3),0),1)," ",INDEX('Car Data'!$A$2:$E$403,MATCH(1,('Car Data'!$G$2:$G$403=O3)*('Car Data'!$C$2:$C$403=A3),0),2))</f>
        <v>Ford Mustang RTR Spec - 5D</v>
      </c>
      <c r="O3" s="15">
        <f>MAXIFS('Car Data'!$G$2:$G$403,'Car Data'!$C$2:$C$403,A3)</f>
        <v>10.3</v>
      </c>
      <c r="P3" s="15" t="str">
        <f t="array" ref="P3">CONCATENATE(INDEX('Car Data'!$A$2:$E$403,MATCH(1,('Car Data'!$G$2:$G$403=Q3)*('Car Data'!$C$2:$C$403=A3),0),1)," ",INDEX('Car Data'!$A$2:$E$403,MATCH(1,('Car Data'!$G$2:$G$403=Q3)*('Car Data'!$C$2:$C$403=A3),0),2))</f>
        <v>Mazda MX-5 Radbul</v>
      </c>
      <c r="Q3" s="11">
        <f>MINIFS('Car Data'!$G$2:$G$403,'Car Data'!$C$2:$C$403,A3)</f>
        <v>9.2</v>
      </c>
      <c r="R3" s="11">
        <f>ROUND(AVERAGEIFS('Car Data'!$G$2:$G$403,'Car Data'!$C$2:$C$403,A3),2)</f>
        <v>9.75</v>
      </c>
      <c r="S3" s="11">
        <f>IFERROR(__xludf.DUMMYFUNCTION("ROUND(STDEV(FILTER('Car Data'!$G$2:$G$403,'Car Data'!$C$2:$C$403=A3)),2)"),0.78)</f>
        <v>0.78</v>
      </c>
      <c r="T3" s="11" t="str">
        <f t="array" ref="T3">CONCATENATE(INDEX('Car Data'!$A$2:$E$403,MATCH(1,('Car Data'!$I$2:$I$403=U3)*('Car Data'!$C$2:$C$403=A3),0),1)," ",INDEX('Car Data'!$A$2:$E$403,MATCH(1,('Car Data'!$I$2:$I$403=U3)*('Car Data'!$C$2:$C$403=A3),0),2))</f>
        <v>Mazda MX-5 Radbul</v>
      </c>
      <c r="U3" s="11">
        <f>MAXIFS('Car Data'!$I$2:$I$403,'Car Data'!$C$2:$C$403,A3)</f>
        <v>0.523</v>
      </c>
      <c r="V3" s="11" t="str">
        <f t="array" ref="V3">CONCATENATE(INDEX('Car Data'!$A$2:$E$403,MATCH(1,('Car Data'!$I$2:$I$403=W3)*('Car Data'!$C$2:$C$403=A3),0),1)," ",INDEX('Car Data'!$A$2:$E$403,MATCH(1,('Car Data'!$I$2:$I$403=W3)*('Car Data'!$C$2:$C$403=A3),0),2))</f>
        <v>Ford Mustang RTR Spec - 5D</v>
      </c>
      <c r="W3" s="11">
        <f>MINIFS('Car Data'!$I$2:$I$403,'Car Data'!$C$2:$C$403,A3)</f>
        <v>0.335</v>
      </c>
      <c r="X3" s="11">
        <f>ROUND(AVERAGEIFS('Car Data'!$I$2:$I$403,'Car Data'!$C$2:$C$403,A3),2)</f>
        <v>0.43</v>
      </c>
      <c r="Y3" s="11">
        <f>IFERROR(__xludf.DUMMYFUNCTION("ROUND(STDEV(FILTER('Car Data'!$I$2:$I$403,'Car Data'!$C$2:$C$403=A3)),2)"),0.13)</f>
        <v>0.13</v>
      </c>
    </row>
    <row r="4">
      <c r="A4" s="3" t="s">
        <v>224</v>
      </c>
      <c r="B4" s="8" t="str">
        <f t="array" ref="B4">CONCATENATE(INDEX('Car Data'!$A$2:$E$403,MATCH(1,('Car Data'!$D$2:$D$403=C4)*('Car Data'!$C$2:$C$403=A4),0),1)," ",INDEX('Car Data'!$A$2:$E$403,MATCH(1,('Car Data'!$D$2:$D$403=C4)*('Car Data'!$C$2:$C$403=A4),0),2))</f>
        <v>Ferrari F355 Challenge</v>
      </c>
      <c r="C4" s="8">
        <f>MAXIFS('Car Data'!$D$2:$D$403,'Car Data'!$C$2:$C$403,A4)</f>
        <v>180</v>
      </c>
      <c r="D4" s="8" t="str">
        <f t="array" ref="D4">CONCATENATE(INDEX('Car Data'!$A$2:$E$403,MATCH(1,('Car Data'!$D$2:$D$403=E4)*('Car Data'!$C$2:$C$403=A4),0),1)," ",INDEX('Car Data'!$A$2:$E$403,MATCH(1,('Car Data'!$D$2:$D$403=E4)*('Car Data'!$C$2:$C$403=A4),0),2))</f>
        <v>Ferrari F355 Challenge</v>
      </c>
      <c r="E4" s="8">
        <f>MINIFS('Car Data'!$D$2:$D$403,'Car Data'!$C$2:$C$403,A4)</f>
        <v>180</v>
      </c>
      <c r="F4" s="8">
        <f>ROUND(AVERAGEIFS('Car Data'!$D$2:$D$403,'Car Data'!$C$2:$C$403,A4),2)</f>
        <v>180</v>
      </c>
      <c r="G4" s="8" t="str">
        <f>IFERROR(__xludf.DUMMYFUNCTION("ROUND(STDEV(FILTER('Car Data'!$D$2:$D$403,'Car Data'!$C$2:$C$403=A4)),2)"),"#DIV/0!")</f>
        <v>#DIV/0!</v>
      </c>
      <c r="H4" s="8" t="str">
        <f t="array" ref="H4">CONCATENATE(INDEX('Car Data'!$A$2:$E$403,MATCH(1,('Car Data'!$F$2:$F$403=I4)*('Car Data'!$C$2:$C$403=A4),0),1)," ",INDEX('Car Data'!$A$2:$E$403,MATCH(1,('Car Data'!$F$2:$F$403=I4)*('Car Data'!$C$2:$C$403=A4),0),2))</f>
        <v>Ferrari F355 Challenge</v>
      </c>
      <c r="I4" s="8">
        <f>MAXIFS('Car Data'!$F$2:$F$403,'Car Data'!$C$2:$C$403,A4)</f>
        <v>377</v>
      </c>
      <c r="J4" s="8" t="str">
        <f t="array" ref="J4">CONCATENATE(INDEX('Car Data'!$A$2:$E$403,MATCH(1,('Car Data'!$F$2:$F$403=K4)*('Car Data'!$C$2:$C$403=A4),0),1)," ",INDEX('Car Data'!$A$2:$E$403,MATCH(1,('Car Data'!$F$2:$F$403=K4)*('Car Data'!$C$2:$C$403=A4),0),2))</f>
        <v>Ferrari F355 Challenge</v>
      </c>
      <c r="K4" s="8">
        <f>MINIFS('Car Data'!$F$2:$F$403,'Car Data'!$C$2:$C$403,A4)</f>
        <v>377</v>
      </c>
      <c r="L4" s="8">
        <f>ROUND(AVERAGEIFS('Car Data'!$F$2:$F$403,'Car Data'!$C$2:$C$403,A4),2)</f>
        <v>377</v>
      </c>
      <c r="M4" s="8" t="str">
        <f>IFERROR(__xludf.DUMMYFUNCTION("ROUND(STDEV(FILTER('Car Data'!$F$2:$F$403,'Car Data'!$C$2:$C$403=A4)),2)"),"#DIV/0!")</f>
        <v>#DIV/0!</v>
      </c>
      <c r="N4" s="8" t="str">
        <f t="array" ref="N4">CONCATENATE(INDEX('Car Data'!$A$2:$E$403,MATCH(1,('Car Data'!$G$2:$G$403=O4)*('Car Data'!$C$2:$C$403=A4),0),1)," ",INDEX('Car Data'!$A$2:$E$403,MATCH(1,('Car Data'!$G$2:$G$403=O4)*('Car Data'!$C$2:$C$403=A4),0),2))</f>
        <v>Ferrari F355 Challenge</v>
      </c>
      <c r="O4" s="14">
        <f>MAXIFS('Car Data'!$G$2:$G$403,'Car Data'!$C$2:$C$403,A4)</f>
        <v>15.5</v>
      </c>
      <c r="P4" s="14" t="str">
        <f t="array" ref="P4">CONCATENATE(INDEX('Car Data'!$A$2:$E$403,MATCH(1,('Car Data'!$G$2:$G$403=Q4)*('Car Data'!$C$2:$C$403=A4),0),1)," ",INDEX('Car Data'!$A$2:$E$403,MATCH(1,('Car Data'!$G$2:$G$403=Q4)*('Car Data'!$C$2:$C$403=A4),0),2))</f>
        <v>Ferrari F355 Challenge</v>
      </c>
      <c r="Q4" s="8">
        <f>MINIFS('Car Data'!$G$2:$G$403,'Car Data'!$C$2:$C$403,A4)</f>
        <v>15.5</v>
      </c>
      <c r="R4" s="8">
        <f>ROUND(AVERAGEIFS('Car Data'!$G$2:$G$403,'Car Data'!$C$2:$C$403,A4),2)</f>
        <v>15.5</v>
      </c>
      <c r="S4" s="8" t="str">
        <f>IFERROR(__xludf.DUMMYFUNCTION("ROUND(STDEV(FILTER('Car Data'!$G$2:$G$403,'Car Data'!$C$2:$C$403=A4)),2)"),"#DIV/0!")</f>
        <v>#DIV/0!</v>
      </c>
      <c r="T4" s="8" t="str">
        <f t="array" ref="T4">CONCATENATE(INDEX('Car Data'!$A$2:$E$403,MATCH(1,('Car Data'!$I$2:$I$403=U4)*('Car Data'!$C$2:$C$403=A4),0),1)," ",INDEX('Car Data'!$A$2:$E$403,MATCH(1,('Car Data'!$I$2:$I$403=U4)*('Car Data'!$C$2:$C$403=A4),0),2))</f>
        <v>Ferrari F355 Challenge</v>
      </c>
      <c r="U4" s="8">
        <f>MAXIFS('Car Data'!$I$2:$I$403,'Car Data'!$C$2:$C$403,A4)</f>
        <v>0.126</v>
      </c>
      <c r="V4" s="8" t="str">
        <f t="array" ref="V4">CONCATENATE(INDEX('Car Data'!$A$2:$E$403,MATCH(1,('Car Data'!$I$2:$I$403=W4)*('Car Data'!$C$2:$C$403=A4),0),1)," ",INDEX('Car Data'!$A$2:$E$403,MATCH(1,('Car Data'!$I$2:$I$403=W4)*('Car Data'!$C$2:$C$403=A4),0),2))</f>
        <v>Ferrari F355 Challenge</v>
      </c>
      <c r="W4" s="8">
        <f>MINIFS('Car Data'!$I$2:$I$403,'Car Data'!$C$2:$C$403,A4)</f>
        <v>0.126</v>
      </c>
      <c r="X4" s="8">
        <f>ROUND(AVERAGEIFS('Car Data'!$I$2:$I$403,'Car Data'!$C$2:$C$403,A4),2)</f>
        <v>0.13</v>
      </c>
      <c r="Y4" s="8" t="str">
        <f>IFERROR(__xludf.DUMMYFUNCTION("ROUND(STDEV(FILTER('Car Data'!$I$2:$I$403,'Car Data'!$C$2:$C$403=A4)),2)"),"#DIV/0!")</f>
        <v>#DIV/0!</v>
      </c>
    </row>
    <row r="5">
      <c r="A5" s="6" t="s">
        <v>288</v>
      </c>
      <c r="B5" s="11" t="str">
        <f t="array" ref="B5">CONCATENATE(INDEX('Car Data'!$A$2:$E$403,MATCH(1,('Car Data'!$D$2:$D$403=C5)*('Car Data'!$C$2:$C$403=A5),0),1)," ",INDEX('Car Data'!$A$2:$E$403,MATCH(1,('Car Data'!$D$2:$D$403=C5)*('Car Data'!$C$2:$C$403=A5),0),2))</f>
        <v>Ferrari 458 Challenge (APAC)</v>
      </c>
      <c r="C5" s="11">
        <f>MAXIFS('Car Data'!$D$2:$D$403,'Car Data'!$C$2:$C$403,A5)</f>
        <v>181</v>
      </c>
      <c r="D5" s="11" t="str">
        <f t="array" ref="D5">CONCATENATE(INDEX('Car Data'!$A$2:$E$403,MATCH(1,('Car Data'!$D$2:$D$403=E5)*('Car Data'!$C$2:$C$403=A5),0),1)," ",INDEX('Car Data'!$A$2:$E$403,MATCH(1,('Car Data'!$D$2:$D$403=E5)*('Car Data'!$C$2:$C$403=A5),0),2))</f>
        <v>Ferrari 458 Challenge (APAC)</v>
      </c>
      <c r="E5" s="11">
        <f>MINIFS('Car Data'!$D$2:$D$403,'Car Data'!$C$2:$C$403,A5)</f>
        <v>181</v>
      </c>
      <c r="F5" s="11">
        <f>ROUND(AVERAGEIFS('Car Data'!$D$2:$D$403,'Car Data'!$C$2:$C$403,A5),2)</f>
        <v>181</v>
      </c>
      <c r="G5" s="11">
        <f>IFERROR(__xludf.DUMMYFUNCTION("ROUND(STDEV(FILTER('Car Data'!$D$2:$D$403,'Car Data'!$C$2:$C$403=A5)),2)"),0.0)</f>
        <v>0</v>
      </c>
      <c r="H5" s="11" t="str">
        <f t="array" ref="H5">CONCATENATE(INDEX('Car Data'!$A$2:$E$403,MATCH(1,('Car Data'!$F$2:$F$403=I5)*('Car Data'!$C$2:$C$403=A5),0),1)," ",INDEX('Car Data'!$A$2:$E$403,MATCH(1,('Car Data'!$F$2:$F$403=I5)*('Car Data'!$C$2:$C$403=A5),0),2))</f>
        <v>Ferrari 458 Challenge (APAC)</v>
      </c>
      <c r="I5" s="11">
        <f>MAXIFS('Car Data'!$F$2:$F$403,'Car Data'!$C$2:$C$403,A5)</f>
        <v>646</v>
      </c>
      <c r="J5" s="11" t="str">
        <f t="array" ref="J5">CONCATENATE(INDEX('Car Data'!$A$2:$E$403,MATCH(1,('Car Data'!$F$2:$F$403=K5)*('Car Data'!$C$2:$C$403=A5),0),1)," ",INDEX('Car Data'!$A$2:$E$403,MATCH(1,('Car Data'!$F$2:$F$403=K5)*('Car Data'!$C$2:$C$403=A5),0),2))</f>
        <v>Ferrari 458 Challenge (APAC)</v>
      </c>
      <c r="K5" s="11">
        <f>MINIFS('Car Data'!$F$2:$F$403,'Car Data'!$C$2:$C$403,A5)</f>
        <v>646</v>
      </c>
      <c r="L5" s="11">
        <f>ROUND(AVERAGEIFS('Car Data'!$F$2:$F$403,'Car Data'!$C$2:$C$403,A5),2)</f>
        <v>646</v>
      </c>
      <c r="M5" s="11">
        <f>IFERROR(__xludf.DUMMYFUNCTION("ROUND(STDEV(FILTER('Car Data'!$F$2:$F$403,'Car Data'!$C$2:$C$403=A5)),2)"),0.0)</f>
        <v>0</v>
      </c>
      <c r="N5" s="11" t="str">
        <f t="array" ref="N5">CONCATENATE(INDEX('Car Data'!$A$2:$E$403,MATCH(1,('Car Data'!$G$2:$G$403=O5)*('Car Data'!$C$2:$C$403=A5),0),1)," ",INDEX('Car Data'!$A$2:$E$403,MATCH(1,('Car Data'!$G$2:$G$403=O5)*('Car Data'!$C$2:$C$403=A5),0),2))</f>
        <v>Ferrari 458 Challenge (APAC)</v>
      </c>
      <c r="O5" s="15">
        <f>MAXIFS('Car Data'!$G$2:$G$403,'Car Data'!$C$2:$C$403,A5)</f>
        <v>9.2</v>
      </c>
      <c r="P5" s="15" t="str">
        <f t="array" ref="P5">CONCATENATE(INDEX('Car Data'!$A$2:$E$403,MATCH(1,('Car Data'!$G$2:$G$403=Q5)*('Car Data'!$C$2:$C$403=A5),0),1)," ",INDEX('Car Data'!$A$2:$E$403,MATCH(1,('Car Data'!$G$2:$G$403=Q5)*('Car Data'!$C$2:$C$403=A5),0),2))</f>
        <v>Ferrari 458 Challenge (APAC)</v>
      </c>
      <c r="Q5" s="11">
        <f>MINIFS('Car Data'!$G$2:$G$403,'Car Data'!$C$2:$C$403,A5)</f>
        <v>9.2</v>
      </c>
      <c r="R5" s="11">
        <f>ROUND(AVERAGEIFS('Car Data'!$G$2:$G$403,'Car Data'!$C$2:$C$403,A5),2)</f>
        <v>9.2</v>
      </c>
      <c r="S5" s="11">
        <f>IFERROR(__xludf.DUMMYFUNCTION("ROUND(STDEV(FILTER('Car Data'!$G$2:$G$403,'Car Data'!$C$2:$C$403=A5)),2)"),0.0)</f>
        <v>0</v>
      </c>
      <c r="T5" s="11" t="str">
        <f t="array" ref="T5">CONCATENATE(INDEX('Car Data'!$A$2:$E$403,MATCH(1,('Car Data'!$I$2:$I$403=U5)*('Car Data'!$C$2:$C$403=A5),0),1)," ",INDEX('Car Data'!$A$2:$E$403,MATCH(1,('Car Data'!$I$2:$I$403=U5)*('Car Data'!$C$2:$C$403=A5),0),2))</f>
        <v>Ferrari 458 Challenge (APAC)</v>
      </c>
      <c r="U5" s="11">
        <f>MAXIFS('Car Data'!$I$2:$I$403,'Car Data'!$C$2:$C$403,A5)</f>
        <v>0.219</v>
      </c>
      <c r="V5" s="11" t="str">
        <f t="array" ref="V5">CONCATENATE(INDEX('Car Data'!$A$2:$E$403,MATCH(1,('Car Data'!$I$2:$I$403=W5)*('Car Data'!$C$2:$C$403=A5),0),1)," ",INDEX('Car Data'!$A$2:$E$403,MATCH(1,('Car Data'!$I$2:$I$403=W5)*('Car Data'!$C$2:$C$403=A5),0),2))</f>
        <v>Ferrari 458 Challenge (APAC)</v>
      </c>
      <c r="W5" s="11">
        <f>MINIFS('Car Data'!$I$2:$I$403,'Car Data'!$C$2:$C$403,A5)</f>
        <v>0.219</v>
      </c>
      <c r="X5" s="11">
        <f>ROUND(AVERAGEIFS('Car Data'!$I$2:$I$403,'Car Data'!$C$2:$C$403,A5),2)</f>
        <v>0.22</v>
      </c>
      <c r="Y5" s="11">
        <f>IFERROR(__xludf.DUMMYFUNCTION("ROUND(STDEV(FILTER('Car Data'!$I$2:$I$403,'Car Data'!$C$2:$C$403=A5)),2)"),0.0)</f>
        <v>0</v>
      </c>
    </row>
    <row r="6">
      <c r="A6" s="3" t="s">
        <v>34</v>
      </c>
      <c r="B6" s="8" t="str">
        <f t="array" ref="B6">CONCATENATE(INDEX('Car Data'!$A$2:$E$403,MATCH(1,('Car Data'!$D$2:$D$403=C6)*('Car Data'!$C$2:$C$403=A6),0),1)," ",INDEX('Car Data'!$A$2:$E$403,MATCH(1,('Car Data'!$D$2:$D$403=C6)*('Car Data'!$C$2:$C$403=A6),0),2))</f>
        <v>SMS Formula A [ICE + hybrid]</v>
      </c>
      <c r="C6" s="8">
        <f>MAXIFS('Car Data'!$D$2:$D$403,'Car Data'!$C$2:$C$403,A6)</f>
        <v>226</v>
      </c>
      <c r="D6" s="8" t="str">
        <f t="array" ref="D6">CONCATENATE(INDEX('Car Data'!$A$2:$E$403,MATCH(1,('Car Data'!$D$2:$D$403=E6)*('Car Data'!$C$2:$C$403=A6),0),1)," ",INDEX('Car Data'!$A$2:$E$403,MATCH(1,('Car Data'!$D$2:$D$403=E6)*('Car Data'!$C$2:$C$403=A6),0),2))</f>
        <v>SMS Formula A [ICE only]</v>
      </c>
      <c r="E6" s="8">
        <f>MINIFS('Car Data'!$D$2:$D$403,'Car Data'!$C$2:$C$403,A6)</f>
        <v>221</v>
      </c>
      <c r="F6" s="8">
        <f>ROUND(AVERAGEIFS('Car Data'!$D$2:$D$403,'Car Data'!$C$2:$C$403,A6),2)</f>
        <v>223.5</v>
      </c>
      <c r="G6" s="8">
        <f>IFERROR(__xludf.DUMMYFUNCTION("ROUND(STDEV(FILTER('Car Data'!$D$2:$D$403,'Car Data'!$C$2:$C$403=A6)),2)"),3.54)</f>
        <v>3.54</v>
      </c>
      <c r="H6" s="8" t="str">
        <f t="array" ref="H6">CONCATENATE(INDEX('Car Data'!$A$2:$E$403,MATCH(1,('Car Data'!$F$2:$F$403=I6)*('Car Data'!$C$2:$C$403=A6),0),1)," ",INDEX('Car Data'!$A$2:$E$403,MATCH(1,('Car Data'!$F$2:$F$403=I6)*('Car Data'!$C$2:$C$403=A6),0),2))</f>
        <v>SMS Formula A [ICE + hybrid]</v>
      </c>
      <c r="I6" s="8">
        <f>MAXIFS('Car Data'!$F$2:$F$403,'Car Data'!$C$2:$C$403,A6)</f>
        <v>838</v>
      </c>
      <c r="J6" s="8" t="str">
        <f t="array" ref="J6">CONCATENATE(INDEX('Car Data'!$A$2:$E$403,MATCH(1,('Car Data'!$F$2:$F$403=K6)*('Car Data'!$C$2:$C$403=A6),0),1)," ",INDEX('Car Data'!$A$2:$E$403,MATCH(1,('Car Data'!$F$2:$F$403=K6)*('Car Data'!$C$2:$C$403=A6),0),2))</f>
        <v>SMS Formula A [ICE only]</v>
      </c>
      <c r="K6" s="8">
        <f>MINIFS('Car Data'!$F$2:$F$403,'Car Data'!$C$2:$C$403,A6)</f>
        <v>758</v>
      </c>
      <c r="L6" s="8">
        <f>ROUND(AVERAGEIFS('Car Data'!$F$2:$F$403,'Car Data'!$C$2:$C$403,A6),2)</f>
        <v>798</v>
      </c>
      <c r="M6" s="8">
        <f>IFERROR(__xludf.DUMMYFUNCTION("ROUND(STDEV(FILTER('Car Data'!$F$2:$F$403,'Car Data'!$C$2:$C$403=A6)),2)"),56.57)</f>
        <v>56.57</v>
      </c>
      <c r="N6" s="8" t="str">
        <f t="array" ref="N6">CONCATENATE(INDEX('Car Data'!$A$2:$E$403,MATCH(1,('Car Data'!$G$2:$G$403=O6)*('Car Data'!$C$2:$C$403=A6),0),1)," ",INDEX('Car Data'!$A$2:$E$403,MATCH(1,('Car Data'!$G$2:$G$403=O6)*('Car Data'!$C$2:$C$403=A6),0),2))</f>
        <v>SMS Formula A [ICE only]</v>
      </c>
      <c r="O6" s="14">
        <f>MAXIFS('Car Data'!$G$2:$G$403,'Car Data'!$C$2:$C$403,A6)</f>
        <v>14.2</v>
      </c>
      <c r="P6" s="14" t="str">
        <f t="array" ref="P6">CONCATENATE(INDEX('Car Data'!$A$2:$E$403,MATCH(1,('Car Data'!$G$2:$G$403=Q6)*('Car Data'!$C$2:$C$403=A6),0),1)," ",INDEX('Car Data'!$A$2:$E$403,MATCH(1,('Car Data'!$G$2:$G$403=Q6)*('Car Data'!$C$2:$C$403=A6),0),2))</f>
        <v>SMS Formula A [ICE + hybrid]</v>
      </c>
      <c r="Q6" s="8">
        <f>MINIFS('Car Data'!$G$2:$G$403,'Car Data'!$C$2:$C$403,A6)</f>
        <v>13.8</v>
      </c>
      <c r="R6" s="8">
        <f>ROUND(AVERAGEIFS('Car Data'!$G$2:$G$403,'Car Data'!$C$2:$C$403,A6),2)</f>
        <v>14</v>
      </c>
      <c r="S6" s="8">
        <f>IFERROR(__xludf.DUMMYFUNCTION("ROUND(STDEV(FILTER('Car Data'!$G$2:$G$403,'Car Data'!$C$2:$C$403=A6)),2)"),0.28)</f>
        <v>0.28</v>
      </c>
      <c r="T6" s="8" t="str">
        <f t="array" ref="T6">CONCATENATE(INDEX('Car Data'!$A$2:$E$403,MATCH(1,('Car Data'!$I$2:$I$403=U6)*('Car Data'!$C$2:$C$403=A6),0),1)," ",INDEX('Car Data'!$A$2:$E$403,MATCH(1,('Car Data'!$I$2:$I$403=U6)*('Car Data'!$C$2:$C$403=A6),0),2))</f>
        <v>SMS Formula A [ICE + hybrid]</v>
      </c>
      <c r="U6" s="8">
        <f>MAXIFS('Car Data'!$I$2:$I$403,'Car Data'!$C$2:$C$403,A6)</f>
        <v>0.585</v>
      </c>
      <c r="V6" s="8" t="str">
        <f t="array" ref="V6">CONCATENATE(INDEX('Car Data'!$A$2:$E$403,MATCH(1,('Car Data'!$I$2:$I$403=W6)*('Car Data'!$C$2:$C$403=A6),0),1)," ",INDEX('Car Data'!$A$2:$E$403,MATCH(1,('Car Data'!$I$2:$I$403=W6)*('Car Data'!$C$2:$C$403=A6),0),2))</f>
        <v>SMS Formula A [ICE only]</v>
      </c>
      <c r="W6" s="8">
        <f>MINIFS('Car Data'!$I$2:$I$403,'Car Data'!$C$2:$C$403,A6)</f>
        <v>0.529</v>
      </c>
      <c r="X6" s="8">
        <f>ROUND(AVERAGEIFS('Car Data'!$I$2:$I$403,'Car Data'!$C$2:$C$403,A6),2)</f>
        <v>0.56</v>
      </c>
      <c r="Y6" s="8">
        <f>IFERROR(__xludf.DUMMYFUNCTION("ROUND(STDEV(FILTER('Car Data'!$I$2:$I$403,'Car Data'!$C$2:$C$403=A6)),2)"),0.04)</f>
        <v>0.04</v>
      </c>
    </row>
    <row r="7">
      <c r="A7" s="6" t="s">
        <v>397</v>
      </c>
      <c r="B7" s="11" t="str">
        <f t="array" ref="B7">CONCATENATE(INDEX('Car Data'!$A$2:$E$403,MATCH(1,('Car Data'!$D$2:$D$403=C7)*('Car Data'!$C$2:$C$403=A7),0),1)," ",INDEX('Car Data'!$A$2:$E$403,MATCH(1,('Car Data'!$D$2:$D$403=C7)*('Car Data'!$C$2:$C$403=A7),0),2))</f>
        <v>SMS Formula C</v>
      </c>
      <c r="C7" s="11">
        <f>MAXIFS('Car Data'!$D$2:$D$403,'Car Data'!$C$2:$C$403,A7)</f>
        <v>164</v>
      </c>
      <c r="D7" s="11" t="str">
        <f t="array" ref="D7">CONCATENATE(INDEX('Car Data'!$A$2:$E$403,MATCH(1,('Car Data'!$D$2:$D$403=E7)*('Car Data'!$C$2:$C$403=A7),0),1)," ",INDEX('Car Data'!$A$2:$E$403,MATCH(1,('Car Data'!$D$2:$D$403=E7)*('Car Data'!$C$2:$C$403=A7),0),2))</f>
        <v>SMS Formula C</v>
      </c>
      <c r="E7" s="11">
        <f>MINIFS('Car Data'!$D$2:$D$403,'Car Data'!$C$2:$C$403,A7)</f>
        <v>164</v>
      </c>
      <c r="F7" s="11">
        <f>ROUND(AVERAGEIFS('Car Data'!$D$2:$D$403,'Car Data'!$C$2:$C$403,A7),2)</f>
        <v>164</v>
      </c>
      <c r="G7" s="11" t="str">
        <f>IFERROR(__xludf.DUMMYFUNCTION("ROUND(STDEV(FILTER('Car Data'!$D$2:$D$403,'Car Data'!$C$2:$C$403=A7)),2)"),"#DIV/0!")</f>
        <v>#DIV/0!</v>
      </c>
      <c r="H7" s="11" t="str">
        <f t="array" ref="H7">CONCATENATE(INDEX('Car Data'!$A$2:$E$403,MATCH(1,('Car Data'!$F$2:$F$403=I7)*('Car Data'!$C$2:$C$403=A7),0),1)," ",INDEX('Car Data'!$A$2:$E$403,MATCH(1,('Car Data'!$F$2:$F$403=I7)*('Car Data'!$C$2:$C$403=A7),0),2))</f>
        <v>SMS Formula C</v>
      </c>
      <c r="I7" s="11">
        <f>MAXIFS('Car Data'!$F$2:$F$403,'Car Data'!$C$2:$C$403,A7)</f>
        <v>204</v>
      </c>
      <c r="J7" s="11" t="str">
        <f t="array" ref="J7">CONCATENATE(INDEX('Car Data'!$A$2:$E$403,MATCH(1,('Car Data'!$F$2:$F$403=K7)*('Car Data'!$C$2:$C$403=A7),0),1)," ",INDEX('Car Data'!$A$2:$E$403,MATCH(1,('Car Data'!$F$2:$F$403=K7)*('Car Data'!$C$2:$C$403=A7),0),2))</f>
        <v>SMS Formula C</v>
      </c>
      <c r="K7" s="11">
        <f>MINIFS('Car Data'!$F$2:$F$403,'Car Data'!$C$2:$C$403,A7)</f>
        <v>204</v>
      </c>
      <c r="L7" s="11">
        <f>ROUND(AVERAGEIFS('Car Data'!$F$2:$F$403,'Car Data'!$C$2:$C$403,A7),2)</f>
        <v>204</v>
      </c>
      <c r="M7" s="11" t="str">
        <f>IFERROR(__xludf.DUMMYFUNCTION("ROUND(STDEV(FILTER('Car Data'!$F$2:$F$403,'Car Data'!$C$2:$C$403=A7)),2)"),"#DIV/0!")</f>
        <v>#DIV/0!</v>
      </c>
      <c r="N7" s="11" t="str">
        <f t="array" ref="N7">CONCATENATE(INDEX('Car Data'!$A$2:$E$403,MATCH(1,('Car Data'!$G$2:$G$403=O7)*('Car Data'!$C$2:$C$403=A7),0),1)," ",INDEX('Car Data'!$A$2:$E$403,MATCH(1,('Car Data'!$G$2:$G$403=O7)*('Car Data'!$C$2:$C$403=A7),0),2))</f>
        <v>SMS Formula C</v>
      </c>
      <c r="O7" s="15">
        <f>MAXIFS('Car Data'!$G$2:$G$403,'Car Data'!$C$2:$C$403,A7)</f>
        <v>21.6</v>
      </c>
      <c r="P7" s="15" t="str">
        <f t="array" ref="P7">CONCATENATE(INDEX('Car Data'!$A$2:$E$403,MATCH(1,('Car Data'!$G$2:$G$403=Q7)*('Car Data'!$C$2:$C$403=A7),0),1)," ",INDEX('Car Data'!$A$2:$E$403,MATCH(1,('Car Data'!$G$2:$G$403=Q7)*('Car Data'!$C$2:$C$403=A7),0),2))</f>
        <v>SMS Formula C</v>
      </c>
      <c r="Q7" s="11">
        <f>MINIFS('Car Data'!$G$2:$G$403,'Car Data'!$C$2:$C$403,A7)</f>
        <v>21.6</v>
      </c>
      <c r="R7" s="11">
        <f>ROUND(AVERAGEIFS('Car Data'!$G$2:$G$403,'Car Data'!$C$2:$C$403,A7),2)</f>
        <v>21.6</v>
      </c>
      <c r="S7" s="11" t="str">
        <f>IFERROR(__xludf.DUMMYFUNCTION("ROUND(STDEV(FILTER('Car Data'!$G$2:$G$403,'Car Data'!$C$2:$C$403=A7)),2)"),"#DIV/0!")</f>
        <v>#DIV/0!</v>
      </c>
      <c r="T7" s="11" t="str">
        <f t="array" ref="T7">CONCATENATE(INDEX('Car Data'!$A$2:$E$403,MATCH(1,('Car Data'!$I$2:$I$403=U7)*('Car Data'!$C$2:$C$403=A7),0),1)," ",INDEX('Car Data'!$A$2:$E$403,MATCH(1,('Car Data'!$I$2:$I$403=U7)*('Car Data'!$C$2:$C$403=A7),0),2))</f>
        <v>SMS Formula C</v>
      </c>
      <c r="U7" s="11">
        <f>MAXIFS('Car Data'!$I$2:$I$403,'Car Data'!$C$2:$C$403,A7)</f>
        <v>0.185</v>
      </c>
      <c r="V7" s="11" t="str">
        <f t="array" ref="V7">CONCATENATE(INDEX('Car Data'!$A$2:$E$403,MATCH(1,('Car Data'!$I$2:$I$403=W7)*('Car Data'!$C$2:$C$403=A7),0),1)," ",INDEX('Car Data'!$A$2:$E$403,MATCH(1,('Car Data'!$I$2:$I$403=W7)*('Car Data'!$C$2:$C$403=A7),0),2))</f>
        <v>SMS Formula C</v>
      </c>
      <c r="W7" s="11">
        <f>MINIFS('Car Data'!$I$2:$I$403,'Car Data'!$C$2:$C$403,A7)</f>
        <v>0.185</v>
      </c>
      <c r="X7" s="11">
        <f>ROUND(AVERAGEIFS('Car Data'!$I$2:$I$403,'Car Data'!$C$2:$C$403,A7),2)</f>
        <v>0.19</v>
      </c>
      <c r="Y7" s="11" t="str">
        <f>IFERROR(__xludf.DUMMYFUNCTION("ROUND(STDEV(FILTER('Car Data'!$I$2:$I$403,'Car Data'!$C$2:$C$403=A7)),2)"),"#DIV/0!")</f>
        <v>#DIV/0!</v>
      </c>
    </row>
    <row r="8">
      <c r="A8" s="3" t="s">
        <v>94</v>
      </c>
      <c r="B8" s="8" t="str">
        <f t="array" ref="B8">CONCATENATE(INDEX('Car Data'!$A$2:$E$403,MATCH(1,('Car Data'!$D$2:$D$403=C8)*('Car Data'!$C$2:$C$403=A8),0),1)," ",INDEX('Car Data'!$A$2:$E$403,MATCH(1,('Car Data'!$D$2:$D$403=C8)*('Car Data'!$C$2:$C$403=A8),0),2))</f>
        <v>Renault Formula Renault 3.5</v>
      </c>
      <c r="C8" s="8">
        <f>MAXIFS('Car Data'!$D$2:$D$403,'Car Data'!$C$2:$C$403,A8)</f>
        <v>188</v>
      </c>
      <c r="D8" s="8" t="str">
        <f t="array" ref="D8">CONCATENATE(INDEX('Car Data'!$A$2:$E$403,MATCH(1,('Car Data'!$D$2:$D$403=E8)*('Car Data'!$C$2:$C$403=A8),0),1)," ",INDEX('Car Data'!$A$2:$E$403,MATCH(1,('Car Data'!$D$2:$D$403=E8)*('Car Data'!$C$2:$C$403=A8),0),2))</f>
        <v>Renault Formula Renault 3.5</v>
      </c>
      <c r="E8" s="8">
        <f>MINIFS('Car Data'!$D$2:$D$403,'Car Data'!$C$2:$C$403,A8)</f>
        <v>188</v>
      </c>
      <c r="F8" s="8">
        <f>ROUND(AVERAGEIFS('Car Data'!$D$2:$D$403,'Car Data'!$C$2:$C$403,A8),2)</f>
        <v>188</v>
      </c>
      <c r="G8" s="8" t="str">
        <f>IFERROR(__xludf.DUMMYFUNCTION("ROUND(STDEV(FILTER('Car Data'!$D$2:$D$403,'Car Data'!$C$2:$C$403=A8)),2)"),"#DIV/0!")</f>
        <v>#DIV/0!</v>
      </c>
      <c r="H8" s="8" t="str">
        <f t="array" ref="H8">CONCATENATE(INDEX('Car Data'!$A$2:$E$403,MATCH(1,('Car Data'!$F$2:$F$403=I8)*('Car Data'!$C$2:$C$403=A8),0),1)," ",INDEX('Car Data'!$A$2:$E$403,MATCH(1,('Car Data'!$F$2:$F$403=I8)*('Car Data'!$C$2:$C$403=A8),0),2))</f>
        <v>Renault Formula Renault 3.5</v>
      </c>
      <c r="I8" s="8">
        <f>MAXIFS('Car Data'!$F$2:$F$403,'Car Data'!$C$2:$C$403,A8)</f>
        <v>534</v>
      </c>
      <c r="J8" s="8" t="str">
        <f t="array" ref="J8">CONCATENATE(INDEX('Car Data'!$A$2:$E$403,MATCH(1,('Car Data'!$F$2:$F$403=K8)*('Car Data'!$C$2:$C$403=A8),0),1)," ",INDEX('Car Data'!$A$2:$E$403,MATCH(1,('Car Data'!$F$2:$F$403=K8)*('Car Data'!$C$2:$C$403=A8),0),2))</f>
        <v>Renault Formula Renault 3.5</v>
      </c>
      <c r="K8" s="8">
        <f>MINIFS('Car Data'!$F$2:$F$403,'Car Data'!$C$2:$C$403,A8)</f>
        <v>534</v>
      </c>
      <c r="L8" s="8">
        <f>ROUND(AVERAGEIFS('Car Data'!$F$2:$F$403,'Car Data'!$C$2:$C$403,A8),2)</f>
        <v>534</v>
      </c>
      <c r="M8" s="8" t="str">
        <f>IFERROR(__xludf.DUMMYFUNCTION("ROUND(STDEV(FILTER('Car Data'!$F$2:$F$403,'Car Data'!$C$2:$C$403=A8)),2)"),"#DIV/0!")</f>
        <v>#DIV/0!</v>
      </c>
      <c r="N8" s="8" t="str">
        <f t="array" ref="N8">CONCATENATE(INDEX('Car Data'!$A$2:$E$403,MATCH(1,('Car Data'!$G$2:$G$403=O8)*('Car Data'!$C$2:$C$403=A8),0),1)," ",INDEX('Car Data'!$A$2:$E$403,MATCH(1,('Car Data'!$G$2:$G$403=O8)*('Car Data'!$C$2:$C$403=A8),0),2))</f>
        <v>Renault Formula Renault 3.5</v>
      </c>
      <c r="O8" s="14">
        <f>MAXIFS('Car Data'!$G$2:$G$403,'Car Data'!$C$2:$C$403,A8)</f>
        <v>12.4</v>
      </c>
      <c r="P8" s="14" t="str">
        <f t="array" ref="P8">CONCATENATE(INDEX('Car Data'!$A$2:$E$403,MATCH(1,('Car Data'!$G$2:$G$403=Q8)*('Car Data'!$C$2:$C$403=A8),0),1)," ",INDEX('Car Data'!$A$2:$E$403,MATCH(1,('Car Data'!$G$2:$G$403=Q8)*('Car Data'!$C$2:$C$403=A8),0),2))</f>
        <v>Renault Formula Renault 3.5</v>
      </c>
      <c r="Q8" s="8">
        <f>MINIFS('Car Data'!$G$2:$G$403,'Car Data'!$C$2:$C$403,A8)</f>
        <v>12.4</v>
      </c>
      <c r="R8" s="8">
        <f>ROUND(AVERAGEIFS('Car Data'!$G$2:$G$403,'Car Data'!$C$2:$C$403,A8),2)</f>
        <v>12.4</v>
      </c>
      <c r="S8" s="8" t="str">
        <f>IFERROR(__xludf.DUMMYFUNCTION("ROUND(STDEV(FILTER('Car Data'!$G$2:$G$403,'Car Data'!$C$2:$C$403=A8)),2)"),"#DIV/0!")</f>
        <v>#DIV/0!</v>
      </c>
      <c r="T8" s="8" t="str">
        <f t="array" ref="T8">CONCATENATE(INDEX('Car Data'!$A$2:$E$403,MATCH(1,('Car Data'!$I$2:$I$403=U8)*('Car Data'!$C$2:$C$403=A8),0),1)," ",INDEX('Car Data'!$A$2:$E$403,MATCH(1,('Car Data'!$I$2:$I$403=U8)*('Car Data'!$C$2:$C$403=A8),0),2))</f>
        <v>Renault Formula Renault 3.5</v>
      </c>
      <c r="U8" s="8">
        <f>MAXIFS('Car Data'!$I$2:$I$403,'Car Data'!$C$2:$C$403,A8)</f>
        <v>0.389</v>
      </c>
      <c r="V8" s="8" t="str">
        <f t="array" ref="V8">CONCATENATE(INDEX('Car Data'!$A$2:$E$403,MATCH(1,('Car Data'!$I$2:$I$403=W8)*('Car Data'!$C$2:$C$403=A8),0),1)," ",INDEX('Car Data'!$A$2:$E$403,MATCH(1,('Car Data'!$I$2:$I$403=W8)*('Car Data'!$C$2:$C$403=A8),0),2))</f>
        <v>Renault Formula Renault 3.5</v>
      </c>
      <c r="W8" s="8">
        <f>MINIFS('Car Data'!$I$2:$I$403,'Car Data'!$C$2:$C$403,A8)</f>
        <v>0.389</v>
      </c>
      <c r="X8" s="8">
        <f>ROUND(AVERAGEIFS('Car Data'!$I$2:$I$403,'Car Data'!$C$2:$C$403,A8),2)</f>
        <v>0.39</v>
      </c>
      <c r="Y8" s="8" t="str">
        <f>IFERROR(__xludf.DUMMYFUNCTION("ROUND(STDEV(FILTER('Car Data'!$I$2:$I$403,'Car Data'!$C$2:$C$403=A8)),2)"),"#DIV/0!")</f>
        <v>#DIV/0!</v>
      </c>
    </row>
    <row r="9">
      <c r="A9" s="6" t="s">
        <v>527</v>
      </c>
      <c r="B9" s="11" t="str">
        <f t="array" ref="B9">CONCATENATE(INDEX('Car Data'!$A$2:$E$403,MATCH(1,('Car Data'!$D$2:$D$403=C9)*('Car Data'!$C$2:$C$403=A9),0),1)," ",INDEX('Car Data'!$A$2:$E$403,MATCH(1,('Car Data'!$D$2:$D$403=C9)*('Car Data'!$C$2:$C$403=A9),0),2))</f>
        <v>SMS Formula Rookie</v>
      </c>
      <c r="C9" s="11">
        <f>MAXIFS('Car Data'!$D$2:$D$403,'Car Data'!$C$2:$C$403,A9)</f>
        <v>130</v>
      </c>
      <c r="D9" s="11" t="str">
        <f t="array" ref="D9">CONCATENATE(INDEX('Car Data'!$A$2:$E$403,MATCH(1,('Car Data'!$D$2:$D$403=E9)*('Car Data'!$C$2:$C$403=A9),0),1)," ",INDEX('Car Data'!$A$2:$E$403,MATCH(1,('Car Data'!$D$2:$D$403=E9)*('Car Data'!$C$2:$C$403=A9),0),2))</f>
        <v>SMS Formula Rookie</v>
      </c>
      <c r="E9" s="11">
        <f>MINIFS('Car Data'!$D$2:$D$403,'Car Data'!$C$2:$C$403,A9)</f>
        <v>130</v>
      </c>
      <c r="F9" s="11">
        <f>ROUND(AVERAGEIFS('Car Data'!$D$2:$D$403,'Car Data'!$C$2:$C$403,A9),2)</f>
        <v>130</v>
      </c>
      <c r="G9" s="11" t="str">
        <f>IFERROR(__xludf.DUMMYFUNCTION("ROUND(STDEV(FILTER('Car Data'!$D$2:$D$403,'Car Data'!$C$2:$C$403=A9)),2)"),"#DIV/0!")</f>
        <v>#DIV/0!</v>
      </c>
      <c r="H9" s="11" t="str">
        <f t="array" ref="H9">CONCATENATE(INDEX('Car Data'!$A$2:$E$403,MATCH(1,('Car Data'!$F$2:$F$403=I9)*('Car Data'!$C$2:$C$403=A9),0),1)," ",INDEX('Car Data'!$A$2:$E$403,MATCH(1,('Car Data'!$F$2:$F$403=I9)*('Car Data'!$C$2:$C$403=A9),0),2))</f>
        <v>SMS Formula Rookie</v>
      </c>
      <c r="I9" s="11">
        <f>MAXIFS('Car Data'!$F$2:$F$403,'Car Data'!$C$2:$C$403,A9)</f>
        <v>106</v>
      </c>
      <c r="J9" s="11" t="str">
        <f t="array" ref="J9">CONCATENATE(INDEX('Car Data'!$A$2:$E$403,MATCH(1,('Car Data'!$F$2:$F$403=K9)*('Car Data'!$C$2:$C$403=A9),0),1)," ",INDEX('Car Data'!$A$2:$E$403,MATCH(1,('Car Data'!$F$2:$F$403=K9)*('Car Data'!$C$2:$C$403=A9),0),2))</f>
        <v>SMS Formula Rookie</v>
      </c>
      <c r="K9" s="11">
        <f>MINIFS('Car Data'!$F$2:$F$403,'Car Data'!$C$2:$C$403,A9)</f>
        <v>106</v>
      </c>
      <c r="L9" s="11">
        <f>ROUND(AVERAGEIFS('Car Data'!$F$2:$F$403,'Car Data'!$C$2:$C$403,A9),2)</f>
        <v>106</v>
      </c>
      <c r="M9" s="11" t="str">
        <f>IFERROR(__xludf.DUMMYFUNCTION("ROUND(STDEV(FILTER('Car Data'!$F$2:$F$403,'Car Data'!$C$2:$C$403=A9)),2)"),"#DIV/0!")</f>
        <v>#DIV/0!</v>
      </c>
      <c r="N9" s="11" t="str">
        <f t="array" ref="N9">CONCATENATE(INDEX('Car Data'!$A$2:$E$403,MATCH(1,('Car Data'!$G$2:$G$403=O9)*('Car Data'!$C$2:$C$403=A9),0),1)," ",INDEX('Car Data'!$A$2:$E$403,MATCH(1,('Car Data'!$G$2:$G$403=O9)*('Car Data'!$C$2:$C$403=A9),0),2))</f>
        <v>SMS Formula Rookie</v>
      </c>
      <c r="O9" s="15">
        <f>MAXIFS('Car Data'!$G$2:$G$403,'Car Data'!$C$2:$C$403,A9)</f>
        <v>20.7</v>
      </c>
      <c r="P9" s="15" t="str">
        <f t="array" ref="P9">CONCATENATE(INDEX('Car Data'!$A$2:$E$403,MATCH(1,('Car Data'!$G$2:$G$403=Q9)*('Car Data'!$C$2:$C$403=A9),0),1)," ",INDEX('Car Data'!$A$2:$E$403,MATCH(1,('Car Data'!$G$2:$G$403=Q9)*('Car Data'!$C$2:$C$403=A9),0),2))</f>
        <v>SMS Formula Rookie</v>
      </c>
      <c r="Q9" s="11">
        <f>MINIFS('Car Data'!$G$2:$G$403,'Car Data'!$C$2:$C$403,A9)</f>
        <v>20.7</v>
      </c>
      <c r="R9" s="11">
        <f>ROUND(AVERAGEIFS('Car Data'!$G$2:$G$403,'Car Data'!$C$2:$C$403,A9),2)</f>
        <v>20.7</v>
      </c>
      <c r="S9" s="11" t="str">
        <f>IFERROR(__xludf.DUMMYFUNCTION("ROUND(STDEV(FILTER('Car Data'!$G$2:$G$403,'Car Data'!$C$2:$C$403=A9)),2)"),"#DIV/0!")</f>
        <v>#DIV/0!</v>
      </c>
      <c r="T9" s="11" t="str">
        <f t="array" ref="T9">CONCATENATE(INDEX('Car Data'!$A$2:$E$403,MATCH(1,('Car Data'!$I$2:$I$403=U9)*('Car Data'!$C$2:$C$403=A9),0),1)," ",INDEX('Car Data'!$A$2:$E$403,MATCH(1,('Car Data'!$I$2:$I$403=U9)*('Car Data'!$C$2:$C$403=A9),0),2))</f>
        <v>SMS Formula Rookie</v>
      </c>
      <c r="U9" s="11">
        <f>MAXIFS('Car Data'!$I$2:$I$403,'Car Data'!$C$2:$C$403,A9)</f>
        <v>0.113</v>
      </c>
      <c r="V9" s="11" t="str">
        <f t="array" ref="V9">CONCATENATE(INDEX('Car Data'!$A$2:$E$403,MATCH(1,('Car Data'!$I$2:$I$403=W9)*('Car Data'!$C$2:$C$403=A9),0),1)," ",INDEX('Car Data'!$A$2:$E$403,MATCH(1,('Car Data'!$I$2:$I$403=W9)*('Car Data'!$C$2:$C$403=A9),0),2))</f>
        <v>SMS Formula Rookie</v>
      </c>
      <c r="W9" s="11">
        <f>MINIFS('Car Data'!$I$2:$I$403,'Car Data'!$C$2:$C$403,A9)</f>
        <v>0.113</v>
      </c>
      <c r="X9" s="11">
        <f>ROUND(AVERAGEIFS('Car Data'!$I$2:$I$403,'Car Data'!$C$2:$C$403,A9),2)</f>
        <v>0.11</v>
      </c>
      <c r="Y9" s="11" t="str">
        <f>IFERROR(__xludf.DUMMYFUNCTION("ROUND(STDEV(FILTER('Car Data'!$I$2:$I$403,'Car Data'!$C$2:$C$403=A9)),2)"),"#DIV/0!")</f>
        <v>#DIV/0!</v>
      </c>
    </row>
    <row r="10">
      <c r="A10" s="3" t="s">
        <v>18</v>
      </c>
      <c r="B10" s="8" t="str">
        <f t="array" ref="B10">CONCATENATE(INDEX('Car Data'!$A$2:$E$403,MATCH(1,('Car Data'!$D$2:$D$403=C10)*('Car Data'!$C$2:$C$403=A10),0),1)," ",INDEX('Car Data'!$A$2:$E$403,MATCH(1,('Car Data'!$D$2:$D$403=C10)*('Car Data'!$C$2:$C$403=A10),0),2))</f>
        <v>SMS Formula X [ICE + hybrid]</v>
      </c>
      <c r="C10" s="8">
        <f>MAXIFS('Car Data'!$D$2:$D$403,'Car Data'!$C$2:$C$403,A10)</f>
        <v>260</v>
      </c>
      <c r="D10" s="8" t="str">
        <f t="array" ref="D10">CONCATENATE(INDEX('Car Data'!$A$2:$E$403,MATCH(1,('Car Data'!$D$2:$D$403=E10)*('Car Data'!$C$2:$C$403=A10),0),1)," ",INDEX('Car Data'!$A$2:$E$403,MATCH(1,('Car Data'!$D$2:$D$403=E10)*('Car Data'!$C$2:$C$403=A10),0),2))</f>
        <v>SMS Formula X [ICE only]</v>
      </c>
      <c r="E10" s="8">
        <f>MINIFS('Car Data'!$D$2:$D$403,'Car Data'!$C$2:$C$403,A10)</f>
        <v>231</v>
      </c>
      <c r="F10" s="8">
        <f>ROUND(AVERAGEIFS('Car Data'!$D$2:$D$403,'Car Data'!$C$2:$C$403,A10),2)</f>
        <v>245.5</v>
      </c>
      <c r="G10" s="8">
        <f>IFERROR(__xludf.DUMMYFUNCTION("ROUND(STDEV(FILTER('Car Data'!$D$2:$D$403,'Car Data'!$C$2:$C$403=A10)),2)"),20.51)</f>
        <v>20.51</v>
      </c>
      <c r="H10" s="8" t="str">
        <f t="array" ref="H10">CONCATENATE(INDEX('Car Data'!$A$2:$E$403,MATCH(1,('Car Data'!$F$2:$F$403=I10)*('Car Data'!$C$2:$C$403=A10),0),1)," ",INDEX('Car Data'!$A$2:$E$403,MATCH(1,('Car Data'!$F$2:$F$403=I10)*('Car Data'!$C$2:$C$403=A10),0),2))</f>
        <v>SMS Formula X [ICE + hybrid]</v>
      </c>
      <c r="I10" s="8">
        <f>MAXIFS('Car Data'!$F$2:$F$403,'Car Data'!$C$2:$C$403,A10)</f>
        <v>1207</v>
      </c>
      <c r="J10" s="8" t="str">
        <f t="array" ref="J10">CONCATENATE(INDEX('Car Data'!$A$2:$E$403,MATCH(1,('Car Data'!$F$2:$F$403=K10)*('Car Data'!$C$2:$C$403=A10),0),1)," ",INDEX('Car Data'!$A$2:$E$403,MATCH(1,('Car Data'!$F$2:$F$403=K10)*('Car Data'!$C$2:$C$403=A10),0),2))</f>
        <v>SMS Formula X [ICE only]</v>
      </c>
      <c r="K10" s="8">
        <f>MINIFS('Car Data'!$F$2:$F$403,'Car Data'!$C$2:$C$403,A10)</f>
        <v>739</v>
      </c>
      <c r="L10" s="8">
        <f>ROUND(AVERAGEIFS('Car Data'!$F$2:$F$403,'Car Data'!$C$2:$C$403,A10),2)</f>
        <v>973</v>
      </c>
      <c r="M10" s="8">
        <f>IFERROR(__xludf.DUMMYFUNCTION("ROUND(STDEV(FILTER('Car Data'!$F$2:$F$403,'Car Data'!$C$2:$C$403=A10)),2)"),330.93)</f>
        <v>330.93</v>
      </c>
      <c r="N10" s="8" t="str">
        <f t="array" ref="N10">CONCATENATE(INDEX('Car Data'!$A$2:$E$403,MATCH(1,('Car Data'!$G$2:$G$403=O10)*('Car Data'!$C$2:$C$403=A10),0),1)," ",INDEX('Car Data'!$A$2:$E$403,MATCH(1,('Car Data'!$G$2:$G$403=O10)*('Car Data'!$C$2:$C$403=A10),0),2))</f>
        <v>SMS Formula X [ICE only]</v>
      </c>
      <c r="O10" s="14">
        <f>MAXIFS('Car Data'!$G$2:$G$403,'Car Data'!$C$2:$C$403,A10)</f>
        <v>16.7</v>
      </c>
      <c r="P10" s="14" t="str">
        <f t="array" ref="P10">CONCATENATE(INDEX('Car Data'!$A$2:$E$403,MATCH(1,('Car Data'!$G$2:$G$403=Q10)*('Car Data'!$C$2:$C$403=A10),0),1)," ",INDEX('Car Data'!$A$2:$E$403,MATCH(1,('Car Data'!$G$2:$G$403=Q10)*('Car Data'!$C$2:$C$403=A10),0),2))</f>
        <v>SMS Formula X [ICE + hybrid]</v>
      </c>
      <c r="Q10" s="8">
        <f>MINIFS('Car Data'!$G$2:$G$403,'Car Data'!$C$2:$C$403,A10)</f>
        <v>14.6</v>
      </c>
      <c r="R10" s="8">
        <f>ROUND(AVERAGEIFS('Car Data'!$G$2:$G$403,'Car Data'!$C$2:$C$403,A10),2)</f>
        <v>15.65</v>
      </c>
      <c r="S10" s="8">
        <f>IFERROR(__xludf.DUMMYFUNCTION("ROUND(STDEV(FILTER('Car Data'!$G$2:$G$403,'Car Data'!$C$2:$C$403=A10)),2)"),1.48)</f>
        <v>1.48</v>
      </c>
      <c r="T10" s="8" t="str">
        <f t="array" ref="T10">CONCATENATE(INDEX('Car Data'!$A$2:$E$403,MATCH(1,('Car Data'!$I$2:$I$403=U10)*('Car Data'!$C$2:$C$403=A10),0),1)," ",INDEX('Car Data'!$A$2:$E$403,MATCH(1,('Car Data'!$I$2:$I$403=U10)*('Car Data'!$C$2:$C$403=A10),0),2))</f>
        <v>SMS Formula X [ICE + hybrid]</v>
      </c>
      <c r="U10" s="8">
        <f>MAXIFS('Car Data'!$I$2:$I$403,'Car Data'!$C$2:$C$403,A10)</f>
        <v>0.75</v>
      </c>
      <c r="V10" s="8" t="str">
        <f t="array" ref="V10">CONCATENATE(INDEX('Car Data'!$A$2:$E$403,MATCH(1,('Car Data'!$I$2:$I$403=W10)*('Car Data'!$C$2:$C$403=A10),0),1)," ",INDEX('Car Data'!$A$2:$E$403,MATCH(1,('Car Data'!$I$2:$I$403=W10)*('Car Data'!$C$2:$C$403=A10),0),2))</f>
        <v>SMS Formula X [ICE only]</v>
      </c>
      <c r="W10" s="8">
        <f>MINIFS('Car Data'!$I$2:$I$403,'Car Data'!$C$2:$C$403,A10)</f>
        <v>0.459</v>
      </c>
      <c r="X10" s="8">
        <f>ROUND(AVERAGEIFS('Car Data'!$I$2:$I$403,'Car Data'!$C$2:$C$403,A10),2)</f>
        <v>0.6</v>
      </c>
      <c r="Y10" s="8">
        <f>IFERROR(__xludf.DUMMYFUNCTION("ROUND(STDEV(FILTER('Car Data'!$I$2:$I$403,'Car Data'!$C$2:$C$403=A10)),2)"),0.21)</f>
        <v>0.21</v>
      </c>
    </row>
    <row r="11">
      <c r="A11" s="6" t="s">
        <v>635</v>
      </c>
      <c r="B11" s="11" t="str">
        <f t="array" ref="B11">CONCATENATE(INDEX('Car Data'!$A$2:$E$403,MATCH(1,('Car Data'!$D$2:$D$403=C11)*('Car Data'!$C$2:$C$403=A11),0),1)," ",INDEX('Car Data'!$A$2:$E$403,MATCH(1,('Car Data'!$D$2:$D$403=C11)*('Car Data'!$C$2:$C$403=A11),0),2))</f>
        <v>Ginetta G40 Junior</v>
      </c>
      <c r="C11" s="11">
        <f>MAXIFS('Car Data'!$D$2:$D$403,'Car Data'!$C$2:$C$403,A11)</f>
        <v>123</v>
      </c>
      <c r="D11" s="11" t="str">
        <f t="array" ref="D11">CONCATENATE(INDEX('Car Data'!$A$2:$E$403,MATCH(1,('Car Data'!$D$2:$D$403=E11)*('Car Data'!$C$2:$C$403=A11),0),1)," ",INDEX('Car Data'!$A$2:$E$403,MATCH(1,('Car Data'!$D$2:$D$403=E11)*('Car Data'!$C$2:$C$403=A11),0),2))</f>
        <v>Ginetta G40 Junior</v>
      </c>
      <c r="E11" s="11">
        <f>MINIFS('Car Data'!$D$2:$D$403,'Car Data'!$C$2:$C$403,A11)</f>
        <v>123</v>
      </c>
      <c r="F11" s="11">
        <f>ROUND(AVERAGEIFS('Car Data'!$D$2:$D$403,'Car Data'!$C$2:$C$403,A11),2)</f>
        <v>123</v>
      </c>
      <c r="G11" s="11" t="str">
        <f>IFERROR(__xludf.DUMMYFUNCTION("ROUND(STDEV(FILTER('Car Data'!$D$2:$D$403,'Car Data'!$C$2:$C$403=A11)),2)"),"#DIV/0!")</f>
        <v>#DIV/0!</v>
      </c>
      <c r="H11" s="11" t="str">
        <f t="array" ref="H11">CONCATENATE(INDEX('Car Data'!$A$2:$E$403,MATCH(1,('Car Data'!$F$2:$F$403=I11)*('Car Data'!$C$2:$C$403=A11),0),1)," ",INDEX('Car Data'!$A$2:$E$403,MATCH(1,('Car Data'!$F$2:$F$403=I11)*('Car Data'!$C$2:$C$403=A11),0),2))</f>
        <v>Ginetta G40 Junior</v>
      </c>
      <c r="I11" s="11">
        <f>MAXIFS('Car Data'!$F$2:$F$403,'Car Data'!$C$2:$C$403,A11)</f>
        <v>105</v>
      </c>
      <c r="J11" s="11" t="str">
        <f t="array" ref="J11">CONCATENATE(INDEX('Car Data'!$A$2:$E$403,MATCH(1,('Car Data'!$F$2:$F$403=K11)*('Car Data'!$C$2:$C$403=A11),0),1)," ",INDEX('Car Data'!$A$2:$E$403,MATCH(1,('Car Data'!$F$2:$F$403=K11)*('Car Data'!$C$2:$C$403=A11),0),2))</f>
        <v>Ginetta G40 Junior</v>
      </c>
      <c r="K11" s="11">
        <f>MINIFS('Car Data'!$F$2:$F$403,'Car Data'!$C$2:$C$403,A11)</f>
        <v>105</v>
      </c>
      <c r="L11" s="11">
        <f>ROUND(AVERAGEIFS('Car Data'!$F$2:$F$403,'Car Data'!$C$2:$C$403,A11),2)</f>
        <v>105</v>
      </c>
      <c r="M11" s="11" t="str">
        <f>IFERROR(__xludf.DUMMYFUNCTION("ROUND(STDEV(FILTER('Car Data'!$F$2:$F$403,'Car Data'!$C$2:$C$403=A11)),2)"),"#DIV/0!")</f>
        <v>#DIV/0!</v>
      </c>
      <c r="N11" s="11" t="str">
        <f t="array" ref="N11">CONCATENATE(INDEX('Car Data'!$A$2:$E$403,MATCH(1,('Car Data'!$G$2:$G$403=O11)*('Car Data'!$C$2:$C$403=A11),0),1)," ",INDEX('Car Data'!$A$2:$E$403,MATCH(1,('Car Data'!$G$2:$G$403=O11)*('Car Data'!$C$2:$C$403=A11),0),2))</f>
        <v>Ginetta G40 Junior</v>
      </c>
      <c r="O11" s="15">
        <f>MAXIFS('Car Data'!$G$2:$G$403,'Car Data'!$C$2:$C$403,A11)</f>
        <v>17.7</v>
      </c>
      <c r="P11" s="15" t="str">
        <f t="array" ref="P11">CONCATENATE(INDEX('Car Data'!$A$2:$E$403,MATCH(1,('Car Data'!$G$2:$G$403=Q11)*('Car Data'!$C$2:$C$403=A11),0),1)," ",INDEX('Car Data'!$A$2:$E$403,MATCH(1,('Car Data'!$G$2:$G$403=Q11)*('Car Data'!$C$2:$C$403=A11),0),2))</f>
        <v>Ginetta G40 Junior</v>
      </c>
      <c r="Q11" s="11">
        <f>MINIFS('Car Data'!$G$2:$G$403,'Car Data'!$C$2:$C$403,A11)</f>
        <v>17.7</v>
      </c>
      <c r="R11" s="11">
        <f>ROUND(AVERAGEIFS('Car Data'!$G$2:$G$403,'Car Data'!$C$2:$C$403,A11),2)</f>
        <v>17.7</v>
      </c>
      <c r="S11" s="11" t="str">
        <f>IFERROR(__xludf.DUMMYFUNCTION("ROUND(STDEV(FILTER('Car Data'!$G$2:$G$403,'Car Data'!$C$2:$C$403=A11)),2)"),"#DIV/0!")</f>
        <v>#DIV/0!</v>
      </c>
      <c r="T11" s="11" t="str">
        <f t="array" ref="T11">CONCATENATE(INDEX('Car Data'!$A$2:$E$403,MATCH(1,('Car Data'!$I$2:$I$403=U11)*('Car Data'!$C$2:$C$403=A11),0),1)," ",INDEX('Car Data'!$A$2:$E$403,MATCH(1,('Car Data'!$I$2:$I$403=U11)*('Car Data'!$C$2:$C$403=A11),0),2))</f>
        <v>Ginetta G40 Junior</v>
      </c>
      <c r="U11" s="11">
        <f>MAXIFS('Car Data'!$I$2:$I$403,'Car Data'!$C$2:$C$403,A11)</f>
        <v>0.054</v>
      </c>
      <c r="V11" s="11" t="str">
        <f t="array" ref="V11">CONCATENATE(INDEX('Car Data'!$A$2:$E$403,MATCH(1,('Car Data'!$I$2:$I$403=W11)*('Car Data'!$C$2:$C$403=A11),0),1)," ",INDEX('Car Data'!$A$2:$E$403,MATCH(1,('Car Data'!$I$2:$I$403=W11)*('Car Data'!$C$2:$C$403=A11),0),2))</f>
        <v>Ginetta G40 Junior</v>
      </c>
      <c r="W11" s="11">
        <f>MINIFS('Car Data'!$I$2:$I$403,'Car Data'!$C$2:$C$403,A11)</f>
        <v>0.054</v>
      </c>
      <c r="X11" s="11">
        <f>ROUND(AVERAGEIFS('Car Data'!$I$2:$I$403,'Car Data'!$C$2:$C$403,A11),2)</f>
        <v>0.05</v>
      </c>
      <c r="Y11" s="11" t="str">
        <f>IFERROR(__xludf.DUMMYFUNCTION("ROUND(STDEV(FILTER('Car Data'!$I$2:$I$403,'Car Data'!$C$2:$C$403=A11)),2)"),"#DIV/0!")</f>
        <v>#DIV/0!</v>
      </c>
    </row>
    <row r="12">
      <c r="A12" s="3" t="s">
        <v>384</v>
      </c>
      <c r="B12" s="8" t="str">
        <f t="array" ref="B12">CONCATENATE(INDEX('Car Data'!$A$2:$E$403,MATCH(1,('Car Data'!$D$2:$D$403=C12)*('Car Data'!$C$2:$C$403=A12),0),1)," ",INDEX('Car Data'!$A$2:$E$403,MATCH(1,('Car Data'!$D$2:$D$403=C12)*('Car Data'!$C$2:$C$403=A12),0),2))</f>
        <v>Ferrari 512 BB LM</v>
      </c>
      <c r="C12" s="8">
        <f>MAXIFS('Car Data'!$D$2:$D$403,'Car Data'!$C$2:$C$403,A12)</f>
        <v>192</v>
      </c>
      <c r="D12" s="8" t="str">
        <f t="array" ref="D12">CONCATENATE(INDEX('Car Data'!$A$2:$E$403,MATCH(1,('Car Data'!$D$2:$D$403=E12)*('Car Data'!$C$2:$C$403=A12),0),1)," ",INDEX('Car Data'!$A$2:$E$403,MATCH(1,('Car Data'!$D$2:$D$403=E12)*('Car Data'!$C$2:$C$403=A12),0),2))</f>
        <v>Porsche 924 Carrera GTP</v>
      </c>
      <c r="E12" s="8">
        <f>MINIFS('Car Data'!$D$2:$D$403,'Car Data'!$C$2:$C$403,A12)</f>
        <v>175</v>
      </c>
      <c r="F12" s="8">
        <f>ROUND(AVERAGEIFS('Car Data'!$D$2:$D$403,'Car Data'!$C$2:$C$403,A12),2)</f>
        <v>182</v>
      </c>
      <c r="G12" s="8">
        <f>IFERROR(__xludf.DUMMYFUNCTION("ROUND(STDEV(FILTER('Car Data'!$D$2:$D$403,'Car Data'!$C$2:$C$403=A12)),2)"),8.89)</f>
        <v>8.89</v>
      </c>
      <c r="H12" s="8" t="str">
        <f t="array" ref="H12">CONCATENATE(INDEX('Car Data'!$A$2:$E$403,MATCH(1,('Car Data'!$F$2:$F$403=I12)*('Car Data'!$C$2:$C$403=A12),0),1)," ",INDEX('Car Data'!$A$2:$E$403,MATCH(1,('Car Data'!$F$2:$F$403=I12)*('Car Data'!$C$2:$C$403=A12),0),2))</f>
        <v>Ferrari 512 BB LM</v>
      </c>
      <c r="I12" s="8">
        <f>MAXIFS('Car Data'!$F$2:$F$403,'Car Data'!$C$2:$C$403,A12)</f>
        <v>479</v>
      </c>
      <c r="J12" s="8" t="str">
        <f t="array" ref="J12">CONCATENATE(INDEX('Car Data'!$A$2:$E$403,MATCH(1,('Car Data'!$F$2:$F$403=K12)*('Car Data'!$C$2:$C$403=A12),0),1)," ",INDEX('Car Data'!$A$2:$E$403,MATCH(1,('Car Data'!$F$2:$F$403=K12)*('Car Data'!$C$2:$C$403=A12),0),2))</f>
        <v>Porsche 924 Carrera GTP</v>
      </c>
      <c r="K12" s="8">
        <f>MINIFS('Car Data'!$F$2:$F$403,'Car Data'!$C$2:$C$403,A12)</f>
        <v>351</v>
      </c>
      <c r="L12" s="8">
        <f>ROUND(AVERAGEIFS('Car Data'!$F$2:$F$403,'Car Data'!$C$2:$C$403,A12),2)</f>
        <v>431.33</v>
      </c>
      <c r="M12" s="8">
        <f>IFERROR(__xludf.DUMMYFUNCTION("ROUND(STDEV(FILTER('Car Data'!$F$2:$F$403,'Car Data'!$C$2:$C$403=A12)),2)"),69.97)</f>
        <v>69.97</v>
      </c>
      <c r="N12" s="8" t="str">
        <f t="array" ref="N12">CONCATENATE(INDEX('Car Data'!$A$2:$E$403,MATCH(1,('Car Data'!$G$2:$G$403=O12)*('Car Data'!$C$2:$C$403=A12),0),1)," ",INDEX('Car Data'!$A$2:$E$403,MATCH(1,('Car Data'!$G$2:$G$403=O12)*('Car Data'!$C$2:$C$403=A12),0),2))</f>
        <v>Porsche 924 Carrera GTP</v>
      </c>
      <c r="O12" s="14">
        <f>MAXIFS('Car Data'!$G$2:$G$403,'Car Data'!$C$2:$C$403,A12)</f>
        <v>15.3</v>
      </c>
      <c r="P12" s="14" t="str">
        <f t="array" ref="P12">CONCATENATE(INDEX('Car Data'!$A$2:$E$403,MATCH(1,('Car Data'!$G$2:$G$403=Q12)*('Car Data'!$C$2:$C$403=A12),0),1)," ",INDEX('Car Data'!$A$2:$E$403,MATCH(1,('Car Data'!$G$2:$G$403=Q12)*('Car Data'!$C$2:$C$403=A12),0),2))</f>
        <v>BMW M1 Procar</v>
      </c>
      <c r="Q12" s="8">
        <f>MINIFS('Car Data'!$G$2:$G$403,'Car Data'!$C$2:$C$403,A12)</f>
        <v>12.4</v>
      </c>
      <c r="R12" s="8">
        <f>ROUND(AVERAGEIFS('Car Data'!$G$2:$G$403,'Car Data'!$C$2:$C$403,A12),2)</f>
        <v>14.17</v>
      </c>
      <c r="S12" s="8">
        <f>IFERROR(__xludf.DUMMYFUNCTION("ROUND(STDEV(FILTER('Car Data'!$G$2:$G$403,'Car Data'!$C$2:$C$403=A12)),2)"),1.55)</f>
        <v>1.55</v>
      </c>
      <c r="T12" s="8" t="str">
        <f t="array" ref="T12">CONCATENATE(INDEX('Car Data'!$A$2:$E$403,MATCH(1,('Car Data'!$I$2:$I$403=U12)*('Car Data'!$C$2:$C$403=A12),0),1)," ",INDEX('Car Data'!$A$2:$E$403,MATCH(1,('Car Data'!$I$2:$I$403=U12)*('Car Data'!$C$2:$C$403=A12),0),2))</f>
        <v>BMW M1 Procar</v>
      </c>
      <c r="U12" s="8">
        <f>MAXIFS('Car Data'!$I$2:$I$403,'Car Data'!$C$2:$C$403,A12)</f>
        <v>0.206</v>
      </c>
      <c r="V12" s="8" t="str">
        <f t="array" ref="V12">CONCATENATE(INDEX('Car Data'!$A$2:$E$403,MATCH(1,('Car Data'!$I$2:$I$403=W12)*('Car Data'!$C$2:$C$403=A12),0),1)," ",INDEX('Car Data'!$A$2:$E$403,MATCH(1,('Car Data'!$I$2:$I$403=W12)*('Car Data'!$C$2:$C$403=A12),0),2))</f>
        <v>Porsche 924 Carrera GTP</v>
      </c>
      <c r="W12" s="8">
        <f>MINIFS('Car Data'!$I$2:$I$403,'Car Data'!$C$2:$C$403,A12)</f>
        <v>0.169</v>
      </c>
      <c r="X12" s="8">
        <f>ROUND(AVERAGEIFS('Car Data'!$I$2:$I$403,'Car Data'!$C$2:$C$403,A12),2)</f>
        <v>0.19</v>
      </c>
      <c r="Y12" s="8">
        <f>IFERROR(__xludf.DUMMYFUNCTION("ROUND(STDEV(FILTER('Car Data'!$I$2:$I$403,'Car Data'!$C$2:$C$403=A12)),2)"),0.02)</f>
        <v>0.02</v>
      </c>
    </row>
    <row r="13">
      <c r="A13" s="6" t="s">
        <v>105</v>
      </c>
      <c r="B13" s="11" t="str">
        <f t="array" ref="B13">CONCATENATE(INDEX('Car Data'!$A$2:$E$403,MATCH(1,('Car Data'!$D$2:$D$403=C13)*('Car Data'!$C$2:$C$403=A13),0),1)," ",INDEX('Car Data'!$A$2:$E$403,MATCH(1,('Car Data'!$D$2:$D$403=C13)*('Car Data'!$C$2:$C$403=A13),0),2))</f>
        <v>Porsche 935/78</v>
      </c>
      <c r="C13" s="11">
        <f>MAXIFS('Car Data'!$D$2:$D$403,'Car Data'!$C$2:$C$403,A13)</f>
        <v>232</v>
      </c>
      <c r="D13" s="11" t="str">
        <f t="array" ref="D13">CONCATENATE(INDEX('Car Data'!$A$2:$E$403,MATCH(1,('Car Data'!$D$2:$D$403=E13)*('Car Data'!$C$2:$C$403=A13),0),1)," ",INDEX('Car Data'!$A$2:$E$403,MATCH(1,('Car Data'!$D$2:$D$403=E13)*('Car Data'!$C$2:$C$403=A13),0),2))</f>
        <v>Ford Zakspeed Ford Capri Group 5</v>
      </c>
      <c r="E13" s="11">
        <f>MINIFS('Car Data'!$D$2:$D$403,'Car Data'!$C$2:$C$403,A13)</f>
        <v>195</v>
      </c>
      <c r="F13" s="11">
        <f>ROUND(AVERAGEIFS('Car Data'!$D$2:$D$403,'Car Data'!$C$2:$C$403,A13),2)</f>
        <v>215.25</v>
      </c>
      <c r="G13" s="11">
        <f>IFERROR(__xludf.DUMMYFUNCTION("ROUND(STDEV(FILTER('Car Data'!$D$2:$D$403,'Car Data'!$C$2:$C$403=A13)),2)"),16.15)</f>
        <v>16.15</v>
      </c>
      <c r="H13" s="11" t="str">
        <f t="array" ref="H13">CONCATENATE(INDEX('Car Data'!$A$2:$E$403,MATCH(1,('Car Data'!$F$2:$F$403=I13)*('Car Data'!$C$2:$C$403=A13),0),1)," ",INDEX('Car Data'!$A$2:$E$403,MATCH(1,('Car Data'!$F$2:$F$403=I13)*('Car Data'!$C$2:$C$403=A13),0),2))</f>
        <v>Nissan Datsun 280ZX IMSA GTX</v>
      </c>
      <c r="I13" s="11">
        <f>MAXIFS('Car Data'!$F$2:$F$403,'Car Data'!$C$2:$C$403,A13)</f>
        <v>943</v>
      </c>
      <c r="J13" s="11" t="str">
        <f t="array" ref="J13">CONCATENATE(INDEX('Car Data'!$A$2:$E$403,MATCH(1,('Car Data'!$F$2:$F$403=K13)*('Car Data'!$C$2:$C$403=A13),0),1)," ",INDEX('Car Data'!$A$2:$E$403,MATCH(1,('Car Data'!$F$2:$F$403=K13)*('Car Data'!$C$2:$C$403=A13),0),2))</f>
        <v>Ford Zakspeed Ford Capri Group 5</v>
      </c>
      <c r="K13" s="11">
        <f>MINIFS('Car Data'!$F$2:$F$403,'Car Data'!$C$2:$C$403,A13)</f>
        <v>621</v>
      </c>
      <c r="L13" s="11">
        <f>ROUND(AVERAGEIFS('Car Data'!$F$2:$F$403,'Car Data'!$C$2:$C$403,A13),2)</f>
        <v>767.38</v>
      </c>
      <c r="M13" s="11">
        <f>IFERROR(__xludf.DUMMYFUNCTION("ROUND(STDEV(FILTER('Car Data'!$F$2:$F$403,'Car Data'!$C$2:$C$403=A13)),2)"),117.91)</f>
        <v>117.91</v>
      </c>
      <c r="N13" s="11" t="str">
        <f t="array" ref="N13">CONCATENATE(INDEX('Car Data'!$A$2:$E$403,MATCH(1,('Car Data'!$G$2:$G$403=O13)*('Car Data'!$C$2:$C$403=A13),0),1)," ",INDEX('Car Data'!$A$2:$E$403,MATCH(1,('Car Data'!$G$2:$G$403=O13)*('Car Data'!$C$2:$C$403=A13),0),2))</f>
        <v>Porsche 935/78</v>
      </c>
      <c r="O13" s="15">
        <f>MAXIFS('Car Data'!$G$2:$G$403,'Car Data'!$C$2:$C$403,A13)</f>
        <v>14.8</v>
      </c>
      <c r="P13" s="15" t="str">
        <f t="array" ref="P13">CONCATENATE(INDEX('Car Data'!$A$2:$E$403,MATCH(1,('Car Data'!$G$2:$G$403=Q13)*('Car Data'!$C$2:$C$403=A13),0),1)," ",INDEX('Car Data'!$A$2:$E$403,MATCH(1,('Car Data'!$G$2:$G$403=Q13)*('Car Data'!$C$2:$C$403=A13),0),2))</f>
        <v>BMW 320 Turbo Group 5</v>
      </c>
      <c r="Q13" s="11">
        <f>MINIFS('Car Data'!$G$2:$G$403,'Car Data'!$C$2:$C$403,A13)</f>
        <v>11.5</v>
      </c>
      <c r="R13" s="11">
        <f>ROUND(AVERAGEIFS('Car Data'!$G$2:$G$403,'Car Data'!$C$2:$C$403,A13),2)</f>
        <v>13.08</v>
      </c>
      <c r="S13" s="11">
        <f>IFERROR(__xludf.DUMMYFUNCTION("ROUND(STDEV(FILTER('Car Data'!$G$2:$G$403,'Car Data'!$C$2:$C$403=A13)),2)"),1.3)</f>
        <v>1.3</v>
      </c>
      <c r="T13" s="11" t="str">
        <f t="array" ref="T13">CONCATENATE(INDEX('Car Data'!$A$2:$E$403,MATCH(1,('Car Data'!$I$2:$I$403=U13)*('Car Data'!$C$2:$C$403=A13),0),1)," ",INDEX('Car Data'!$A$2:$E$403,MATCH(1,('Car Data'!$I$2:$I$403=U13)*('Car Data'!$C$2:$C$403=A13),0),2))</f>
        <v>Porsche 935/78</v>
      </c>
      <c r="U13" s="11">
        <f>MAXIFS('Car Data'!$I$2:$I$403,'Car Data'!$C$2:$C$403,A13)</f>
        <v>0.373</v>
      </c>
      <c r="V13" s="11" t="str">
        <f t="array" ref="V13">CONCATENATE(INDEX('Car Data'!$A$2:$E$403,MATCH(1,('Car Data'!$I$2:$I$403=W13)*('Car Data'!$C$2:$C$403=A13),0),1)," ",INDEX('Car Data'!$A$2:$E$403,MATCH(1,('Car Data'!$I$2:$I$403=W13)*('Car Data'!$C$2:$C$403=A13),0),2))</f>
        <v>Nissan Skyline Super Silhouette</v>
      </c>
      <c r="W13" s="11">
        <f>MINIFS('Car Data'!$I$2:$I$403,'Car Data'!$C$2:$C$403,A13)</f>
        <v>0.286</v>
      </c>
      <c r="X13" s="11">
        <f>ROUND(AVERAGEIFS('Car Data'!$I$2:$I$403,'Car Data'!$C$2:$C$403,A13),2)</f>
        <v>0.34</v>
      </c>
      <c r="Y13" s="11">
        <f>IFERROR(__xludf.DUMMYFUNCTION("ROUND(STDEV(FILTER('Car Data'!$I$2:$I$403,'Car Data'!$C$2:$C$403=A13)),2)"),0.03)</f>
        <v>0.03</v>
      </c>
    </row>
    <row r="14">
      <c r="A14" s="3" t="s">
        <v>166</v>
      </c>
      <c r="B14" s="8" t="str">
        <f t="array" ref="B14">CONCATENATE(INDEX('Car Data'!$A$2:$E$403,MATCH(1,('Car Data'!$D$2:$D$403=C14)*('Car Data'!$C$2:$C$403=A14),0),1)," ",INDEX('Car Data'!$A$2:$E$403,MATCH(1,('Car Data'!$D$2:$D$403=C14)*('Car Data'!$C$2:$C$403=A14),0),2))</f>
        <v>Renault Alpine A442B</v>
      </c>
      <c r="C14" s="8">
        <f>MAXIFS('Car Data'!$D$2:$D$403,'Car Data'!$C$2:$C$403,A14)</f>
        <v>222</v>
      </c>
      <c r="D14" s="8" t="str">
        <f t="array" ref="D14">CONCATENATE(INDEX('Car Data'!$A$2:$E$403,MATCH(1,('Car Data'!$D$2:$D$403=E14)*('Car Data'!$C$2:$C$403=A14),0),1)," ",INDEX('Car Data'!$A$2:$E$403,MATCH(1,('Car Data'!$D$2:$D$403=E14)*('Car Data'!$C$2:$C$403=A14),0),2))</f>
        <v>Porsche 936 Spyder</v>
      </c>
      <c r="E14" s="8">
        <f>MINIFS('Car Data'!$D$2:$D$403,'Car Data'!$C$2:$C$403,A14)</f>
        <v>218</v>
      </c>
      <c r="F14" s="8">
        <f>ROUND(AVERAGEIFS('Car Data'!$D$2:$D$403,'Car Data'!$C$2:$C$403,A14),2)</f>
        <v>220</v>
      </c>
      <c r="G14" s="8">
        <f>IFERROR(__xludf.DUMMYFUNCTION("ROUND(STDEV(FILTER('Car Data'!$D$2:$D$403,'Car Data'!$C$2:$C$403=A14)),2)"),2.83)</f>
        <v>2.83</v>
      </c>
      <c r="H14" s="8" t="str">
        <f t="array" ref="H14">CONCATENATE(INDEX('Car Data'!$A$2:$E$403,MATCH(1,('Car Data'!$F$2:$F$403=I14)*('Car Data'!$C$2:$C$403=A14),0),1)," ",INDEX('Car Data'!$A$2:$E$403,MATCH(1,('Car Data'!$F$2:$F$403=I14)*('Car Data'!$C$2:$C$403=A14),0),2))</f>
        <v>Porsche 936 Spyder</v>
      </c>
      <c r="I14" s="8">
        <f>MAXIFS('Car Data'!$F$2:$F$403,'Car Data'!$C$2:$C$403,A14)</f>
        <v>590</v>
      </c>
      <c r="J14" s="8" t="str">
        <f t="array" ref="J14">CONCATENATE(INDEX('Car Data'!$A$2:$E$403,MATCH(1,('Car Data'!$F$2:$F$403=K14)*('Car Data'!$C$2:$C$403=A14),0),1)," ",INDEX('Car Data'!$A$2:$E$403,MATCH(1,('Car Data'!$F$2:$F$403=K14)*('Car Data'!$C$2:$C$403=A14),0),2))</f>
        <v>Renault Alpine A442B</v>
      </c>
      <c r="K14" s="8">
        <f>MINIFS('Car Data'!$F$2:$F$403,'Car Data'!$C$2:$C$403,A14)</f>
        <v>561</v>
      </c>
      <c r="L14" s="8">
        <f>ROUND(AVERAGEIFS('Car Data'!$F$2:$F$403,'Car Data'!$C$2:$C$403,A14),2)</f>
        <v>575.5</v>
      </c>
      <c r="M14" s="8">
        <f>IFERROR(__xludf.DUMMYFUNCTION("ROUND(STDEV(FILTER('Car Data'!$F$2:$F$403,'Car Data'!$C$2:$C$403=A14)),2)"),20.51)</f>
        <v>20.51</v>
      </c>
      <c r="N14" s="8" t="str">
        <f t="array" ref="N14">CONCATENATE(INDEX('Car Data'!$A$2:$E$403,MATCH(1,('Car Data'!$G$2:$G$403=O14)*('Car Data'!$C$2:$C$403=A14),0),1)," ",INDEX('Car Data'!$A$2:$E$403,MATCH(1,('Car Data'!$G$2:$G$403=O14)*('Car Data'!$C$2:$C$403=A14),0),2))</f>
        <v>Renault Alpine A442B</v>
      </c>
      <c r="O14" s="14">
        <f>MAXIFS('Car Data'!$G$2:$G$403,'Car Data'!$C$2:$C$403,A14)</f>
        <v>19.5</v>
      </c>
      <c r="P14" s="14" t="str">
        <f t="array" ref="P14">CONCATENATE(INDEX('Car Data'!$A$2:$E$403,MATCH(1,('Car Data'!$G$2:$G$403=Q14)*('Car Data'!$C$2:$C$403=A14),0),1)," ",INDEX('Car Data'!$A$2:$E$403,MATCH(1,('Car Data'!$G$2:$G$403=Q14)*('Car Data'!$C$2:$C$403=A14),0),2))</f>
        <v>Porsche 936 Spyder</v>
      </c>
      <c r="Q14" s="8">
        <f>MINIFS('Car Data'!$G$2:$G$403,'Car Data'!$C$2:$C$403,A14)</f>
        <v>17.6</v>
      </c>
      <c r="R14" s="8">
        <f>ROUND(AVERAGEIFS('Car Data'!$G$2:$G$403,'Car Data'!$C$2:$C$403,A14),2)</f>
        <v>18.55</v>
      </c>
      <c r="S14" s="8">
        <f>IFERROR(__xludf.DUMMYFUNCTION("ROUND(STDEV(FILTER('Car Data'!$G$2:$G$403,'Car Data'!$C$2:$C$403=A14)),2)"),1.34)</f>
        <v>1.34</v>
      </c>
      <c r="T14" s="8" t="str">
        <f t="array" ref="T14">CONCATENATE(INDEX('Car Data'!$A$2:$E$403,MATCH(1,('Car Data'!$I$2:$I$403=U14)*('Car Data'!$C$2:$C$403=A14),0),1)," ",INDEX('Car Data'!$A$2:$E$403,MATCH(1,('Car Data'!$I$2:$I$403=U14)*('Car Data'!$C$2:$C$403=A14),0),2))</f>
        <v>Porsche 936 Spyder</v>
      </c>
      <c r="U14" s="8">
        <f>MAXIFS('Car Data'!$I$2:$I$403,'Car Data'!$C$2:$C$403,A14)</f>
        <v>0.362</v>
      </c>
      <c r="V14" s="8" t="str">
        <f t="array" ref="V14">CONCATENATE(INDEX('Car Data'!$A$2:$E$403,MATCH(1,('Car Data'!$I$2:$I$403=W14)*('Car Data'!$C$2:$C$403=A14),0),1)," ",INDEX('Car Data'!$A$2:$E$403,MATCH(1,('Car Data'!$I$2:$I$403=W14)*('Car Data'!$C$2:$C$403=A14),0),2))</f>
        <v>Renault Alpine A442B</v>
      </c>
      <c r="W14" s="8">
        <f>MINIFS('Car Data'!$I$2:$I$403,'Car Data'!$C$2:$C$403,A14)</f>
        <v>0.356</v>
      </c>
      <c r="X14" s="8">
        <f>ROUND(AVERAGEIFS('Car Data'!$I$2:$I$403,'Car Data'!$C$2:$C$403,A14),2)</f>
        <v>0.36</v>
      </c>
      <c r="Y14" s="8">
        <f>IFERROR(__xludf.DUMMYFUNCTION("ROUND(STDEV(FILTER('Car Data'!$I$2:$I$403,'Car Data'!$C$2:$C$403=A14)),2)"),0.0)</f>
        <v>0</v>
      </c>
    </row>
    <row r="15">
      <c r="A15" s="6" t="s">
        <v>432</v>
      </c>
      <c r="B15" s="11" t="str">
        <f t="array" ref="B15">CONCATENATE(INDEX('Car Data'!$A$2:$E$403,MATCH(1,('Car Data'!$D$2:$D$403=C15)*('Car Data'!$C$2:$C$403=A15),0),1)," ",INDEX('Car Data'!$A$2:$E$403,MATCH(1,('Car Data'!$D$2:$D$403=C15)*('Car Data'!$C$2:$C$403=A15),0),2))</f>
        <v>Ford Sierra Cosworth RS500 Group A</v>
      </c>
      <c r="C15" s="11">
        <f>MAXIFS('Car Data'!$D$2:$D$403,'Car Data'!$C$2:$C$403,A15)</f>
        <v>195</v>
      </c>
      <c r="D15" s="11" t="str">
        <f t="array" ref="D15">CONCATENATE(INDEX('Car Data'!$A$2:$E$403,MATCH(1,('Car Data'!$D$2:$D$403=E15)*('Car Data'!$C$2:$C$403=A15),0),1)," ",INDEX('Car Data'!$A$2:$E$403,MATCH(1,('Car Data'!$D$2:$D$403=E15)*('Car Data'!$C$2:$C$403=A15),0),2))</f>
        <v>BMW M3 Sport Evo Group A</v>
      </c>
      <c r="E15" s="11">
        <f>MINIFS('Car Data'!$D$2:$D$403,'Car Data'!$C$2:$C$403,A15)</f>
        <v>161</v>
      </c>
      <c r="F15" s="11">
        <f>ROUND(AVERAGEIFS('Car Data'!$D$2:$D$403,'Car Data'!$C$2:$C$403,A15),2)</f>
        <v>173.2</v>
      </c>
      <c r="G15" s="11">
        <f>IFERROR(__xludf.DUMMYFUNCTION("ROUND(STDEV(FILTER('Car Data'!$D$2:$D$403,'Car Data'!$C$2:$C$403=A15)),2)"),12.97)</f>
        <v>12.97</v>
      </c>
      <c r="H15" s="11" t="str">
        <f t="array" ref="H15">CONCATENATE(INDEX('Car Data'!$A$2:$E$403,MATCH(1,('Car Data'!$F$2:$F$403=I15)*('Car Data'!$C$2:$C$403=A15),0),1)," ",INDEX('Car Data'!$A$2:$E$403,MATCH(1,('Car Data'!$F$2:$F$403=I15)*('Car Data'!$C$2:$C$403=A15),0),2))</f>
        <v>Ford Sierra Cosworth RS500 Group A</v>
      </c>
      <c r="I15" s="11">
        <f>MAXIFS('Car Data'!$F$2:$F$403,'Car Data'!$C$2:$C$403,A15)</f>
        <v>600</v>
      </c>
      <c r="J15" s="11" t="str">
        <f t="array" ref="J15">CONCATENATE(INDEX('Car Data'!$A$2:$E$403,MATCH(1,('Car Data'!$F$2:$F$403=K15)*('Car Data'!$C$2:$C$403=A15),0),1)," ",INDEX('Car Data'!$A$2:$E$403,MATCH(1,('Car Data'!$F$2:$F$403=K15)*('Car Data'!$C$2:$C$403=A15),0),2))</f>
        <v>BMW M3 Sport Evo Group A</v>
      </c>
      <c r="K15" s="11">
        <f>MINIFS('Car Data'!$F$2:$F$403,'Car Data'!$C$2:$C$403,A15)</f>
        <v>323</v>
      </c>
      <c r="L15" s="11">
        <f>ROUND(AVERAGEIFS('Car Data'!$F$2:$F$403,'Car Data'!$C$2:$C$403,A15),2)</f>
        <v>440</v>
      </c>
      <c r="M15" s="11">
        <f>IFERROR(__xludf.DUMMYFUNCTION("ROUND(STDEV(FILTER('Car Data'!$F$2:$F$403,'Car Data'!$C$2:$C$403=A15)),2)"),115.58)</f>
        <v>115.58</v>
      </c>
      <c r="N15" s="11" t="str">
        <f t="array" ref="N15">CONCATENATE(INDEX('Car Data'!$A$2:$E$403,MATCH(1,('Car Data'!$G$2:$G$403=O15)*('Car Data'!$C$2:$C$403=A15),0),1)," ",INDEX('Car Data'!$A$2:$E$403,MATCH(1,('Car Data'!$G$2:$G$403=O15)*('Car Data'!$C$2:$C$403=A15),0),2))</f>
        <v>Mercedes-Benz 190E 2.5-16 Evolution 2 DTM</v>
      </c>
      <c r="O15" s="15">
        <f>MAXIFS('Car Data'!$G$2:$G$403,'Car Data'!$C$2:$C$403,A15)</f>
        <v>14</v>
      </c>
      <c r="P15" s="15" t="str">
        <f t="array" ref="P15">CONCATENATE(INDEX('Car Data'!$A$2:$E$403,MATCH(1,('Car Data'!$G$2:$G$403=Q15)*('Car Data'!$C$2:$C$403=A15),0),1)," ",INDEX('Car Data'!$A$2:$E$403,MATCH(1,('Car Data'!$G$2:$G$403=Q15)*('Car Data'!$C$2:$C$403=A15),0),2))</f>
        <v>Nissan Skyline GT-R (BNR32) Group A</v>
      </c>
      <c r="Q15" s="11">
        <f>MINIFS('Car Data'!$G$2:$G$403,'Car Data'!$C$2:$C$403,A15)</f>
        <v>10</v>
      </c>
      <c r="R15" s="11">
        <f>ROUND(AVERAGEIFS('Car Data'!$G$2:$G$403,'Car Data'!$C$2:$C$403,A15),2)</f>
        <v>12.14</v>
      </c>
      <c r="S15" s="11">
        <f>IFERROR(__xludf.DUMMYFUNCTION("ROUND(STDEV(FILTER('Car Data'!$G$2:$G$403,'Car Data'!$C$2:$C$403=A15)),2)"),1.52)</f>
        <v>1.52</v>
      </c>
      <c r="T15" s="11" t="str">
        <f t="array" ref="T15">CONCATENATE(INDEX('Car Data'!$A$2:$E$403,MATCH(1,('Car Data'!$I$2:$I$403=U15)*('Car Data'!$C$2:$C$403=A15),0),1)," ",INDEX('Car Data'!$A$2:$E$403,MATCH(1,('Car Data'!$I$2:$I$403=U15)*('Car Data'!$C$2:$C$403=A15),0),2))</f>
        <v>Ford Sierra Cosworth RS500 Group A</v>
      </c>
      <c r="U15" s="11">
        <f>MAXIFS('Car Data'!$I$2:$I$403,'Car Data'!$C$2:$C$403,A15)</f>
        <v>0.262</v>
      </c>
      <c r="V15" s="11" t="str">
        <f t="array" ref="V15">CONCATENATE(INDEX('Car Data'!$A$2:$E$403,MATCH(1,('Car Data'!$I$2:$I$403=W15)*('Car Data'!$C$2:$C$403=A15),0),1)," ",INDEX('Car Data'!$A$2:$E$403,MATCH(1,('Car Data'!$I$2:$I$403=W15)*('Car Data'!$C$2:$C$403=A15),0),2))</f>
        <v>BMW M3 Sport Evo Group A</v>
      </c>
      <c r="W15" s="11">
        <f>MINIFS('Car Data'!$I$2:$I$403,'Car Data'!$C$2:$C$403,A15)</f>
        <v>0.153</v>
      </c>
      <c r="X15" s="11">
        <f>ROUND(AVERAGEIFS('Car Data'!$I$2:$I$403,'Car Data'!$C$2:$C$403,A15),2)</f>
        <v>0.18</v>
      </c>
      <c r="Y15" s="11">
        <f>IFERROR(__xludf.DUMMYFUNCTION("ROUND(STDEV(FILTER('Car Data'!$I$2:$I$403,'Car Data'!$C$2:$C$403=A15)),2)"),0.05)</f>
        <v>0.05</v>
      </c>
    </row>
    <row r="16">
      <c r="A16" s="3" t="s">
        <v>516</v>
      </c>
      <c r="B16" s="8" t="str">
        <f t="array" ref="B16">CONCATENATE(INDEX('Car Data'!$A$2:$E$403,MATCH(1,('Car Data'!$D$2:$D$403=C16)*('Car Data'!$C$2:$C$403=A16),0),1)," ",INDEX('Car Data'!$A$2:$E$403,MATCH(1,('Car Data'!$D$2:$D$403=C16)*('Car Data'!$C$2:$C$403=A16),0),2))</f>
        <v>Ford RS200 Evolution Group B</v>
      </c>
      <c r="C16" s="8">
        <f>MAXIFS('Car Data'!$D$2:$D$403,'Car Data'!$C$2:$C$403,A16)</f>
        <v>163</v>
      </c>
      <c r="D16" s="8" t="str">
        <f t="array" ref="D16">CONCATENATE(INDEX('Car Data'!$A$2:$E$403,MATCH(1,('Car Data'!$D$2:$D$403=E16)*('Car Data'!$C$2:$C$403=A16),0),1)," ",INDEX('Car Data'!$A$2:$E$403,MATCH(1,('Car Data'!$D$2:$D$403=E16)*('Car Data'!$C$2:$C$403=A16),0),2))</f>
        <v>Audi Sport quattro S1</v>
      </c>
      <c r="E16" s="8">
        <f>MINIFS('Car Data'!$D$2:$D$403,'Car Data'!$C$2:$C$403,A16)</f>
        <v>148</v>
      </c>
      <c r="F16" s="8">
        <f>ROUND(AVERAGEIFS('Car Data'!$D$2:$D$403,'Car Data'!$C$2:$C$403,A16),2)</f>
        <v>157.67</v>
      </c>
      <c r="G16" s="8">
        <f>IFERROR(__xludf.DUMMYFUNCTION("ROUND(STDEV(FILTER('Car Data'!$D$2:$D$403,'Car Data'!$C$2:$C$403=A16)),2)"),8.39)</f>
        <v>8.39</v>
      </c>
      <c r="H16" s="8" t="str">
        <f t="array" ref="H16">CONCATENATE(INDEX('Car Data'!$A$2:$E$403,MATCH(1,('Car Data'!$F$2:$F$403=I16)*('Car Data'!$C$2:$C$403=A16),0),1)," ",INDEX('Car Data'!$A$2:$E$403,MATCH(1,('Car Data'!$F$2:$F$403=I16)*('Car Data'!$C$2:$C$403=A16),0),2))</f>
        <v>Audi Sport quattro S1</v>
      </c>
      <c r="I16" s="8">
        <f>MAXIFS('Car Data'!$F$2:$F$403,'Car Data'!$C$2:$C$403,A16)</f>
        <v>450</v>
      </c>
      <c r="J16" s="8" t="str">
        <f t="array" ref="J16">CONCATENATE(INDEX('Car Data'!$A$2:$E$403,MATCH(1,('Car Data'!$F$2:$F$403=K16)*('Car Data'!$C$2:$C$403=A16),0),1)," ",INDEX('Car Data'!$A$2:$E$403,MATCH(1,('Car Data'!$F$2:$F$403=K16)*('Car Data'!$C$2:$C$403=A16),0),2))</f>
        <v>Renault 5 Maxi Turbo</v>
      </c>
      <c r="K16" s="8">
        <f>MINIFS('Car Data'!$F$2:$F$403,'Car Data'!$C$2:$C$403,A16)</f>
        <v>361</v>
      </c>
      <c r="L16" s="8">
        <f>ROUND(AVERAGEIFS('Car Data'!$F$2:$F$403,'Car Data'!$C$2:$C$403,A16),2)</f>
        <v>413.67</v>
      </c>
      <c r="M16" s="8">
        <f>IFERROR(__xludf.DUMMYFUNCTION("ROUND(STDEV(FILTER('Car Data'!$F$2:$F$403,'Car Data'!$C$2:$C$403=A16)),2)"),46.69)</f>
        <v>46.69</v>
      </c>
      <c r="N16" s="8" t="str">
        <f t="array" ref="N16">CONCATENATE(INDEX('Car Data'!$A$2:$E$403,MATCH(1,('Car Data'!$G$2:$G$403=O16)*('Car Data'!$C$2:$C$403=A16),0),1)," ",INDEX('Car Data'!$A$2:$E$403,MATCH(1,('Car Data'!$G$2:$G$403=O16)*('Car Data'!$C$2:$C$403=A16),0),2))</f>
        <v>Renault 5 Maxi Turbo</v>
      </c>
      <c r="O16" s="14">
        <f>MAXIFS('Car Data'!$G$2:$G$403,'Car Data'!$C$2:$C$403,A16)</f>
        <v>11.8</v>
      </c>
      <c r="P16" s="14" t="str">
        <f t="array" ref="P16">CONCATENATE(INDEX('Car Data'!$A$2:$E$403,MATCH(1,('Car Data'!$G$2:$G$403=Q16)*('Car Data'!$C$2:$C$403=A16),0),1)," ",INDEX('Car Data'!$A$2:$E$403,MATCH(1,('Car Data'!$G$2:$G$403=Q16)*('Car Data'!$C$2:$C$403=A16),0),2))</f>
        <v>Audi Sport quattro S1</v>
      </c>
      <c r="Q16" s="8">
        <f>MINIFS('Car Data'!$G$2:$G$403,'Car Data'!$C$2:$C$403,A16)</f>
        <v>7.2</v>
      </c>
      <c r="R16" s="8">
        <f>ROUND(AVERAGEIFS('Car Data'!$G$2:$G$403,'Car Data'!$C$2:$C$403,A16),2)</f>
        <v>9.7</v>
      </c>
      <c r="S16" s="8">
        <f>IFERROR(__xludf.DUMMYFUNCTION("ROUND(STDEV(FILTER('Car Data'!$G$2:$G$403,'Car Data'!$C$2:$C$403=A16)),2)"),2.33)</f>
        <v>2.33</v>
      </c>
      <c r="T16" s="8" t="str">
        <f t="array" ref="T16">CONCATENATE(INDEX('Car Data'!$A$2:$E$403,MATCH(1,('Car Data'!$I$2:$I$403=U16)*('Car Data'!$C$2:$C$403=A16),0),1)," ",INDEX('Car Data'!$A$2:$E$403,MATCH(1,('Car Data'!$I$2:$I$403=U16)*('Car Data'!$C$2:$C$403=A16),0),2))</f>
        <v>Audi Sport quattro S1</v>
      </c>
      <c r="U16" s="8">
        <f>MAXIFS('Car Data'!$I$2:$I$403,'Car Data'!$C$2:$C$403,A16)</f>
        <v>0.187</v>
      </c>
      <c r="V16" s="8" t="str">
        <f t="array" ref="V16">CONCATENATE(INDEX('Car Data'!$A$2:$E$403,MATCH(1,('Car Data'!$I$2:$I$403=W16)*('Car Data'!$C$2:$C$403=A16),0),1)," ",INDEX('Car Data'!$A$2:$E$403,MATCH(1,('Car Data'!$I$2:$I$403=W16)*('Car Data'!$C$2:$C$403=A16),0),2))</f>
        <v>Renault 5 Maxi Turbo</v>
      </c>
      <c r="W16" s="8">
        <f>MINIFS('Car Data'!$I$2:$I$403,'Car Data'!$C$2:$C$403,A16)</f>
        <v>0.181</v>
      </c>
      <c r="X16" s="8">
        <f>ROUND(AVERAGEIFS('Car Data'!$I$2:$I$403,'Car Data'!$C$2:$C$403,A16),2)</f>
        <v>0.18</v>
      </c>
      <c r="Y16" s="8">
        <f>IFERROR(__xludf.DUMMYFUNCTION("ROUND(STDEV(FILTER('Car Data'!$I$2:$I$403,'Car Data'!$C$2:$C$403=A16)),2)"),0.0)</f>
        <v>0</v>
      </c>
    </row>
    <row r="17">
      <c r="A17" s="6" t="s">
        <v>44</v>
      </c>
      <c r="B17" s="11" t="str">
        <f t="array" ref="B17">CONCATENATE(INDEX('Car Data'!$A$2:$E$403,MATCH(1,('Car Data'!$D$2:$D$403=C17)*('Car Data'!$C$2:$C$403=A17),0),1)," ",INDEX('Car Data'!$A$2:$E$403,MATCH(1,('Car Data'!$D$2:$D$403=C17)*('Car Data'!$C$2:$C$403=A17),0),2))</f>
        <v>Nissan R89C LM</v>
      </c>
      <c r="C17" s="11">
        <f>MAXIFS('Car Data'!$D$2:$D$403,'Car Data'!$C$2:$C$403,A17)</f>
        <v>247</v>
      </c>
      <c r="D17" s="11" t="str">
        <f t="array" ref="D17">CONCATENATE(INDEX('Car Data'!$A$2:$E$403,MATCH(1,('Car Data'!$D$2:$D$403=E17)*('Car Data'!$C$2:$C$403=A17),0),1)," ",INDEX('Car Data'!$A$2:$E$403,MATCH(1,('Car Data'!$D$2:$D$403=E17)*('Car Data'!$C$2:$C$403=A17),0),2))</f>
        <v>Porsche 962C</v>
      </c>
      <c r="E17" s="11">
        <f>MINIFS('Car Data'!$D$2:$D$403,'Car Data'!$C$2:$C$403,A17)</f>
        <v>205</v>
      </c>
      <c r="F17" s="11">
        <f>ROUND(AVERAGEIFS('Car Data'!$D$2:$D$403,'Car Data'!$C$2:$C$403,A17),2)</f>
        <v>229</v>
      </c>
      <c r="G17" s="11">
        <f>IFERROR(__xludf.DUMMYFUNCTION("ROUND(STDEV(FILTER('Car Data'!$D$2:$D$403,'Car Data'!$C$2:$C$403=A17)),2)"),16.18)</f>
        <v>16.18</v>
      </c>
      <c r="H17" s="11" t="str">
        <f t="array" ref="H17">CONCATENATE(INDEX('Car Data'!$A$2:$E$403,MATCH(1,('Car Data'!$F$2:$F$403=I17)*('Car Data'!$C$2:$C$403=A17),0),1)," ",INDEX('Car Data'!$A$2:$E$403,MATCH(1,('Car Data'!$F$2:$F$403=I17)*('Car Data'!$C$2:$C$403=A17),0),2))</f>
        <v>Nissan GTP ZX-Turbo</v>
      </c>
      <c r="I17" s="11">
        <f>MAXIFS('Car Data'!$F$2:$F$403,'Car Data'!$C$2:$C$403,A17)</f>
        <v>898</v>
      </c>
      <c r="J17" s="11" t="str">
        <f t="array" ref="J17">CONCATENATE(INDEX('Car Data'!$A$2:$E$403,MATCH(1,('Car Data'!$F$2:$F$403=K17)*('Car Data'!$C$2:$C$403=A17),0),1)," ",INDEX('Car Data'!$A$2:$E$403,MATCH(1,('Car Data'!$F$2:$F$403=K17)*('Car Data'!$C$2:$C$403=A17),0),2))</f>
        <v>Jaguar XJR-9 LM</v>
      </c>
      <c r="K17" s="11">
        <f>MINIFS('Car Data'!$F$2:$F$403,'Car Data'!$C$2:$C$403,A17)</f>
        <v>723</v>
      </c>
      <c r="L17" s="11">
        <f>ROUND(AVERAGEIFS('Car Data'!$F$2:$F$403,'Car Data'!$C$2:$C$403,A17),2)</f>
        <v>822.89</v>
      </c>
      <c r="M17" s="11">
        <f>IFERROR(__xludf.DUMMYFUNCTION("ROUND(STDEV(FILTER('Car Data'!$F$2:$F$403,'Car Data'!$C$2:$C$403=A17)),2)"),72.87)</f>
        <v>72.87</v>
      </c>
      <c r="N17" s="11" t="str">
        <f t="array" ref="N17">CONCATENATE(INDEX('Car Data'!$A$2:$E$403,MATCH(1,('Car Data'!$G$2:$G$403=O17)*('Car Data'!$C$2:$C$403=A17),0),1)," ",INDEX('Car Data'!$A$2:$E$403,MATCH(1,('Car Data'!$G$2:$G$403=O17)*('Car Data'!$C$2:$C$403=A17),0),2))</f>
        <v>Jaguar XJR-9 LM</v>
      </c>
      <c r="O17" s="15">
        <f>MAXIFS('Car Data'!$G$2:$G$403,'Car Data'!$C$2:$C$403,A17)</f>
        <v>18.9</v>
      </c>
      <c r="P17" s="15" t="str">
        <f t="array" ref="P17">CONCATENATE(INDEX('Car Data'!$A$2:$E$403,MATCH(1,('Car Data'!$G$2:$G$403=Q17)*('Car Data'!$C$2:$C$403=A17),0),1)," ",INDEX('Car Data'!$A$2:$E$403,MATCH(1,('Car Data'!$G$2:$G$403=Q17)*('Car Data'!$C$2:$C$403=A17),0),2))</f>
        <v>Nissan GTP ZX-Turbo</v>
      </c>
      <c r="Q17" s="11">
        <f>MINIFS('Car Data'!$G$2:$G$403,'Car Data'!$C$2:$C$403,A17)</f>
        <v>10.9</v>
      </c>
      <c r="R17" s="11">
        <f>ROUND(AVERAGEIFS('Car Data'!$G$2:$G$403,'Car Data'!$C$2:$C$403,A17),2)</f>
        <v>14.81</v>
      </c>
      <c r="S17" s="11">
        <f>IFERROR(__xludf.DUMMYFUNCTION("ROUND(STDEV(FILTER('Car Data'!$G$2:$G$403,'Car Data'!$C$2:$C$403=A17)),2)"),2.92)</f>
        <v>2.92</v>
      </c>
      <c r="T17" s="11" t="str">
        <f t="array" ref="T17">CONCATENATE(INDEX('Car Data'!$A$2:$E$403,MATCH(1,('Car Data'!$I$2:$I$403=U17)*('Car Data'!$C$2:$C$403=A17),0),1)," ",INDEX('Car Data'!$A$2:$E$403,MATCH(1,('Car Data'!$I$2:$I$403=U17)*('Car Data'!$C$2:$C$403=A17),0),2))</f>
        <v>Mercedes-Benz Sauber C9 LM</v>
      </c>
      <c r="U17" s="11">
        <f>MAXIFS('Car Data'!$I$2:$I$403,'Car Data'!$C$2:$C$403,A17)</f>
        <v>0.446</v>
      </c>
      <c r="V17" s="11" t="str">
        <f t="array" ref="V17">CONCATENATE(INDEX('Car Data'!$A$2:$E$403,MATCH(1,('Car Data'!$I$2:$I$403=W17)*('Car Data'!$C$2:$C$403=A17),0),1)," ",INDEX('Car Data'!$A$2:$E$403,MATCH(1,('Car Data'!$I$2:$I$403=W17)*('Car Data'!$C$2:$C$403=A17),0),2))</f>
        <v>Jaguar XJR-9 LM</v>
      </c>
      <c r="W17" s="11">
        <f>MINIFS('Car Data'!$I$2:$I$403,'Car Data'!$C$2:$C$403,A17)</f>
        <v>0.372</v>
      </c>
      <c r="X17" s="11">
        <f>ROUND(AVERAGEIFS('Car Data'!$I$2:$I$403,'Car Data'!$C$2:$C$403,A17),2)</f>
        <v>0.42</v>
      </c>
      <c r="Y17" s="11">
        <f>IFERROR(__xludf.DUMMYFUNCTION("ROUND(STDEV(FILTER('Car Data'!$I$2:$I$403,'Car Data'!$C$2:$C$403=A17)),2)"),0.03)</f>
        <v>0.03</v>
      </c>
    </row>
    <row r="18">
      <c r="A18" s="3" t="s">
        <v>171</v>
      </c>
      <c r="B18" s="8" t="str">
        <f t="array" ref="B18">CONCATENATE(INDEX('Car Data'!$A$2:$E$403,MATCH(1,('Car Data'!$D$2:$D$403=C18)*('Car Data'!$C$2:$C$403=A18),0),1)," ",INDEX('Car Data'!$A$2:$E$403,MATCH(1,('Car Data'!$D$2:$D$403=C18)*('Car Data'!$C$2:$C$403=A18),0),2))</f>
        <v>Ferrari F50 GT</v>
      </c>
      <c r="C18" s="8">
        <f>MAXIFS('Car Data'!$D$2:$D$403,'Car Data'!$C$2:$C$403,A18)</f>
        <v>209</v>
      </c>
      <c r="D18" s="8" t="str">
        <f t="array" ref="D18">CONCATENATE(INDEX('Car Data'!$A$2:$E$403,MATCH(1,('Car Data'!$D$2:$D$403=E18)*('Car Data'!$C$2:$C$403=A18),0),1)," ",INDEX('Car Data'!$A$2:$E$403,MATCH(1,('Car Data'!$D$2:$D$403=E18)*('Car Data'!$C$2:$C$403=A18),0),2))</f>
        <v>McLaren F1 GTR Long Tail</v>
      </c>
      <c r="E18" s="8">
        <f>MINIFS('Car Data'!$D$2:$D$403,'Car Data'!$C$2:$C$403,A18)</f>
        <v>197</v>
      </c>
      <c r="F18" s="8">
        <f>ROUND(AVERAGEIFS('Car Data'!$D$2:$D$403,'Car Data'!$C$2:$C$403,A18),2)</f>
        <v>204.29</v>
      </c>
      <c r="G18" s="8">
        <f>IFERROR(__xludf.DUMMYFUNCTION("ROUND(STDEV(FILTER('Car Data'!$D$2:$D$403,'Car Data'!$C$2:$C$403=A18)),2)"),4.39)</f>
        <v>4.39</v>
      </c>
      <c r="H18" s="8" t="str">
        <f t="array" ref="H18">CONCATENATE(INDEX('Car Data'!$A$2:$E$403,MATCH(1,('Car Data'!$F$2:$F$403=I18)*('Car Data'!$C$2:$C$403=A18),0),1)," ",INDEX('Car Data'!$A$2:$E$403,MATCH(1,('Car Data'!$F$2:$F$403=I18)*('Car Data'!$C$2:$C$403=A18),0),2))</f>
        <v>Nissan R390 GT1</v>
      </c>
      <c r="I18" s="8">
        <f>MAXIFS('Car Data'!$F$2:$F$403,'Car Data'!$C$2:$C$403,A18)</f>
        <v>643</v>
      </c>
      <c r="J18" s="8" t="str">
        <f t="array" ref="J18">CONCATENATE(INDEX('Car Data'!$A$2:$E$403,MATCH(1,('Car Data'!$F$2:$F$403=K18)*('Car Data'!$C$2:$C$403=A18),0),1)," ",INDEX('Car Data'!$A$2:$E$403,MATCH(1,('Car Data'!$F$2:$F$403=K18)*('Car Data'!$C$2:$C$403=A18),0),2))</f>
        <v>McLaren F1 GTR Long Tail</v>
      </c>
      <c r="K18" s="8">
        <f>MINIFS('Car Data'!$F$2:$F$403,'Car Data'!$C$2:$C$403,A18)</f>
        <v>555</v>
      </c>
      <c r="L18" s="8">
        <f>ROUND(AVERAGEIFS('Car Data'!$F$2:$F$403,'Car Data'!$C$2:$C$403,A18),2)</f>
        <v>599.14</v>
      </c>
      <c r="M18" s="8">
        <f>IFERROR(__xludf.DUMMYFUNCTION("ROUND(STDEV(FILTER('Car Data'!$F$2:$F$403,'Car Data'!$C$2:$C$403=A18)),2)"),30.6)</f>
        <v>30.6</v>
      </c>
      <c r="N18" s="8" t="str">
        <f t="array" ref="N18">CONCATENATE(INDEX('Car Data'!$A$2:$E$403,MATCH(1,('Car Data'!$G$2:$G$403=O18)*('Car Data'!$C$2:$C$403=A18),0),1)," ",INDEX('Car Data'!$A$2:$E$403,MATCH(1,('Car Data'!$G$2:$G$403=O18)*('Car Data'!$C$2:$C$403=A18),0),2))</f>
        <v>Ferrari F50 GT</v>
      </c>
      <c r="O18" s="14">
        <f>MAXIFS('Car Data'!$G$2:$G$403,'Car Data'!$C$2:$C$403,A18)</f>
        <v>15</v>
      </c>
      <c r="P18" s="14" t="str">
        <f t="array" ref="P18">CONCATENATE(INDEX('Car Data'!$A$2:$E$403,MATCH(1,('Car Data'!$G$2:$G$403=Q18)*('Car Data'!$C$2:$C$403=A18),0),1)," ",INDEX('Car Data'!$A$2:$E$403,MATCH(1,('Car Data'!$G$2:$G$403=Q18)*('Car Data'!$C$2:$C$403=A18),0),2))</f>
        <v>Panoz Esperante GTR1</v>
      </c>
      <c r="Q18" s="8">
        <f>MINIFS('Car Data'!$G$2:$G$403,'Car Data'!$C$2:$C$403,A18)</f>
        <v>13.5</v>
      </c>
      <c r="R18" s="8">
        <f>ROUND(AVERAGEIFS('Car Data'!$G$2:$G$403,'Car Data'!$C$2:$C$403,A18),2)</f>
        <v>14.26</v>
      </c>
      <c r="S18" s="8">
        <f>IFERROR(__xludf.DUMMYFUNCTION("ROUND(STDEV(FILTER('Car Data'!$G$2:$G$403,'Car Data'!$C$2:$C$403=A18)),2)"),0.55)</f>
        <v>0.55</v>
      </c>
      <c r="T18" s="8" t="str">
        <f t="array" ref="T18">CONCATENATE(INDEX('Car Data'!$A$2:$E$403,MATCH(1,('Car Data'!$I$2:$I$403=U18)*('Car Data'!$C$2:$C$403=A18),0),1)," ",INDEX('Car Data'!$A$2:$E$403,MATCH(1,('Car Data'!$I$2:$I$403=U18)*('Car Data'!$C$2:$C$403=A18),0),2))</f>
        <v>Toyota GT-One (1998)</v>
      </c>
      <c r="U18" s="8">
        <f>MAXIFS('Car Data'!$I$2:$I$403,'Car Data'!$C$2:$C$403,A18)</f>
        <v>0.307</v>
      </c>
      <c r="V18" s="8" t="str">
        <f t="array" ref="V18">CONCATENATE(INDEX('Car Data'!$A$2:$E$403,MATCH(1,('Car Data'!$I$2:$I$403=W18)*('Car Data'!$C$2:$C$403=A18),0),1)," ",INDEX('Car Data'!$A$2:$E$403,MATCH(1,('Car Data'!$I$2:$I$403=W18)*('Car Data'!$C$2:$C$403=A18),0),2))</f>
        <v>Porsche 911 GT1-98</v>
      </c>
      <c r="W18" s="8">
        <f>MINIFS('Car Data'!$I$2:$I$403,'Car Data'!$C$2:$C$403,A18)</f>
        <v>0.266</v>
      </c>
      <c r="X18" s="8">
        <f>ROUND(AVERAGEIFS('Car Data'!$I$2:$I$403,'Car Data'!$C$2:$C$403,A18),2)</f>
        <v>0.29</v>
      </c>
      <c r="Y18" s="8">
        <f>IFERROR(__xludf.DUMMYFUNCTION("ROUND(STDEV(FILTER('Car Data'!$I$2:$I$403,'Car Data'!$C$2:$C$403=A18)),2)"),0.02)</f>
        <v>0.02</v>
      </c>
    </row>
    <row r="19">
      <c r="A19" s="6" t="s">
        <v>269</v>
      </c>
      <c r="B19" s="11" t="str">
        <f t="array" ref="B19">CONCATENATE(INDEX('Car Data'!$A$2:$E$403,MATCH(1,('Car Data'!$D$2:$D$403=C19)*('Car Data'!$C$2:$C$403=A19),0),1)," ",INDEX('Car Data'!$A$2:$E$403,MATCH(1,('Car Data'!$D$2:$D$403=C19)*('Car Data'!$C$2:$C$403=A19),0),2))</f>
        <v>Aston Martin Vantage GT3</v>
      </c>
      <c r="C19" s="11">
        <f>MAXIFS('Car Data'!$D$2:$D$403,'Car Data'!$C$2:$C$403,A19)</f>
        <v>186</v>
      </c>
      <c r="D19" s="11" t="str">
        <f t="array" ref="D19">CONCATENATE(INDEX('Car Data'!$A$2:$E$403,MATCH(1,('Car Data'!$D$2:$D$403=E19)*('Car Data'!$C$2:$C$403=A19),0),1)," ",INDEX('Car Data'!$A$2:$E$403,MATCH(1,('Car Data'!$D$2:$D$403=E19)*('Car Data'!$C$2:$C$403=A19),0),2))</f>
        <v>Ginetta G55 GT3</v>
      </c>
      <c r="E19" s="11">
        <f>MINIFS('Car Data'!$D$2:$D$403,'Car Data'!$C$2:$C$403,A19)</f>
        <v>172</v>
      </c>
      <c r="F19" s="11">
        <f>ROUND(AVERAGEIFS('Car Data'!$D$2:$D$403,'Car Data'!$C$2:$C$403,A19),2)</f>
        <v>180.15</v>
      </c>
      <c r="G19" s="11">
        <f>IFERROR(__xludf.DUMMYFUNCTION("ROUND(STDEV(FILTER('Car Data'!$D$2:$D$403,'Car Data'!$C$2:$C$403=A19)),2)"),3.12)</f>
        <v>3.12</v>
      </c>
      <c r="H19" s="11" t="str">
        <f t="array" ref="H19">CONCATENATE(INDEX('Car Data'!$A$2:$E$403,MATCH(1,('Car Data'!$F$2:$F$403=I19)*('Car Data'!$C$2:$C$403=A19),0),1)," ",INDEX('Car Data'!$A$2:$E$403,MATCH(1,('Car Data'!$F$2:$F$403=I19)*('Car Data'!$C$2:$C$403=A19),0),2))</f>
        <v>Mercedes-Benz SLS AMG GT3</v>
      </c>
      <c r="I19" s="11">
        <f>MAXIFS('Car Data'!$F$2:$F$403,'Car Data'!$C$2:$C$403,A19)</f>
        <v>552</v>
      </c>
      <c r="J19" s="11" t="str">
        <f t="array" ref="J19">CONCATENATE(INDEX('Car Data'!$A$2:$E$403,MATCH(1,('Car Data'!$F$2:$F$403=K19)*('Car Data'!$C$2:$C$403=A19),0),1)," ",INDEX('Car Data'!$A$2:$E$403,MATCH(1,('Car Data'!$F$2:$F$403=K19)*('Car Data'!$C$2:$C$403=A19),0),2))</f>
        <v>McLaren 650S GT3</v>
      </c>
      <c r="K19" s="11">
        <f>MINIFS('Car Data'!$F$2:$F$403,'Car Data'!$C$2:$C$403,A19)</f>
        <v>492</v>
      </c>
      <c r="L19" s="11">
        <f>ROUND(AVERAGEIFS('Car Data'!$F$2:$F$403,'Car Data'!$C$2:$C$403,A19),2)</f>
        <v>508.65</v>
      </c>
      <c r="M19" s="11">
        <f>IFERROR(__xludf.DUMMYFUNCTION("ROUND(STDEV(FILTER('Car Data'!$F$2:$F$403,'Car Data'!$C$2:$C$403=A19)),2)"),14.51)</f>
        <v>14.51</v>
      </c>
      <c r="N19" s="11" t="str">
        <f t="array" ref="N19">CONCATENATE(INDEX('Car Data'!$A$2:$E$403,MATCH(1,('Car Data'!$G$2:$G$403=O19)*('Car Data'!$C$2:$C$403=A19),0),1)," ",INDEX('Car Data'!$A$2:$E$403,MATCH(1,('Car Data'!$G$2:$G$403=O19)*('Car Data'!$C$2:$C$403=A19),0),2))</f>
        <v>Acura NSX GT3</v>
      </c>
      <c r="O19" s="15">
        <f>MAXIFS('Car Data'!$G$2:$G$403,'Car Data'!$C$2:$C$403,A19)</f>
        <v>12.7</v>
      </c>
      <c r="P19" s="15" t="str">
        <f t="array" ref="P19">CONCATENATE(INDEX('Car Data'!$A$2:$E$403,MATCH(1,('Car Data'!$G$2:$G$403=Q19)*('Car Data'!$C$2:$C$403=A19),0),1)," ",INDEX('Car Data'!$A$2:$E$403,MATCH(1,('Car Data'!$G$2:$G$403=Q19)*('Car Data'!$C$2:$C$403=A19),0),2))</f>
        <v>Ginetta G55 GT3</v>
      </c>
      <c r="Q19" s="11">
        <f>MINIFS('Car Data'!$G$2:$G$403,'Car Data'!$C$2:$C$403,A19)</f>
        <v>10.3</v>
      </c>
      <c r="R19" s="11">
        <f>ROUND(AVERAGEIFS('Car Data'!$G$2:$G$403,'Car Data'!$C$2:$C$403,A19),2)</f>
        <v>11.52</v>
      </c>
      <c r="S19" s="11">
        <f>IFERROR(__xludf.DUMMYFUNCTION("ROUND(STDEV(FILTER('Car Data'!$G$2:$G$403,'Car Data'!$C$2:$C$403=A19)),2)"),0.58)</f>
        <v>0.58</v>
      </c>
      <c r="T19" s="11" t="str">
        <f t="array" ref="T19">CONCATENATE(INDEX('Car Data'!$A$2:$E$403,MATCH(1,('Car Data'!$I$2:$I$403=U19)*('Car Data'!$C$2:$C$403=A19),0),1)," ",INDEX('Car Data'!$A$2:$E$403,MATCH(1,('Car Data'!$I$2:$I$403=U19)*('Car Data'!$C$2:$C$403=A19),0),2))</f>
        <v>BMW Z4 GT3</v>
      </c>
      <c r="U19" s="11">
        <f>MAXIFS('Car Data'!$I$2:$I$403,'Car Data'!$C$2:$C$403,A19)</f>
        <v>0.19</v>
      </c>
      <c r="V19" s="11" t="str">
        <f t="array" ref="V19">CONCATENATE(INDEX('Car Data'!$A$2:$E$403,MATCH(1,('Car Data'!$I$2:$I$403=W19)*('Car Data'!$C$2:$C$403=A19),0),1)," ",INDEX('Car Data'!$A$2:$E$403,MATCH(1,('Car Data'!$I$2:$I$403=W19)*('Car Data'!$C$2:$C$403=A19),0),2))</f>
        <v>Bentley Continental GT3 (2015)</v>
      </c>
      <c r="W19" s="11">
        <f>MINIFS('Car Data'!$I$2:$I$403,'Car Data'!$C$2:$C$403,A19)</f>
        <v>0.175</v>
      </c>
      <c r="X19" s="11">
        <f>ROUND(AVERAGEIFS('Car Data'!$I$2:$I$403,'Car Data'!$C$2:$C$403,A19),2)</f>
        <v>0.18</v>
      </c>
      <c r="Y19" s="11">
        <f>IFERROR(__xludf.DUMMYFUNCTION("ROUND(STDEV(FILTER('Car Data'!$I$2:$I$403,'Car Data'!$C$2:$C$403=A19)),2)"),0.0)</f>
        <v>0</v>
      </c>
    </row>
    <row r="20">
      <c r="A20" s="3" t="s">
        <v>475</v>
      </c>
      <c r="B20" s="8" t="str">
        <f t="array" ref="B20">CONCATENATE(INDEX('Car Data'!$A$2:$E$403,MATCH(1,('Car Data'!$D$2:$D$403=C20)*('Car Data'!$C$2:$C$403=A20),0),1)," ",INDEX('Car Data'!$A$2:$E$403,MATCH(1,('Car Data'!$D$2:$D$403=C20)*('Car Data'!$C$2:$C$403=A20),0),2))</f>
        <v>BMW M3 GT4 (E92)</v>
      </c>
      <c r="C20" s="8">
        <f>MAXIFS('Car Data'!$D$2:$D$403,'Car Data'!$C$2:$C$403,A20)</f>
        <v>181</v>
      </c>
      <c r="D20" s="8" t="str">
        <f t="array" ref="D20">CONCATENATE(INDEX('Car Data'!$A$2:$E$403,MATCH(1,('Car Data'!$D$2:$D$403=E20)*('Car Data'!$C$2:$C$403=A20),0),1)," ",INDEX('Car Data'!$A$2:$E$403,MATCH(1,('Car Data'!$D$2:$D$403=E20)*('Car Data'!$C$2:$C$403=A20),0),2))</f>
        <v>KTM X-Bow GT4</v>
      </c>
      <c r="E20" s="8">
        <f>MINIFS('Car Data'!$D$2:$D$403,'Car Data'!$C$2:$C$403,A20)</f>
        <v>154</v>
      </c>
      <c r="F20" s="8">
        <f>ROUND(AVERAGEIFS('Car Data'!$D$2:$D$403,'Car Data'!$C$2:$C$403,A20),2)</f>
        <v>169.5</v>
      </c>
      <c r="G20" s="8">
        <f>IFERROR(__xludf.DUMMYFUNCTION("ROUND(STDEV(FILTER('Car Data'!$D$2:$D$403,'Car Data'!$C$2:$C$403=A20)),2)"),8.6)</f>
        <v>8.6</v>
      </c>
      <c r="H20" s="8" t="str">
        <f t="array" ref="H20">CONCATENATE(INDEX('Car Data'!$A$2:$E$403,MATCH(1,('Car Data'!$F$2:$F$403=I20)*('Car Data'!$C$2:$C$403=A20),0),1)," ",INDEX('Car Data'!$A$2:$E$403,MATCH(1,('Car Data'!$F$2:$F$403=I20)*('Car Data'!$C$2:$C$403=A20),0),2))</f>
        <v>Ford Mustang Boss 302R</v>
      </c>
      <c r="I20" s="8">
        <f>MAXIFS('Car Data'!$F$2:$F$403,'Car Data'!$C$2:$C$403,A20)</f>
        <v>448</v>
      </c>
      <c r="J20" s="8" t="str">
        <f t="array" ref="J20">CONCATENATE(INDEX('Car Data'!$A$2:$E$403,MATCH(1,('Car Data'!$F$2:$F$403=K20)*('Car Data'!$C$2:$C$403=A20),0),1)," ",INDEX('Car Data'!$A$2:$E$403,MATCH(1,('Car Data'!$F$2:$F$403=K20)*('Car Data'!$C$2:$C$403=A20),0),2))</f>
        <v>KTM X-Bow GT4</v>
      </c>
      <c r="K20" s="8">
        <f>MINIFS('Car Data'!$F$2:$F$403,'Car Data'!$C$2:$C$403,A20)</f>
        <v>339</v>
      </c>
      <c r="L20" s="8">
        <f>ROUND(AVERAGEIFS('Car Data'!$F$2:$F$403,'Car Data'!$C$2:$C$403,A20),2)</f>
        <v>398.25</v>
      </c>
      <c r="M20" s="8">
        <f>IFERROR(__xludf.DUMMYFUNCTION("ROUND(STDEV(FILTER('Car Data'!$F$2:$F$403,'Car Data'!$C$2:$C$403=A20)),2)"),42.63)</f>
        <v>42.63</v>
      </c>
      <c r="N20" s="8" t="str">
        <f t="array" ref="N20">CONCATENATE(INDEX('Car Data'!$A$2:$E$403,MATCH(1,('Car Data'!$G$2:$G$403=O20)*('Car Data'!$C$2:$C$403=A20),0),1)," ",INDEX('Car Data'!$A$2:$E$403,MATCH(1,('Car Data'!$G$2:$G$403=O20)*('Car Data'!$C$2:$C$403=A20),0),2))</f>
        <v>BMW M3 GT4 (E92)</v>
      </c>
      <c r="O20" s="14">
        <f>MAXIFS('Car Data'!$G$2:$G$403,'Car Data'!$C$2:$C$403,A20)</f>
        <v>13.7</v>
      </c>
      <c r="P20" s="14" t="str">
        <f t="array" ref="P20">CONCATENATE(INDEX('Car Data'!$A$2:$E$403,MATCH(1,('Car Data'!$G$2:$G$403=Q20)*('Car Data'!$C$2:$C$403=A20),0),1)," ",INDEX('Car Data'!$A$2:$E$403,MATCH(1,('Car Data'!$G$2:$G$403=Q20)*('Car Data'!$C$2:$C$403=A20),0),2))</f>
        <v>KTM X-Bow GT4</v>
      </c>
      <c r="Q20" s="8">
        <f>MINIFS('Car Data'!$G$2:$G$403,'Car Data'!$C$2:$C$403,A20)</f>
        <v>10.8</v>
      </c>
      <c r="R20" s="8">
        <f>ROUND(AVERAGEIFS('Car Data'!$G$2:$G$403,'Car Data'!$C$2:$C$403,A20),2)</f>
        <v>12.29</v>
      </c>
      <c r="S20" s="8">
        <f>IFERROR(__xludf.DUMMYFUNCTION("ROUND(STDEV(FILTER('Car Data'!$G$2:$G$403,'Car Data'!$C$2:$C$403=A20)),2)"),0.97)</f>
        <v>0.97</v>
      </c>
      <c r="T20" s="8" t="str">
        <f t="array" ref="T20">CONCATENATE(INDEX('Car Data'!$A$2:$E$403,MATCH(1,('Car Data'!$I$2:$I$403=U20)*('Car Data'!$C$2:$C$403=A20),0),1)," ",INDEX('Car Data'!$A$2:$E$403,MATCH(1,('Car Data'!$I$2:$I$403=U20)*('Car Data'!$C$2:$C$403=A20),0),2))</f>
        <v>Toyota GT-86 Rocket Bunny GT4</v>
      </c>
      <c r="U20" s="8">
        <f>MAXIFS('Car Data'!$I$2:$I$403,'Car Data'!$C$2:$C$403,A20)</f>
        <v>0.143</v>
      </c>
      <c r="V20" s="8" t="str">
        <f t="array" ref="V20">CONCATENATE(INDEX('Car Data'!$A$2:$E$403,MATCH(1,('Car Data'!$I$2:$I$403=W20)*('Car Data'!$C$2:$C$403=A20),0),1)," ",INDEX('Car Data'!$A$2:$E$403,MATCH(1,('Car Data'!$I$2:$I$403=W20)*('Car Data'!$C$2:$C$403=A20),0),2))</f>
        <v>Ford Mustang RTR GT4</v>
      </c>
      <c r="W20" s="8">
        <f>MINIFS('Car Data'!$I$2:$I$403,'Car Data'!$C$2:$C$403,A20)</f>
        <v>0.128</v>
      </c>
      <c r="X20" s="8">
        <f>ROUND(AVERAGEIFS('Car Data'!$I$2:$I$403,'Car Data'!$C$2:$C$403,A20),2)</f>
        <v>0.14</v>
      </c>
      <c r="Y20" s="8">
        <f>IFERROR(__xludf.DUMMYFUNCTION("ROUND(STDEV(FILTER('Car Data'!$I$2:$I$403,'Car Data'!$C$2:$C$403=A20)),2)"),0.01)</f>
        <v>0.01</v>
      </c>
    </row>
    <row r="21">
      <c r="A21" s="6" t="s">
        <v>587</v>
      </c>
      <c r="B21" s="11" t="str">
        <f t="array" ref="B21">CONCATENATE(INDEX('Car Data'!$A$2:$E$403,MATCH(1,('Car Data'!$D$2:$D$403=C21)*('Car Data'!$C$2:$C$403=A21),0),1)," ",INDEX('Car Data'!$A$2:$E$403,MATCH(1,('Car Data'!$D$2:$D$403=C21)*('Car Data'!$C$2:$C$403=A21),0),2))</f>
        <v>Ginetta G40 GT5</v>
      </c>
      <c r="C21" s="11">
        <f>MAXIFS('Car Data'!$D$2:$D$403,'Car Data'!$C$2:$C$403,A21)</f>
        <v>145</v>
      </c>
      <c r="D21" s="11" t="str">
        <f t="array" ref="D21">CONCATENATE(INDEX('Car Data'!$A$2:$E$403,MATCH(1,('Car Data'!$D$2:$D$403=E21)*('Car Data'!$C$2:$C$403=A21),0),1)," ",INDEX('Car Data'!$A$2:$E$403,MATCH(1,('Car Data'!$D$2:$D$403=E21)*('Car Data'!$C$2:$C$403=A21),0),2))</f>
        <v>Ginetta G40 GT5</v>
      </c>
      <c r="E21" s="11">
        <f>MINIFS('Car Data'!$D$2:$D$403,'Car Data'!$C$2:$C$403,A21)</f>
        <v>145</v>
      </c>
      <c r="F21" s="11">
        <f>ROUND(AVERAGEIFS('Car Data'!$D$2:$D$403,'Car Data'!$C$2:$C$403,A21),2)</f>
        <v>145</v>
      </c>
      <c r="G21" s="11" t="str">
        <f>IFERROR(__xludf.DUMMYFUNCTION("ROUND(STDEV(FILTER('Car Data'!$D$2:$D$403,'Car Data'!$C$2:$C$403=A21)),2)"),"#DIV/0!")</f>
        <v>#DIV/0!</v>
      </c>
      <c r="H21" s="11" t="str">
        <f t="array" ref="H21">CONCATENATE(INDEX('Car Data'!$A$2:$E$403,MATCH(1,('Car Data'!$F$2:$F$403=I21)*('Car Data'!$C$2:$C$403=A21),0),1)," ",INDEX('Car Data'!$A$2:$E$403,MATCH(1,('Car Data'!$F$2:$F$403=I21)*('Car Data'!$C$2:$C$403=A21),0),2))</f>
        <v>Ginetta G40 GT5</v>
      </c>
      <c r="I21" s="11">
        <f>MAXIFS('Car Data'!$F$2:$F$403,'Car Data'!$C$2:$C$403,A21)</f>
        <v>158</v>
      </c>
      <c r="J21" s="11" t="str">
        <f t="array" ref="J21">CONCATENATE(INDEX('Car Data'!$A$2:$E$403,MATCH(1,('Car Data'!$F$2:$F$403=K21)*('Car Data'!$C$2:$C$403=A21),0),1)," ",INDEX('Car Data'!$A$2:$E$403,MATCH(1,('Car Data'!$F$2:$F$403=K21)*('Car Data'!$C$2:$C$403=A21),0),2))</f>
        <v>Ginetta G40 GT5</v>
      </c>
      <c r="K21" s="11">
        <f>MINIFS('Car Data'!$F$2:$F$403,'Car Data'!$C$2:$C$403,A21)</f>
        <v>158</v>
      </c>
      <c r="L21" s="11">
        <f>ROUND(AVERAGEIFS('Car Data'!$F$2:$F$403,'Car Data'!$C$2:$C$403,A21),2)</f>
        <v>158</v>
      </c>
      <c r="M21" s="11" t="str">
        <f>IFERROR(__xludf.DUMMYFUNCTION("ROUND(STDEV(FILTER('Car Data'!$F$2:$F$403,'Car Data'!$C$2:$C$403=A21)),2)"),"#DIV/0!")</f>
        <v>#DIV/0!</v>
      </c>
      <c r="N21" s="11" t="str">
        <f t="array" ref="N21">CONCATENATE(INDEX('Car Data'!$A$2:$E$403,MATCH(1,('Car Data'!$G$2:$G$403=O21)*('Car Data'!$C$2:$C$403=A21),0),1)," ",INDEX('Car Data'!$A$2:$E$403,MATCH(1,('Car Data'!$G$2:$G$403=O21)*('Car Data'!$C$2:$C$403=A21),0),2))</f>
        <v>Ginetta G40 GT5</v>
      </c>
      <c r="O21" s="15">
        <f>MAXIFS('Car Data'!$G$2:$G$403,'Car Data'!$C$2:$C$403,A21)</f>
        <v>19.3</v>
      </c>
      <c r="P21" s="15" t="str">
        <f t="array" ref="P21">CONCATENATE(INDEX('Car Data'!$A$2:$E$403,MATCH(1,('Car Data'!$G$2:$G$403=Q21)*('Car Data'!$C$2:$C$403=A21),0),1)," ",INDEX('Car Data'!$A$2:$E$403,MATCH(1,('Car Data'!$G$2:$G$403=Q21)*('Car Data'!$C$2:$C$403=A21),0),2))</f>
        <v>Ginetta G40 GT5</v>
      </c>
      <c r="Q21" s="11">
        <f>MINIFS('Car Data'!$G$2:$G$403,'Car Data'!$C$2:$C$403,A21)</f>
        <v>19.3</v>
      </c>
      <c r="R21" s="11">
        <f>ROUND(AVERAGEIFS('Car Data'!$G$2:$G$403,'Car Data'!$C$2:$C$403,A21),2)</f>
        <v>19.3</v>
      </c>
      <c r="S21" s="11" t="str">
        <f>IFERROR(__xludf.DUMMYFUNCTION("ROUND(STDEV(FILTER('Car Data'!$G$2:$G$403,'Car Data'!$C$2:$C$403=A21)),2)"),"#DIV/0!")</f>
        <v>#DIV/0!</v>
      </c>
      <c r="T21" s="11" t="str">
        <f t="array" ref="T21">CONCATENATE(INDEX('Car Data'!$A$2:$E$403,MATCH(1,('Car Data'!$I$2:$I$403=U21)*('Car Data'!$C$2:$C$403=A21),0),1)," ",INDEX('Car Data'!$A$2:$E$403,MATCH(1,('Car Data'!$I$2:$I$403=U21)*('Car Data'!$C$2:$C$403=A21),0),2))</f>
        <v>Ginetta G40 GT5</v>
      </c>
      <c r="U21" s="11">
        <f>MAXIFS('Car Data'!$I$2:$I$403,'Car Data'!$C$2:$C$403,A21)</f>
        <v>0.079</v>
      </c>
      <c r="V21" s="11" t="str">
        <f t="array" ref="V21">CONCATENATE(INDEX('Car Data'!$A$2:$E$403,MATCH(1,('Car Data'!$I$2:$I$403=W21)*('Car Data'!$C$2:$C$403=A21),0),1)," ",INDEX('Car Data'!$A$2:$E$403,MATCH(1,('Car Data'!$I$2:$I$403=W21)*('Car Data'!$C$2:$C$403=A21),0),2))</f>
        <v>Ginetta G40 GT5</v>
      </c>
      <c r="W21" s="11">
        <f>MINIFS('Car Data'!$I$2:$I$403,'Car Data'!$C$2:$C$403,A21)</f>
        <v>0.079</v>
      </c>
      <c r="X21" s="11">
        <f>ROUND(AVERAGEIFS('Car Data'!$I$2:$I$403,'Car Data'!$C$2:$C$403,A21),2)</f>
        <v>0.08</v>
      </c>
      <c r="Y21" s="11" t="str">
        <f>IFERROR(__xludf.DUMMYFUNCTION("ROUND(STDEV(FILTER('Car Data'!$I$2:$I$403,'Car Data'!$C$2:$C$403=A21)),2)"),"#DIV/0!")</f>
        <v>#DIV/0!</v>
      </c>
    </row>
    <row r="22">
      <c r="A22" s="3" t="s">
        <v>212</v>
      </c>
      <c r="B22" s="8" t="str">
        <f t="array" ref="B22">CONCATENATE(INDEX('Car Data'!$A$2:$E$403,MATCH(1,('Car Data'!$D$2:$D$403=C22)*('Car Data'!$C$2:$C$403=A22),0),1)," ",INDEX('Car Data'!$A$2:$E$403,MATCH(1,('Car Data'!$D$2:$D$403=C22)*('Car Data'!$C$2:$C$403=A22),0),2))</f>
        <v>Ford GT LM GTE</v>
      </c>
      <c r="C22" s="8">
        <f>MAXIFS('Car Data'!$D$2:$D$403,'Car Data'!$C$2:$C$403,A22)</f>
        <v>192</v>
      </c>
      <c r="D22" s="8" t="str">
        <f t="array" ref="D22">CONCATENATE(INDEX('Car Data'!$A$2:$E$403,MATCH(1,('Car Data'!$D$2:$D$403=E22)*('Car Data'!$C$2:$C$403=A22),0),1)," ",INDEX('Car Data'!$A$2:$E$403,MATCH(1,('Car Data'!$D$2:$D$403=E22)*('Car Data'!$C$2:$C$403=A22),0),2))</f>
        <v>Ferrari 488 GTE</v>
      </c>
      <c r="E22" s="8">
        <f>MINIFS('Car Data'!$D$2:$D$403,'Car Data'!$C$2:$C$403,A22)</f>
        <v>184</v>
      </c>
      <c r="F22" s="8">
        <f>ROUND(AVERAGEIFS('Car Data'!$D$2:$D$403,'Car Data'!$C$2:$C$403,A22),2)</f>
        <v>188.17</v>
      </c>
      <c r="G22" s="8">
        <f>IFERROR(__xludf.DUMMYFUNCTION("ROUND(STDEV(FILTER('Car Data'!$D$2:$D$403,'Car Data'!$C$2:$C$403=A22)),2)"),3.06)</f>
        <v>3.06</v>
      </c>
      <c r="H22" s="8" t="str">
        <f t="array" ref="H22">CONCATENATE(INDEX('Car Data'!$A$2:$E$403,MATCH(1,('Car Data'!$F$2:$F$403=I22)*('Car Data'!$C$2:$C$403=A22),0),1)," ",INDEX('Car Data'!$A$2:$E$403,MATCH(1,('Car Data'!$F$2:$F$403=I22)*('Car Data'!$C$2:$C$403=A22),0),2))</f>
        <v>Porsche 911 RSR</v>
      </c>
      <c r="I22" s="8">
        <f>MAXIFS('Car Data'!$F$2:$F$403,'Car Data'!$C$2:$C$403,A22)</f>
        <v>526</v>
      </c>
      <c r="J22" s="8" t="str">
        <f t="array" ref="J22">CONCATENATE(INDEX('Car Data'!$A$2:$E$403,MATCH(1,('Car Data'!$F$2:$F$403=K22)*('Car Data'!$C$2:$C$403=A22),0),1)," ",INDEX('Car Data'!$A$2:$E$403,MATCH(1,('Car Data'!$F$2:$F$403=K22)*('Car Data'!$C$2:$C$403=A22),0),2))</f>
        <v>BMW M6 GTLM</v>
      </c>
      <c r="K22" s="8">
        <f>MINIFS('Car Data'!$F$2:$F$403,'Car Data'!$C$2:$C$403,A22)</f>
        <v>509</v>
      </c>
      <c r="L22" s="8">
        <f>ROUND(AVERAGEIFS('Car Data'!$F$2:$F$403,'Car Data'!$C$2:$C$403,A22),2)</f>
        <v>517</v>
      </c>
      <c r="M22" s="8">
        <f>IFERROR(__xludf.DUMMYFUNCTION("ROUND(STDEV(FILTER('Car Data'!$F$2:$F$403,'Car Data'!$C$2:$C$403=A22)),2)"),7.82)</f>
        <v>7.82</v>
      </c>
      <c r="N22" s="8" t="str">
        <f t="array" ref="N22">CONCATENATE(INDEX('Car Data'!$A$2:$E$403,MATCH(1,('Car Data'!$G$2:$G$403=O22)*('Car Data'!$C$2:$C$403=A22),0),1)," ",INDEX('Car Data'!$A$2:$E$403,MATCH(1,('Car Data'!$G$2:$G$403=O22)*('Car Data'!$C$2:$C$403=A22),0),2))</f>
        <v>Ford GT LM GTE</v>
      </c>
      <c r="O22" s="14">
        <f>MAXIFS('Car Data'!$G$2:$G$403,'Car Data'!$C$2:$C$403,A22)</f>
        <v>13.5</v>
      </c>
      <c r="P22" s="14" t="str">
        <f t="array" ref="P22">CONCATENATE(INDEX('Car Data'!$A$2:$E$403,MATCH(1,('Car Data'!$G$2:$G$403=Q22)*('Car Data'!$C$2:$C$403=A22),0),1)," ",INDEX('Car Data'!$A$2:$E$403,MATCH(1,('Car Data'!$G$2:$G$403=Q22)*('Car Data'!$C$2:$C$403=A22),0),2))</f>
        <v>Ferrari 488 GTE</v>
      </c>
      <c r="Q22" s="8">
        <f>MINIFS('Car Data'!$G$2:$G$403,'Car Data'!$C$2:$C$403,A22)</f>
        <v>12.2</v>
      </c>
      <c r="R22" s="8">
        <f>ROUND(AVERAGEIFS('Car Data'!$G$2:$G$403,'Car Data'!$C$2:$C$403,A22),2)</f>
        <v>12.87</v>
      </c>
      <c r="S22" s="8">
        <f>IFERROR(__xludf.DUMMYFUNCTION("ROUND(STDEV(FILTER('Car Data'!$G$2:$G$403,'Car Data'!$C$2:$C$403=A22)),2)"),0.54)</f>
        <v>0.54</v>
      </c>
      <c r="T22" s="8" t="str">
        <f t="array" ref="T22">CONCATENATE(INDEX('Car Data'!$A$2:$E$403,MATCH(1,('Car Data'!$I$2:$I$403=U22)*('Car Data'!$C$2:$C$403=A22),0),1)," ",INDEX('Car Data'!$A$2:$E$403,MATCH(1,('Car Data'!$I$2:$I$403=U22)*('Car Data'!$C$2:$C$403=A22),0),2))</f>
        <v>Aston Martin Vantage GTE</v>
      </c>
      <c r="U22" s="8">
        <f>MAXIFS('Car Data'!$I$2:$I$403,'Car Data'!$C$2:$C$403,A22)</f>
        <v>0.194</v>
      </c>
      <c r="V22" s="8" t="str">
        <f t="array" ref="V22">CONCATENATE(INDEX('Car Data'!$A$2:$E$403,MATCH(1,('Car Data'!$I$2:$I$403=W22)*('Car Data'!$C$2:$C$403=A22),0),1)," ",INDEX('Car Data'!$A$2:$E$403,MATCH(1,('Car Data'!$I$2:$I$403=W22)*('Car Data'!$C$2:$C$403=A22),0),2))</f>
        <v>Ferrari 488 GTE</v>
      </c>
      <c r="W22" s="8">
        <f>MINIFS('Car Data'!$I$2:$I$403,'Car Data'!$C$2:$C$403,A22)</f>
        <v>0.185</v>
      </c>
      <c r="X22" s="8">
        <f>ROUND(AVERAGEIFS('Car Data'!$I$2:$I$403,'Car Data'!$C$2:$C$403,A22),2)</f>
        <v>0.19</v>
      </c>
      <c r="Y22" s="8">
        <f>IFERROR(__xludf.DUMMYFUNCTION("ROUND(STDEV(FILTER('Car Data'!$I$2:$I$403,'Car Data'!$C$2:$C$403=A22)),2)"),0.0)</f>
        <v>0</v>
      </c>
    </row>
    <row r="23">
      <c r="A23" s="6" t="s">
        <v>141</v>
      </c>
      <c r="B23" s="11" t="str">
        <f t="array" ref="B23">CONCATENATE(INDEX('Car Data'!$A$2:$E$403,MATCH(1,('Car Data'!$D$2:$D$403=C23)*('Car Data'!$C$2:$C$403=A23),0),1)," ",INDEX('Car Data'!$A$2:$E$403,MATCH(1,('Car Data'!$D$2:$D$403=C23)*('Car Data'!$C$2:$C$403=A23),0),2))</f>
        <v>Ferrari F40 LM</v>
      </c>
      <c r="C23" s="11">
        <f>MAXIFS('Car Data'!$D$2:$D$403,'Car Data'!$C$2:$C$403,A23)</f>
        <v>225</v>
      </c>
      <c r="D23" s="11" t="str">
        <f t="array" ref="D23">CONCATENATE(INDEX('Car Data'!$A$2:$E$403,MATCH(1,('Car Data'!$D$2:$D$403=E23)*('Car Data'!$C$2:$C$403=A23),0),1)," ",INDEX('Car Data'!$A$2:$E$403,MATCH(1,('Car Data'!$D$2:$D$403=E23)*('Car Data'!$C$2:$C$403=A23),0),2))</f>
        <v>Audi 90 IMSA GTO</v>
      </c>
      <c r="E23" s="11">
        <f>MINIFS('Car Data'!$D$2:$D$403,'Car Data'!$C$2:$C$403,A23)</f>
        <v>194</v>
      </c>
      <c r="F23" s="11">
        <f>ROUND(AVERAGEIFS('Car Data'!$D$2:$D$403,'Car Data'!$C$2:$C$403,A23),2)</f>
        <v>210.43</v>
      </c>
      <c r="G23" s="11">
        <f>IFERROR(__xludf.DUMMYFUNCTION("ROUND(STDEV(FILTER('Car Data'!$D$2:$D$403,'Car Data'!$C$2:$C$403=A23)),2)"),10.89)</f>
        <v>10.89</v>
      </c>
      <c r="H23" s="11" t="str">
        <f t="array" ref="H23">CONCATENATE(INDEX('Car Data'!$A$2:$E$403,MATCH(1,('Car Data'!$F$2:$F$403=I23)*('Car Data'!$C$2:$C$403=A23),0),1)," ",INDEX('Car Data'!$A$2:$E$403,MATCH(1,('Car Data'!$F$2:$F$403=I23)*('Car Data'!$C$2:$C$403=A23),0),2))</f>
        <v>Ferrari F40 LM</v>
      </c>
      <c r="I23" s="11">
        <f>MAXIFS('Car Data'!$F$2:$F$403,'Car Data'!$C$2:$C$403,A23)</f>
        <v>802</v>
      </c>
      <c r="J23" s="11" t="str">
        <f t="array" ref="J23">CONCATENATE(INDEX('Car Data'!$A$2:$E$403,MATCH(1,('Car Data'!$F$2:$F$403=K23)*('Car Data'!$C$2:$C$403=A23),0),1)," ",INDEX('Car Data'!$A$2:$E$403,MATCH(1,('Car Data'!$F$2:$F$403=K23)*('Car Data'!$C$2:$C$403=A23),0),2))</f>
        <v>Lamborghini Diablo GTR</v>
      </c>
      <c r="K23" s="11">
        <f>MINIFS('Car Data'!$F$2:$F$403,'Car Data'!$C$2:$C$403,A23)</f>
        <v>585</v>
      </c>
      <c r="L23" s="11">
        <f>ROUND(AVERAGEIFS('Car Data'!$F$2:$F$403,'Car Data'!$C$2:$C$403,A23),2)</f>
        <v>713.43</v>
      </c>
      <c r="M23" s="11">
        <f>IFERROR(__xludf.DUMMYFUNCTION("ROUND(STDEV(FILTER('Car Data'!$F$2:$F$403,'Car Data'!$C$2:$C$403=A23)),2)"),81.23)</f>
        <v>81.23</v>
      </c>
      <c r="N23" s="11" t="str">
        <f t="array" ref="N23">CONCATENATE(INDEX('Car Data'!$A$2:$E$403,MATCH(1,('Car Data'!$G$2:$G$403=O23)*('Car Data'!$C$2:$C$403=A23),0),1)," ",INDEX('Car Data'!$A$2:$E$403,MATCH(1,('Car Data'!$G$2:$G$403=O23)*('Car Data'!$C$2:$C$403=A23),0),2))</f>
        <v>Ford Mustang Cobra TransAm</v>
      </c>
      <c r="O23" s="15">
        <f>MAXIFS('Car Data'!$G$2:$G$403,'Car Data'!$C$2:$C$403,A23)</f>
        <v>15.5</v>
      </c>
      <c r="P23" s="15" t="str">
        <f t="array" ref="P23">CONCATENATE(INDEX('Car Data'!$A$2:$E$403,MATCH(1,('Car Data'!$G$2:$G$403=Q23)*('Car Data'!$C$2:$C$403=A23),0),1)," ",INDEX('Car Data'!$A$2:$E$403,MATCH(1,('Car Data'!$G$2:$G$403=Q23)*('Car Data'!$C$2:$C$403=A23),0),2))</f>
        <v>Audi 90 IMSA GTO</v>
      </c>
      <c r="Q23" s="11">
        <f>MINIFS('Car Data'!$G$2:$G$403,'Car Data'!$C$2:$C$403,A23)</f>
        <v>9.8</v>
      </c>
      <c r="R23" s="11">
        <f>ROUND(AVERAGEIFS('Car Data'!$G$2:$G$403,'Car Data'!$C$2:$C$403,A23),2)</f>
        <v>13.21</v>
      </c>
      <c r="S23" s="11">
        <f>IFERROR(__xludf.DUMMYFUNCTION("ROUND(STDEV(FILTER('Car Data'!$G$2:$G$403,'Car Data'!$C$2:$C$403=A23)),2)"),1.96)</f>
        <v>1.96</v>
      </c>
      <c r="T23" s="11" t="str">
        <f t="array" ref="T23">CONCATENATE(INDEX('Car Data'!$A$2:$E$403,MATCH(1,('Car Data'!$I$2:$I$403=U23)*('Car Data'!$C$2:$C$403=A23),0),1)," ",INDEX('Car Data'!$A$2:$E$403,MATCH(1,('Car Data'!$I$2:$I$403=U23)*('Car Data'!$C$2:$C$403=A23),0),2))</f>
        <v>Ferrari F40 LM</v>
      </c>
      <c r="U23" s="11">
        <f>MAXIFS('Car Data'!$I$2:$I$403,'Car Data'!$C$2:$C$403,A23)</f>
        <v>0.347</v>
      </c>
      <c r="V23" s="11" t="str">
        <f t="array" ref="V23">CONCATENATE(INDEX('Car Data'!$A$2:$E$403,MATCH(1,('Car Data'!$I$2:$I$403=W23)*('Car Data'!$C$2:$C$403=A23),0),1)," ",INDEX('Car Data'!$A$2:$E$403,MATCH(1,('Car Data'!$I$2:$I$403=W23)*('Car Data'!$C$2:$C$403=A23),0),2))</f>
        <v>Lamborghini Diablo GTR</v>
      </c>
      <c r="W23" s="11">
        <f>MINIFS('Car Data'!$I$2:$I$403,'Car Data'!$C$2:$C$403,A23)</f>
        <v>0.19</v>
      </c>
      <c r="X23" s="11">
        <f>ROUND(AVERAGEIFS('Car Data'!$I$2:$I$403,'Car Data'!$C$2:$C$403,A23),2)</f>
        <v>0.27</v>
      </c>
      <c r="Y23" s="11">
        <f>IFERROR(__xludf.DUMMYFUNCTION("ROUND(STDEV(FILTER('Car Data'!$I$2:$I$403,'Car Data'!$C$2:$C$403=A23)),2)"),0.05)</f>
        <v>0.05</v>
      </c>
    </row>
    <row r="24">
      <c r="A24" s="3" t="s">
        <v>50</v>
      </c>
      <c r="B24" s="8" t="str">
        <f t="array" ref="B24">CONCATENATE(INDEX('Car Data'!$A$2:$E$403,MATCH(1,('Car Data'!$D$2:$D$403=C24)*('Car Data'!$C$2:$C$403=A24),0),1)," ",INDEX('Car Data'!$A$2:$E$403,MATCH(1,('Car Data'!$D$2:$D$403=C24)*('Car Data'!$C$2:$C$403=A24),0),2))</f>
        <v>Chevrolet Dallara IR-12 Chevrolet (Speedway)</v>
      </c>
      <c r="C24" s="8">
        <f>MAXIFS('Car Data'!$D$2:$D$403,'Car Data'!$C$2:$C$403,A24)</f>
        <v>216</v>
      </c>
      <c r="D24" s="8" t="str">
        <f t="array" ref="D24">CONCATENATE(INDEX('Car Data'!$A$2:$E$403,MATCH(1,('Car Data'!$D$2:$D$403=E24)*('Car Data'!$C$2:$C$403=A24),0),1)," ",INDEX('Car Data'!$A$2:$E$403,MATCH(1,('Car Data'!$D$2:$D$403=E24)*('Car Data'!$C$2:$C$403=A24),0),2))</f>
        <v>Chevrolet Dallara IR-12 Chevrolet (Road Course)</v>
      </c>
      <c r="E24" s="8">
        <f>MINIFS('Car Data'!$D$2:$D$403,'Car Data'!$C$2:$C$403,A24)</f>
        <v>193</v>
      </c>
      <c r="F24" s="8">
        <f>ROUND(AVERAGEIFS('Car Data'!$D$2:$D$403,'Car Data'!$C$2:$C$403,A24),2)</f>
        <v>204.75</v>
      </c>
      <c r="G24" s="8">
        <f>IFERROR(__xludf.DUMMYFUNCTION("ROUND(STDEV(FILTER('Car Data'!$D$2:$D$403,'Car Data'!$C$2:$C$403=A24)),2)"),13.0)</f>
        <v>13</v>
      </c>
      <c r="H24" s="8" t="str">
        <f t="array" ref="H24">CONCATENATE(INDEX('Car Data'!$A$2:$E$403,MATCH(1,('Car Data'!$F$2:$F$403=I24)*('Car Data'!$C$2:$C$403=A24),0),1)," ",INDEX('Car Data'!$A$2:$E$403,MATCH(1,('Car Data'!$F$2:$F$403=I24)*('Car Data'!$C$2:$C$403=A24),0),2))</f>
        <v>Chevrolet Dallara IR-12 Chevrolet (Speedway)</v>
      </c>
      <c r="I24" s="8">
        <f>MAXIFS('Car Data'!$F$2:$F$403,'Car Data'!$C$2:$C$403,A24)</f>
        <v>743</v>
      </c>
      <c r="J24" s="8" t="str">
        <f t="array" ref="J24">CONCATENATE(INDEX('Car Data'!$A$2:$E$403,MATCH(1,('Car Data'!$F$2:$F$403=K24)*('Car Data'!$C$2:$C$403=A24),0),1)," ",INDEX('Car Data'!$A$2:$E$403,MATCH(1,('Car Data'!$F$2:$F$403=K24)*('Car Data'!$C$2:$C$403=A24),0),2))</f>
        <v>Chevrolet Dallara IR-12 Chevrolet (Speedway)</v>
      </c>
      <c r="K24" s="8">
        <f>MINIFS('Car Data'!$F$2:$F$403,'Car Data'!$C$2:$C$403,A24)</f>
        <v>743</v>
      </c>
      <c r="L24" s="8">
        <f>ROUND(AVERAGEIFS('Car Data'!$F$2:$F$403,'Car Data'!$C$2:$C$403,A24),2)</f>
        <v>743</v>
      </c>
      <c r="M24" s="8">
        <f>IFERROR(__xludf.DUMMYFUNCTION("ROUND(STDEV(FILTER('Car Data'!$F$2:$F$403,'Car Data'!$C$2:$C$403=A24)),2)"),0.0)</f>
        <v>0</v>
      </c>
      <c r="N24" s="8" t="str">
        <f t="array" ref="N24">CONCATENATE(INDEX('Car Data'!$A$2:$E$403,MATCH(1,('Car Data'!$G$2:$G$403=O24)*('Car Data'!$C$2:$C$403=A24),0),1)," ",INDEX('Car Data'!$A$2:$E$403,MATCH(1,('Car Data'!$G$2:$G$403=O24)*('Car Data'!$C$2:$C$403=A24),0),2))</f>
        <v>Chevrolet Dallara IR-12 Chevrolet (Speedway)</v>
      </c>
      <c r="O24" s="14">
        <f>MAXIFS('Car Data'!$G$2:$G$403,'Car Data'!$C$2:$C$403,A24)</f>
        <v>13.6</v>
      </c>
      <c r="P24" s="14" t="str">
        <f t="array" ref="P24">CONCATENATE(INDEX('Car Data'!$A$2:$E$403,MATCH(1,('Car Data'!$G$2:$G$403=Q24)*('Car Data'!$C$2:$C$403=A24),0),1)," ",INDEX('Car Data'!$A$2:$E$403,MATCH(1,('Car Data'!$G$2:$G$403=Q24)*('Car Data'!$C$2:$C$403=A24),0),2))</f>
        <v>Chevrolet Dallara IR-12 Chevrolet (Road Course)</v>
      </c>
      <c r="Q24" s="8">
        <f>MINIFS('Car Data'!$G$2:$G$403,'Car Data'!$C$2:$C$403,A24)</f>
        <v>9.7</v>
      </c>
      <c r="R24" s="8">
        <f>ROUND(AVERAGEIFS('Car Data'!$G$2:$G$403,'Car Data'!$C$2:$C$403,A24),2)</f>
        <v>11.68</v>
      </c>
      <c r="S24" s="8">
        <f>IFERROR(__xludf.DUMMYFUNCTION("ROUND(STDEV(FILTER('Car Data'!$G$2:$G$403,'Car Data'!$C$2:$C$403=A24)),2)"),2.22)</f>
        <v>2.22</v>
      </c>
      <c r="T24" s="8" t="str">
        <f t="array" ref="T24">CONCATENATE(INDEX('Car Data'!$A$2:$E$403,MATCH(1,('Car Data'!$I$2:$I$403=U24)*('Car Data'!$C$2:$C$403=A24),0),1)," ",INDEX('Car Data'!$A$2:$E$403,MATCH(1,('Car Data'!$I$2:$I$403=U24)*('Car Data'!$C$2:$C$403=A24),0),2))</f>
        <v>Chevrolet Dallara IR-12 Chevrolet (Speedway)</v>
      </c>
      <c r="U24" s="8">
        <f>MAXIFS('Car Data'!$I$2:$I$403,'Car Data'!$C$2:$C$403,A24)</f>
        <v>0.474</v>
      </c>
      <c r="V24" s="8" t="str">
        <f t="array" ref="V24">CONCATENATE(INDEX('Car Data'!$A$2:$E$403,MATCH(1,('Car Data'!$I$2:$I$403=W24)*('Car Data'!$C$2:$C$403=A24),0),1)," ",INDEX('Car Data'!$A$2:$E$403,MATCH(1,('Car Data'!$I$2:$I$403=W24)*('Car Data'!$C$2:$C$403=A24),0),2))</f>
        <v>Honda Dallara IR-12 Honda (Road Course)</v>
      </c>
      <c r="W24" s="8">
        <f>MINIFS('Car Data'!$I$2:$I$403,'Car Data'!$C$2:$C$403,A24)</f>
        <v>0.465</v>
      </c>
      <c r="X24" s="8">
        <f>ROUND(AVERAGEIFS('Car Data'!$I$2:$I$403,'Car Data'!$C$2:$C$403,A24),2)</f>
        <v>0.47</v>
      </c>
      <c r="Y24" s="8">
        <f>IFERROR(__xludf.DUMMYFUNCTION("ROUND(STDEV(FILTER('Car Data'!$I$2:$I$403,'Car Data'!$C$2:$C$403=A24)),2)"),0.01)</f>
        <v>0.01</v>
      </c>
    </row>
    <row r="25">
      <c r="A25" s="6" t="s">
        <v>655</v>
      </c>
      <c r="B25" s="11" t="str">
        <f t="array" ref="B25">CONCATENATE(INDEX('Car Data'!$A$2:$E$403,MATCH(1,('Car Data'!$D$2:$D$403=C25)*('Car Data'!$C$2:$C$403=A25),0),1)," ",INDEX('Car Data'!$A$2:$E$403,MATCH(1,('Car Data'!$D$2:$D$403=C25)*('Car Data'!$C$2:$C$403=A25),0),2))</f>
        <v>SMS Kart</v>
      </c>
      <c r="C25" s="11">
        <f>MAXIFS('Car Data'!$D$2:$D$403,'Car Data'!$C$2:$C$403,A25)</f>
        <v>82</v>
      </c>
      <c r="D25" s="11" t="str">
        <f t="array" ref="D25">CONCATENATE(INDEX('Car Data'!$A$2:$E$403,MATCH(1,('Car Data'!$D$2:$D$403=E25)*('Car Data'!$C$2:$C$403=A25),0),1)," ",INDEX('Car Data'!$A$2:$E$403,MATCH(1,('Car Data'!$D$2:$D$403=E25)*('Car Data'!$C$2:$C$403=A25),0),2))</f>
        <v>SMS Kart</v>
      </c>
      <c r="E25" s="11">
        <f>MINIFS('Car Data'!$D$2:$D$403,'Car Data'!$C$2:$C$403,A25)</f>
        <v>82</v>
      </c>
      <c r="F25" s="11">
        <f>ROUND(AVERAGEIFS('Car Data'!$D$2:$D$403,'Car Data'!$C$2:$C$403,A25),2)</f>
        <v>82</v>
      </c>
      <c r="G25" s="11" t="str">
        <f>IFERROR(__xludf.DUMMYFUNCTION("ROUND(STDEV(FILTER('Car Data'!$D$2:$D$403,'Car Data'!$C$2:$C$403=A25)),2)"),"#DIV/0!")</f>
        <v>#DIV/0!</v>
      </c>
      <c r="H25" s="11" t="str">
        <f t="array" ref="H25">CONCATENATE(INDEX('Car Data'!$A$2:$E$403,MATCH(1,('Car Data'!$F$2:$F$403=I25)*('Car Data'!$C$2:$C$403=A25),0),1)," ",INDEX('Car Data'!$A$2:$E$403,MATCH(1,('Car Data'!$F$2:$F$403=I25)*('Car Data'!$C$2:$C$403=A25),0),2))</f>
        <v>SMS Kart</v>
      </c>
      <c r="I25" s="11">
        <f>MAXIFS('Car Data'!$F$2:$F$403,'Car Data'!$C$2:$C$403,A25)</f>
        <v>29</v>
      </c>
      <c r="J25" s="11" t="str">
        <f t="array" ref="J25">CONCATENATE(INDEX('Car Data'!$A$2:$E$403,MATCH(1,('Car Data'!$F$2:$F$403=K25)*('Car Data'!$C$2:$C$403=A25),0),1)," ",INDEX('Car Data'!$A$2:$E$403,MATCH(1,('Car Data'!$F$2:$F$403=K25)*('Car Data'!$C$2:$C$403=A25),0),2))</f>
        <v>SMS Kart</v>
      </c>
      <c r="K25" s="11">
        <f>MINIFS('Car Data'!$F$2:$F$403,'Car Data'!$C$2:$C$403,A25)</f>
        <v>29</v>
      </c>
      <c r="L25" s="11">
        <f>ROUND(AVERAGEIFS('Car Data'!$F$2:$F$403,'Car Data'!$C$2:$C$403,A25),2)</f>
        <v>29</v>
      </c>
      <c r="M25" s="11" t="str">
        <f>IFERROR(__xludf.DUMMYFUNCTION("ROUND(STDEV(FILTER('Car Data'!$F$2:$F$403,'Car Data'!$C$2:$C$403=A25)),2)"),"#DIV/0!")</f>
        <v>#DIV/0!</v>
      </c>
      <c r="N25" s="11" t="str">
        <f t="array" ref="N25">CONCATENATE(INDEX('Car Data'!$A$2:$E$403,MATCH(1,('Car Data'!$G$2:$G$403=O25)*('Car Data'!$C$2:$C$403=A25),0),1)," ",INDEX('Car Data'!$A$2:$E$403,MATCH(1,('Car Data'!$G$2:$G$403=O25)*('Car Data'!$C$2:$C$403=A25),0),2))</f>
        <v>SMS Kart</v>
      </c>
      <c r="O25" s="15">
        <f>MAXIFS('Car Data'!$G$2:$G$403,'Car Data'!$C$2:$C$403,A25)</f>
        <v>19</v>
      </c>
      <c r="P25" s="15" t="str">
        <f t="array" ref="P25">CONCATENATE(INDEX('Car Data'!$A$2:$E$403,MATCH(1,('Car Data'!$G$2:$G$403=Q25)*('Car Data'!$C$2:$C$403=A25),0),1)," ",INDEX('Car Data'!$A$2:$E$403,MATCH(1,('Car Data'!$G$2:$G$403=Q25)*('Car Data'!$C$2:$C$403=A25),0),2))</f>
        <v>SMS Kart</v>
      </c>
      <c r="Q25" s="11">
        <f>MINIFS('Car Data'!$G$2:$G$403,'Car Data'!$C$2:$C$403,A25)</f>
        <v>19</v>
      </c>
      <c r="R25" s="11">
        <f>ROUND(AVERAGEIFS('Car Data'!$G$2:$G$403,'Car Data'!$C$2:$C$403,A25),2)</f>
        <v>19</v>
      </c>
      <c r="S25" s="11" t="str">
        <f>IFERROR(__xludf.DUMMYFUNCTION("ROUND(STDEV(FILTER('Car Data'!$G$2:$G$403,'Car Data'!$C$2:$C$403=A25)),2)"),"#DIV/0!")</f>
        <v>#DIV/0!</v>
      </c>
      <c r="T25" s="11" t="str">
        <f t="array" ref="T25">CONCATENATE(INDEX('Car Data'!$A$2:$E$403,MATCH(1,('Car Data'!$I$2:$I$403=U25)*('Car Data'!$C$2:$C$403=A25),0),1)," ",INDEX('Car Data'!$A$2:$E$403,MATCH(1,('Car Data'!$I$2:$I$403=U25)*('Car Data'!$C$2:$C$403=A25),0),2))</f>
        <v>SMS Kart</v>
      </c>
      <c r="U25" s="11">
        <f>MAXIFS('Car Data'!$I$2:$I$403,'Car Data'!$C$2:$C$403,A25)</f>
        <v>0.082</v>
      </c>
      <c r="V25" s="11" t="str">
        <f t="array" ref="V25">CONCATENATE(INDEX('Car Data'!$A$2:$E$403,MATCH(1,('Car Data'!$I$2:$I$403=W25)*('Car Data'!$C$2:$C$403=A25),0),1)," ",INDEX('Car Data'!$A$2:$E$403,MATCH(1,('Car Data'!$I$2:$I$403=W25)*('Car Data'!$C$2:$C$403=A25),0),2))</f>
        <v>SMS Kart</v>
      </c>
      <c r="W25" s="11">
        <f>MINIFS('Car Data'!$I$2:$I$403,'Car Data'!$C$2:$C$403,A25)</f>
        <v>0.082</v>
      </c>
      <c r="X25" s="11">
        <f>ROUND(AVERAGEIFS('Car Data'!$I$2:$I$403,'Car Data'!$C$2:$C$403,A25),2)</f>
        <v>0.08</v>
      </c>
      <c r="Y25" s="11" t="str">
        <f>IFERROR(__xludf.DUMMYFUNCTION("ROUND(STDEV(FILTER('Car Data'!$I$2:$I$403,'Car Data'!$C$2:$C$403=A25)),2)"),"#DIV/0!")</f>
        <v>#DIV/0!</v>
      </c>
    </row>
    <row r="26">
      <c r="A26" s="3" t="s">
        <v>58</v>
      </c>
      <c r="B26" s="8" t="str">
        <f t="array" ref="B26">CONCATENATE(INDEX('Car Data'!$A$2:$E$403,MATCH(1,('Car Data'!$D$2:$D$403=C26)*('Car Data'!$C$2:$C$403=A26),0),1)," ",INDEX('Car Data'!$A$2:$E$403,MATCH(1,('Car Data'!$D$2:$D$403=C26)*('Car Data'!$C$2:$C$403=A26),0),2))</f>
        <v>Toyota TS040 Hybrid</v>
      </c>
      <c r="C26" s="8">
        <f>MAXIFS('Car Data'!$D$2:$D$403,'Car Data'!$C$2:$C$403,A26)</f>
        <v>225</v>
      </c>
      <c r="D26" s="8" t="str">
        <f t="array" ref="D26">CONCATENATE(INDEX('Car Data'!$A$2:$E$403,MATCH(1,('Car Data'!$D$2:$D$403=E26)*('Car Data'!$C$2:$C$403=A26),0),1)," ",INDEX('Car Data'!$A$2:$E$403,MATCH(1,('Car Data'!$D$2:$D$403=E26)*('Car Data'!$C$2:$C$403=A26),0),2))</f>
        <v>Audi R18 e-tron quattro (2014)</v>
      </c>
      <c r="E26" s="8">
        <f>MINIFS('Car Data'!$D$2:$D$403,'Car Data'!$C$2:$C$403,A26)</f>
        <v>214</v>
      </c>
      <c r="F26" s="8">
        <f>ROUND(AVERAGEIFS('Car Data'!$D$2:$D$403,'Car Data'!$C$2:$C$403,A26),2)</f>
        <v>219.5</v>
      </c>
      <c r="G26" s="8">
        <f>IFERROR(__xludf.DUMMYFUNCTION("ROUND(STDEV(FILTER('Car Data'!$D$2:$D$403,'Car Data'!$C$2:$C$403=A26)),2)"),4.51)</f>
        <v>4.51</v>
      </c>
      <c r="H26" s="8" t="str">
        <f t="array" ref="H26">CONCATENATE(INDEX('Car Data'!$A$2:$E$403,MATCH(1,('Car Data'!$F$2:$F$403=I26)*('Car Data'!$C$2:$C$403=A26),0),1)," ",INDEX('Car Data'!$A$2:$E$403,MATCH(1,('Car Data'!$F$2:$F$403=I26)*('Car Data'!$C$2:$C$403=A26),0),2))</f>
        <v>Toyota TS040 Hybrid</v>
      </c>
      <c r="I26" s="8">
        <f>MAXIFS('Car Data'!$F$2:$F$403,'Car Data'!$C$2:$C$403,A26)</f>
        <v>998</v>
      </c>
      <c r="J26" s="8" t="str">
        <f t="array" ref="J26">CONCATENATE(INDEX('Car Data'!$A$2:$E$403,MATCH(1,('Car Data'!$F$2:$F$403=K26)*('Car Data'!$C$2:$C$403=A26),0),1)," ",INDEX('Car Data'!$A$2:$E$403,MATCH(1,('Car Data'!$F$2:$F$403=K26)*('Car Data'!$C$2:$C$403=A26),0),2))</f>
        <v>Audi R18 e-tron quattro (2014)</v>
      </c>
      <c r="K26" s="8">
        <f>MINIFS('Car Data'!$F$2:$F$403,'Car Data'!$C$2:$C$403,A26)</f>
        <v>768</v>
      </c>
      <c r="L26" s="8">
        <f>ROUND(AVERAGEIFS('Car Data'!$F$2:$F$403,'Car Data'!$C$2:$C$403,A26),2)</f>
        <v>857.75</v>
      </c>
      <c r="M26" s="8">
        <f>IFERROR(__xludf.DUMMYFUNCTION("ROUND(STDEV(FILTER('Car Data'!$F$2:$F$403,'Car Data'!$C$2:$C$403=A26)),2)"),105.4)</f>
        <v>105.4</v>
      </c>
      <c r="N26" s="8" t="str">
        <f t="array" ref="N26">CONCATENATE(INDEX('Car Data'!$A$2:$E$403,MATCH(1,('Car Data'!$G$2:$G$403=O26)*('Car Data'!$C$2:$C$403=A26),0),1)," ",INDEX('Car Data'!$A$2:$E$403,MATCH(1,('Car Data'!$G$2:$G$403=O26)*('Car Data'!$C$2:$C$403=A26),0),2))</f>
        <v>RWD P30 LMP1</v>
      </c>
      <c r="O26" s="14">
        <f>MAXIFS('Car Data'!$G$2:$G$403,'Car Data'!$C$2:$C$403,A26)</f>
        <v>13.5</v>
      </c>
      <c r="P26" s="14" t="str">
        <f t="array" ref="P26">CONCATENATE(INDEX('Car Data'!$A$2:$E$403,MATCH(1,('Car Data'!$G$2:$G$403=Q26)*('Car Data'!$C$2:$C$403=A26),0),1)," ",INDEX('Car Data'!$A$2:$E$403,MATCH(1,('Car Data'!$G$2:$G$403=Q26)*('Car Data'!$C$2:$C$403=A26),0),2))</f>
        <v>Toyota TS040 Hybrid</v>
      </c>
      <c r="Q26" s="8">
        <f>MINIFS('Car Data'!$G$2:$G$403,'Car Data'!$C$2:$C$403,A26)</f>
        <v>11.4</v>
      </c>
      <c r="R26" s="8">
        <f>ROUND(AVERAGEIFS('Car Data'!$G$2:$G$403,'Car Data'!$C$2:$C$403,A26),2)</f>
        <v>12.4</v>
      </c>
      <c r="S26" s="8">
        <f>IFERROR(__xludf.DUMMYFUNCTION("ROUND(STDEV(FILTER('Car Data'!$G$2:$G$403,'Car Data'!$C$2:$C$403=A26)),2)"),0.93)</f>
        <v>0.93</v>
      </c>
      <c r="T26" s="8" t="str">
        <f t="array" ref="T26">CONCATENATE(INDEX('Car Data'!$A$2:$E$403,MATCH(1,('Car Data'!$I$2:$I$403=U26)*('Car Data'!$C$2:$C$403=A26),0),1)," ",INDEX('Car Data'!$A$2:$E$403,MATCH(1,('Car Data'!$I$2:$I$403=U26)*('Car Data'!$C$2:$C$403=A26),0),2))</f>
        <v>Toyota TS040 Hybrid</v>
      </c>
      <c r="U26" s="8">
        <f>MAXIFS('Car Data'!$I$2:$I$403,'Car Data'!$C$2:$C$403,A26)</f>
        <v>0.517</v>
      </c>
      <c r="V26" s="8" t="str">
        <f t="array" ref="V26">CONCATENATE(INDEX('Car Data'!$A$2:$E$403,MATCH(1,('Car Data'!$I$2:$I$403=W26)*('Car Data'!$C$2:$C$403=A26),0),1)," ",INDEX('Car Data'!$A$2:$E$403,MATCH(1,('Car Data'!$I$2:$I$403=W26)*('Car Data'!$C$2:$C$403=A26),0),2))</f>
        <v>Audi R18 e-tron quattro (2014)</v>
      </c>
      <c r="W26" s="8">
        <f>MINIFS('Car Data'!$I$2:$I$403,'Car Data'!$C$2:$C$403,A26)</f>
        <v>0.398</v>
      </c>
      <c r="X26" s="8">
        <f>ROUND(AVERAGEIFS('Car Data'!$I$2:$I$403,'Car Data'!$C$2:$C$403,A26),2)</f>
        <v>0.44</v>
      </c>
      <c r="Y26" s="8">
        <f>IFERROR(__xludf.DUMMYFUNCTION("ROUND(STDEV(FILTER('Car Data'!$I$2:$I$403,'Car Data'!$C$2:$C$403=A26)),2)"),0.05)</f>
        <v>0.05</v>
      </c>
    </row>
    <row r="27">
      <c r="A27" s="6" t="s">
        <v>39</v>
      </c>
      <c r="B27" s="11" t="str">
        <f t="array" ref="B27">CONCATENATE(INDEX('Car Data'!$A$2:$E$403,MATCH(1,('Car Data'!$D$2:$D$403=C27)*('Car Data'!$C$2:$C$403=A27),0),1)," ",INDEX('Car Data'!$A$2:$E$403,MATCH(1,('Car Data'!$D$2:$D$403=C27)*('Car Data'!$C$2:$C$403=A27),0),2))</f>
        <v>Audi R18 (Le Mans 2016) [ICE + hybrid]</v>
      </c>
      <c r="C27" s="11">
        <f>MAXIFS('Car Data'!$D$2:$D$403,'Car Data'!$C$2:$C$403,A27)</f>
        <v>233</v>
      </c>
      <c r="D27" s="11" t="str">
        <f t="array" ref="D27">CONCATENATE(INDEX('Car Data'!$A$2:$E$403,MATCH(1,('Car Data'!$D$2:$D$403=E27)*('Car Data'!$C$2:$C$403=A27),0),1)," ",INDEX('Car Data'!$A$2:$E$403,MATCH(1,('Car Data'!$D$2:$D$403=E27)*('Car Data'!$C$2:$C$403=A27),0),2))</f>
        <v>Audi R18 (Fuji 2016) [ICE only]</v>
      </c>
      <c r="E27" s="11">
        <f>MINIFS('Car Data'!$D$2:$D$403,'Car Data'!$C$2:$C$403,A27)</f>
        <v>202</v>
      </c>
      <c r="F27" s="11">
        <f>ROUND(AVERAGEIFS('Car Data'!$D$2:$D$403,'Car Data'!$C$2:$C$403,A27),2)</f>
        <v>215.13</v>
      </c>
      <c r="G27" s="11">
        <f>IFERROR(__xludf.DUMMYFUNCTION("ROUND(STDEV(FILTER('Car Data'!$D$2:$D$403,'Car Data'!$C$2:$C$403=A27)),2)"),10.75)</f>
        <v>10.75</v>
      </c>
      <c r="H27" s="11" t="str">
        <f t="array" ref="H27">CONCATENATE(INDEX('Car Data'!$A$2:$E$403,MATCH(1,('Car Data'!$F$2:$F$403=I27)*('Car Data'!$C$2:$C$403=A27),0),1)," ",INDEX('Car Data'!$A$2:$E$403,MATCH(1,('Car Data'!$F$2:$F$403=I27)*('Car Data'!$C$2:$C$403=A27),0),2))</f>
        <v>Toyota TS050 Hybrid [ICE + hybrid]</v>
      </c>
      <c r="I27" s="11">
        <f>MAXIFS('Car Data'!$F$2:$F$403,'Car Data'!$C$2:$C$403,A27)</f>
        <v>998</v>
      </c>
      <c r="J27" s="11" t="str">
        <f t="array" ref="J27">CONCATENATE(INDEX('Car Data'!$A$2:$E$403,MATCH(1,('Car Data'!$F$2:$F$403=K27)*('Car Data'!$C$2:$C$403=A27),0),1)," ",INDEX('Car Data'!$A$2:$E$403,MATCH(1,('Car Data'!$F$2:$F$403=K27)*('Car Data'!$C$2:$C$403=A27),0),2))</f>
        <v>Toyota TS050 Hybrid [ICE only]</v>
      </c>
      <c r="K27" s="11">
        <f>MINIFS('Car Data'!$F$2:$F$403,'Car Data'!$C$2:$C$403,A27)</f>
        <v>511</v>
      </c>
      <c r="L27" s="11">
        <f>ROUND(AVERAGEIFS('Car Data'!$F$2:$F$403,'Car Data'!$C$2:$C$403,A27),2)</f>
        <v>730.13</v>
      </c>
      <c r="M27" s="11">
        <f>IFERROR(__xludf.DUMMYFUNCTION("ROUND(STDEV(FILTER('Car Data'!$F$2:$F$403,'Car Data'!$C$2:$C$403=A27)),2)"),227.68)</f>
        <v>227.68</v>
      </c>
      <c r="N27" s="11" t="str">
        <f t="array" ref="N27">CONCATENATE(INDEX('Car Data'!$A$2:$E$403,MATCH(1,('Car Data'!$G$2:$G$403=O27)*('Car Data'!$C$2:$C$403=A27),0),1)," ",INDEX('Car Data'!$A$2:$E$403,MATCH(1,('Car Data'!$G$2:$G$403=O27)*('Car Data'!$C$2:$C$403=A27),0),2))</f>
        <v>Audi R18 (Le Mans 2016) [ICE only]</v>
      </c>
      <c r="O27" s="15">
        <f>MAXIFS('Car Data'!$G$2:$G$403,'Car Data'!$C$2:$C$403,A27)</f>
        <v>18.1</v>
      </c>
      <c r="P27" s="15" t="str">
        <f t="array" ref="P27">CONCATENATE(INDEX('Car Data'!$A$2:$E$403,MATCH(1,('Car Data'!$G$2:$G$403=Q27)*('Car Data'!$C$2:$C$403=A27),0),1)," ",INDEX('Car Data'!$A$2:$E$403,MATCH(1,('Car Data'!$G$2:$G$403=Q27)*('Car Data'!$C$2:$C$403=A27),0),2))</f>
        <v>Toyota TS050 Hybrid [ICE + hybrid]</v>
      </c>
      <c r="Q27" s="11">
        <f>MINIFS('Car Data'!$G$2:$G$403,'Car Data'!$C$2:$C$403,A27)</f>
        <v>10.8</v>
      </c>
      <c r="R27" s="11">
        <f>ROUND(AVERAGEIFS('Car Data'!$G$2:$G$403,'Car Data'!$C$2:$C$403,A27),2)</f>
        <v>14.45</v>
      </c>
      <c r="S27" s="11">
        <f>IFERROR(__xludf.DUMMYFUNCTION("ROUND(STDEV(FILTER('Car Data'!$G$2:$G$403,'Car Data'!$C$2:$C$403=A27)),2)"),2.86)</f>
        <v>2.86</v>
      </c>
      <c r="T27" s="11" t="str">
        <f t="array" ref="T27">CONCATENATE(INDEX('Car Data'!$A$2:$E$403,MATCH(1,('Car Data'!$I$2:$I$403=U27)*('Car Data'!$C$2:$C$403=A27),0),1)," ",INDEX('Car Data'!$A$2:$E$403,MATCH(1,('Car Data'!$I$2:$I$403=U27)*('Car Data'!$C$2:$C$403=A27),0),2))</f>
        <v>Toyota TS050 Hybrid [ICE + hybrid]</v>
      </c>
      <c r="U27" s="11">
        <f>MAXIFS('Car Data'!$I$2:$I$403,'Car Data'!$C$2:$C$403,A27)</f>
        <v>0.517</v>
      </c>
      <c r="V27" s="11" t="str">
        <f t="array" ref="V27">CONCATENATE(INDEX('Car Data'!$A$2:$E$403,MATCH(1,('Car Data'!$I$2:$I$403=W27)*('Car Data'!$C$2:$C$403=A27),0),1)," ",INDEX('Car Data'!$A$2:$E$403,MATCH(1,('Car Data'!$I$2:$I$403=W27)*('Car Data'!$C$2:$C$403=A27),0),2))</f>
        <v>Toyota TS050 Hybrid [ICE only]</v>
      </c>
      <c r="W27" s="11">
        <f>MINIFS('Car Data'!$I$2:$I$403,'Car Data'!$C$2:$C$403,A27)</f>
        <v>0.265</v>
      </c>
      <c r="X27" s="11">
        <f>ROUND(AVERAGEIFS('Car Data'!$I$2:$I$403,'Car Data'!$C$2:$C$403,A27),2)</f>
        <v>0.38</v>
      </c>
      <c r="Y27" s="11">
        <f>IFERROR(__xludf.DUMMYFUNCTION("ROUND(STDEV(FILTER('Car Data'!$I$2:$I$403,'Car Data'!$C$2:$C$403=A27)),2)"),0.12)</f>
        <v>0.12</v>
      </c>
    </row>
    <row r="28">
      <c r="A28" s="3" t="s">
        <v>130</v>
      </c>
      <c r="B28" s="8" t="str">
        <f t="array" ref="B28">CONCATENATE(INDEX('Car Data'!$A$2:$E$403,MATCH(1,('Car Data'!$D$2:$D$403=C28)*('Car Data'!$C$2:$C$403=A28),0),1)," ",INDEX('Car Data'!$A$2:$E$403,MATCH(1,('Car Data'!$D$2:$D$403=C28)*('Car Data'!$C$2:$C$403=A28),0),2))</f>
        <v>Ligier JS P2 Honda</v>
      </c>
      <c r="C28" s="8">
        <f>MAXIFS('Car Data'!$D$2:$D$403,'Car Data'!$C$2:$C$403,A28)</f>
        <v>206</v>
      </c>
      <c r="D28" s="8" t="str">
        <f t="array" ref="D28">CONCATENATE(INDEX('Car Data'!$A$2:$E$403,MATCH(1,('Car Data'!$D$2:$D$403=E28)*('Car Data'!$C$2:$C$403=A28),0),1)," ",INDEX('Car Data'!$A$2:$E$403,MATCH(1,('Car Data'!$D$2:$D$403=E28)*('Car Data'!$C$2:$C$403=A28),0),2))</f>
        <v>Oreca 03 Nissan</v>
      </c>
      <c r="E28" s="8">
        <f>MINIFS('Car Data'!$D$2:$D$403,'Car Data'!$C$2:$C$403,A28)</f>
        <v>196</v>
      </c>
      <c r="F28" s="8">
        <f>ROUND(AVERAGEIFS('Car Data'!$D$2:$D$403,'Car Data'!$C$2:$C$403,A28),2)</f>
        <v>202</v>
      </c>
      <c r="G28" s="8">
        <f>IFERROR(__xludf.DUMMYFUNCTION("ROUND(STDEV(FILTER('Car Data'!$D$2:$D$403,'Car Data'!$C$2:$C$403=A28)),2)"),3.79)</f>
        <v>3.79</v>
      </c>
      <c r="H28" s="8" t="str">
        <f t="array" ref="H28">CONCATENATE(INDEX('Car Data'!$A$2:$E$403,MATCH(1,('Car Data'!$F$2:$F$403=I28)*('Car Data'!$C$2:$C$403=A28),0),1)," ",INDEX('Car Data'!$A$2:$E$403,MATCH(1,('Car Data'!$F$2:$F$403=I28)*('Car Data'!$C$2:$C$403=A28),0),2))</f>
        <v>Ligier JS P2 Honda</v>
      </c>
      <c r="I28" s="8">
        <f>MAXIFS('Car Data'!$F$2:$F$403,'Car Data'!$C$2:$C$403,A28)</f>
        <v>530</v>
      </c>
      <c r="J28" s="8" t="str">
        <f t="array" ref="J28">CONCATENATE(INDEX('Car Data'!$A$2:$E$403,MATCH(1,('Car Data'!$F$2:$F$403=K28)*('Car Data'!$C$2:$C$403=A28),0),1)," ",INDEX('Car Data'!$A$2:$E$403,MATCH(1,('Car Data'!$F$2:$F$403=K28)*('Car Data'!$C$2:$C$403=A28),0),2))</f>
        <v>Oreca 03 Nissan</v>
      </c>
      <c r="K28" s="8">
        <f>MINIFS('Car Data'!$F$2:$F$403,'Car Data'!$C$2:$C$403,A28)</f>
        <v>514</v>
      </c>
      <c r="L28" s="8">
        <f>ROUND(AVERAGEIFS('Car Data'!$F$2:$F$403,'Car Data'!$C$2:$C$403,A28),2)</f>
        <v>518</v>
      </c>
      <c r="M28" s="8">
        <f>IFERROR(__xludf.DUMMYFUNCTION("ROUND(STDEV(FILTER('Car Data'!$F$2:$F$403,'Car Data'!$C$2:$C$403=A28)),2)"),6.03)</f>
        <v>6.03</v>
      </c>
      <c r="N28" s="8" t="str">
        <f t="array" ref="N28">CONCATENATE(INDEX('Car Data'!$A$2:$E$403,MATCH(1,('Car Data'!$G$2:$G$403=O28)*('Car Data'!$C$2:$C$403=A28),0),1)," ",INDEX('Car Data'!$A$2:$E$403,MATCH(1,('Car Data'!$G$2:$G$403=O28)*('Car Data'!$C$2:$C$403=A28),0),2))</f>
        <v>Ligier JS P2 Nissan</v>
      </c>
      <c r="O28" s="14">
        <f>MAXIFS('Car Data'!$G$2:$G$403,'Car Data'!$C$2:$C$403,A28)</f>
        <v>16.7</v>
      </c>
      <c r="P28" s="14" t="str">
        <f t="array" ref="P28">CONCATENATE(INDEX('Car Data'!$A$2:$E$403,MATCH(1,('Car Data'!$G$2:$G$403=Q28)*('Car Data'!$C$2:$C$403=A28),0),1)," ",INDEX('Car Data'!$A$2:$E$403,MATCH(1,('Car Data'!$G$2:$G$403=Q28)*('Car Data'!$C$2:$C$403=A28),0),2))</f>
        <v>Oreca 03 Nissan</v>
      </c>
      <c r="Q28" s="8">
        <f>MINIFS('Car Data'!$G$2:$G$403,'Car Data'!$C$2:$C$403,A28)</f>
        <v>14.6</v>
      </c>
      <c r="R28" s="8">
        <f>ROUND(AVERAGEIFS('Car Data'!$G$2:$G$403,'Car Data'!$C$2:$C$403,A28),2)</f>
        <v>15.9</v>
      </c>
      <c r="S28" s="8">
        <f>IFERROR(__xludf.DUMMYFUNCTION("ROUND(STDEV(FILTER('Car Data'!$G$2:$G$403,'Car Data'!$C$2:$C$403=A28)),2)"),0.8)</f>
        <v>0.8</v>
      </c>
      <c r="T28" s="8" t="str">
        <f t="array" ref="T28">CONCATENATE(INDEX('Car Data'!$A$2:$E$403,MATCH(1,('Car Data'!$I$2:$I$403=U28)*('Car Data'!$C$2:$C$403=A28),0),1)," ",INDEX('Car Data'!$A$2:$E$403,MATCH(1,('Car Data'!$I$2:$I$403=U28)*('Car Data'!$C$2:$C$403=A28),0),2))</f>
        <v>Marek RP 219D LMP2</v>
      </c>
      <c r="U28" s="8">
        <f>MAXIFS('Car Data'!$I$2:$I$403,'Car Data'!$C$2:$C$403,A28)</f>
        <v>0.261</v>
      </c>
      <c r="V28" s="8" t="str">
        <f t="array" ref="V28">CONCATENATE(INDEX('Car Data'!$A$2:$E$403,MATCH(1,('Car Data'!$I$2:$I$403=W28)*('Car Data'!$C$2:$C$403=A28),0),1)," ",INDEX('Car Data'!$A$2:$E$403,MATCH(1,('Car Data'!$I$2:$I$403=W28)*('Car Data'!$C$2:$C$403=A28),0),2))</f>
        <v>Ligier JS P2 Honda</v>
      </c>
      <c r="W28" s="8">
        <f>MINIFS('Car Data'!$I$2:$I$403,'Car Data'!$C$2:$C$403,A28)</f>
        <v>0.253</v>
      </c>
      <c r="X28" s="8">
        <f>ROUND(AVERAGEIFS('Car Data'!$I$2:$I$403,'Car Data'!$C$2:$C$403,A28),2)</f>
        <v>0.26</v>
      </c>
      <c r="Y28" s="8">
        <f>IFERROR(__xludf.DUMMYFUNCTION("ROUND(STDEV(FILTER('Car Data'!$I$2:$I$403,'Car Data'!$C$2:$C$403=A28)),2)"),0.0)</f>
        <v>0</v>
      </c>
    </row>
    <row r="29">
      <c r="A29" s="6" t="s">
        <v>192</v>
      </c>
      <c r="B29" s="11" t="str">
        <f t="array" ref="B29">CONCATENATE(INDEX('Car Data'!$A$2:$E$403,MATCH(1,('Car Data'!$D$2:$D$403=C29)*('Car Data'!$C$2:$C$403=A29),0),1)," ",INDEX('Car Data'!$A$2:$E$403,MATCH(1,('Car Data'!$D$2:$D$403=C29)*('Car Data'!$C$2:$C$403=A29),0),2))</f>
        <v>Ginetta LMP3</v>
      </c>
      <c r="C29" s="11">
        <f>MAXIFS('Car Data'!$D$2:$D$403,'Car Data'!$C$2:$C$403,A29)</f>
        <v>181</v>
      </c>
      <c r="D29" s="11" t="str">
        <f t="array" ref="D29">CONCATENATE(INDEX('Car Data'!$A$2:$E$403,MATCH(1,('Car Data'!$D$2:$D$403=E29)*('Car Data'!$C$2:$C$403=A29),0),1)," ",INDEX('Car Data'!$A$2:$E$403,MATCH(1,('Car Data'!$D$2:$D$403=E29)*('Car Data'!$C$2:$C$403=A29),0),2))</f>
        <v>Ligier JS P3</v>
      </c>
      <c r="E29" s="11">
        <f>MINIFS('Car Data'!$D$2:$D$403,'Car Data'!$C$2:$C$403,A29)</f>
        <v>180</v>
      </c>
      <c r="F29" s="11">
        <f>ROUND(AVERAGEIFS('Car Data'!$D$2:$D$403,'Car Data'!$C$2:$C$403,A29),2)</f>
        <v>180.5</v>
      </c>
      <c r="G29" s="11">
        <f>IFERROR(__xludf.DUMMYFUNCTION("ROUND(STDEV(FILTER('Car Data'!$D$2:$D$403,'Car Data'!$C$2:$C$403=A29)),2)"),0.71)</f>
        <v>0.71</v>
      </c>
      <c r="H29" s="11" t="str">
        <f t="array" ref="H29">CONCATENATE(INDEX('Car Data'!$A$2:$E$403,MATCH(1,('Car Data'!$F$2:$F$403=I29)*('Car Data'!$C$2:$C$403=A29),0),1)," ",INDEX('Car Data'!$A$2:$E$403,MATCH(1,('Car Data'!$F$2:$F$403=I29)*('Car Data'!$C$2:$C$403=A29),0),2))</f>
        <v>Ginetta LMP3</v>
      </c>
      <c r="I29" s="11">
        <f>MAXIFS('Car Data'!$F$2:$F$403,'Car Data'!$C$2:$C$403,A29)</f>
        <v>427</v>
      </c>
      <c r="J29" s="11" t="str">
        <f t="array" ref="J29">CONCATENATE(INDEX('Car Data'!$A$2:$E$403,MATCH(1,('Car Data'!$F$2:$F$403=K29)*('Car Data'!$C$2:$C$403=A29),0),1)," ",INDEX('Car Data'!$A$2:$E$403,MATCH(1,('Car Data'!$F$2:$F$403=K29)*('Car Data'!$C$2:$C$403=A29),0),2))</f>
        <v>Ginetta LMP3</v>
      </c>
      <c r="K29" s="11">
        <f>MINIFS('Car Data'!$F$2:$F$403,'Car Data'!$C$2:$C$403,A29)</f>
        <v>427</v>
      </c>
      <c r="L29" s="11">
        <f>ROUND(AVERAGEIFS('Car Data'!$F$2:$F$403,'Car Data'!$C$2:$C$403,A29),2)</f>
        <v>427</v>
      </c>
      <c r="M29" s="11">
        <f>IFERROR(__xludf.DUMMYFUNCTION("ROUND(STDEV(FILTER('Car Data'!$F$2:$F$403,'Car Data'!$C$2:$C$403=A29)),2)"),0.0)</f>
        <v>0</v>
      </c>
      <c r="N29" s="11" t="str">
        <f t="array" ref="N29">CONCATENATE(INDEX('Car Data'!$A$2:$E$403,MATCH(1,('Car Data'!$G$2:$G$403=O29)*('Car Data'!$C$2:$C$403=A29),0),1)," ",INDEX('Car Data'!$A$2:$E$403,MATCH(1,('Car Data'!$G$2:$G$403=O29)*('Car Data'!$C$2:$C$403=A29),0),2))</f>
        <v>Ginetta LMP3</v>
      </c>
      <c r="O29" s="15">
        <f>MAXIFS('Car Data'!$G$2:$G$403,'Car Data'!$C$2:$C$403,A29)</f>
        <v>13.9</v>
      </c>
      <c r="P29" s="15" t="str">
        <f t="array" ref="P29">CONCATENATE(INDEX('Car Data'!$A$2:$E$403,MATCH(1,('Car Data'!$G$2:$G$403=Q29)*('Car Data'!$C$2:$C$403=A29),0),1)," ",INDEX('Car Data'!$A$2:$E$403,MATCH(1,('Car Data'!$G$2:$G$403=Q29)*('Car Data'!$C$2:$C$403=A29),0),2))</f>
        <v>Ligier JS P3</v>
      </c>
      <c r="Q29" s="11">
        <f>MINIFS('Car Data'!$G$2:$G$403,'Car Data'!$C$2:$C$403,A29)</f>
        <v>13.7</v>
      </c>
      <c r="R29" s="11">
        <f>ROUND(AVERAGEIFS('Car Data'!$G$2:$G$403,'Car Data'!$C$2:$C$403,A29),2)</f>
        <v>13.8</v>
      </c>
      <c r="S29" s="11">
        <f>IFERROR(__xludf.DUMMYFUNCTION("ROUND(STDEV(FILTER('Car Data'!$G$2:$G$403,'Car Data'!$C$2:$C$403=A29)),2)"),0.14)</f>
        <v>0.14</v>
      </c>
      <c r="T29" s="11" t="str">
        <f t="array" ref="T29">CONCATENATE(INDEX('Car Data'!$A$2:$E$403,MATCH(1,('Car Data'!$I$2:$I$403=U29)*('Car Data'!$C$2:$C$403=A29),0),1)," ",INDEX('Car Data'!$A$2:$E$403,MATCH(1,('Car Data'!$I$2:$I$403=U29)*('Car Data'!$C$2:$C$403=A29),0),2))</f>
        <v>Ginetta LMP3</v>
      </c>
      <c r="U29" s="11">
        <f>MAXIFS('Car Data'!$I$2:$I$403,'Car Data'!$C$2:$C$403,A29)</f>
        <v>0.215</v>
      </c>
      <c r="V29" s="11" t="str">
        <f t="array" ref="V29">CONCATENATE(INDEX('Car Data'!$A$2:$E$403,MATCH(1,('Car Data'!$I$2:$I$403=W29)*('Car Data'!$C$2:$C$403=A29),0),1)," ",INDEX('Car Data'!$A$2:$E$403,MATCH(1,('Car Data'!$I$2:$I$403=W29)*('Car Data'!$C$2:$C$403=A29),0),2))</f>
        <v>Ginetta LMP3</v>
      </c>
      <c r="W29" s="11">
        <f>MINIFS('Car Data'!$I$2:$I$403,'Car Data'!$C$2:$C$403,A29)</f>
        <v>0.215</v>
      </c>
      <c r="X29" s="11">
        <f>ROUND(AVERAGEIFS('Car Data'!$I$2:$I$403,'Car Data'!$C$2:$C$403,A29),2)</f>
        <v>0.22</v>
      </c>
      <c r="Y29" s="11">
        <f>IFERROR(__xludf.DUMMYFUNCTION("ROUND(STDEV(FILTER('Car Data'!$I$2:$I$403,'Car Data'!$C$2:$C$403=A29)),2)"),0.0)</f>
        <v>0</v>
      </c>
    </row>
    <row r="30">
      <c r="A30" s="3" t="s">
        <v>107</v>
      </c>
      <c r="B30" s="8" t="str">
        <f t="array" ref="B30">CONCATENATE(INDEX('Car Data'!$A$2:$E$403,MATCH(1,('Car Data'!$D$2:$D$403=C30)*('Car Data'!$C$2:$C$403=A30),0),1)," ",INDEX('Car Data'!$A$2:$E$403,MATCH(1,('Car Data'!$D$2:$D$403=C30)*('Car Data'!$C$2:$C$403=A30),0),2))</f>
        <v>BMW V12 LMR</v>
      </c>
      <c r="C30" s="8">
        <f>MAXIFS('Car Data'!$D$2:$D$403,'Car Data'!$C$2:$C$403,A30)</f>
        <v>221</v>
      </c>
      <c r="D30" s="8" t="str">
        <f t="array" ref="D30">CONCATENATE(INDEX('Car Data'!$A$2:$E$403,MATCH(1,('Car Data'!$D$2:$D$403=E30)*('Car Data'!$C$2:$C$403=A30),0),1)," ",INDEX('Car Data'!$A$2:$E$403,MATCH(1,('Car Data'!$D$2:$D$403=E30)*('Car Data'!$C$2:$C$403=A30),0),2))</f>
        <v>Ferrari 333 SP</v>
      </c>
      <c r="E30" s="8">
        <f>MINIFS('Car Data'!$D$2:$D$403,'Car Data'!$C$2:$C$403,A30)</f>
        <v>200</v>
      </c>
      <c r="F30" s="8">
        <f>ROUND(AVERAGEIFS('Car Data'!$D$2:$D$403,'Car Data'!$C$2:$C$403,A30),2)</f>
        <v>211.2</v>
      </c>
      <c r="G30" s="8">
        <f>IFERROR(__xludf.DUMMYFUNCTION("ROUND(STDEV(FILTER('Car Data'!$D$2:$D$403,'Car Data'!$C$2:$C$403=A30)),2)"),9.09)</f>
        <v>9.09</v>
      </c>
      <c r="H30" s="8" t="str">
        <f t="array" ref="H30">CONCATENATE(INDEX('Car Data'!$A$2:$E$403,MATCH(1,('Car Data'!$F$2:$F$403=I30)*('Car Data'!$C$2:$C$403=A30),0),1)," ",INDEX('Car Data'!$A$2:$E$403,MATCH(1,('Car Data'!$F$2:$F$403=I30)*('Car Data'!$C$2:$C$403=A30),0),2))</f>
        <v>Toyota GT-One (1999)</v>
      </c>
      <c r="I30" s="8">
        <f>MAXIFS('Car Data'!$F$2:$F$403,'Car Data'!$C$2:$C$403,A30)</f>
        <v>633</v>
      </c>
      <c r="J30" s="8" t="str">
        <f t="array" ref="J30">CONCATENATE(INDEX('Car Data'!$A$2:$E$403,MATCH(1,('Car Data'!$F$2:$F$403=K30)*('Car Data'!$C$2:$C$403=A30),0),1)," ",INDEX('Car Data'!$A$2:$E$403,MATCH(1,('Car Data'!$F$2:$F$403=K30)*('Car Data'!$C$2:$C$403=A30),0),2))</f>
        <v>BMW V12 LMR</v>
      </c>
      <c r="K30" s="8">
        <f>MINIFS('Car Data'!$F$2:$F$403,'Car Data'!$C$2:$C$403,A30)</f>
        <v>587</v>
      </c>
      <c r="L30" s="8">
        <f>ROUND(AVERAGEIFS('Car Data'!$F$2:$F$403,'Car Data'!$C$2:$C$403,A30),2)</f>
        <v>613.2</v>
      </c>
      <c r="M30" s="8">
        <f>IFERROR(__xludf.DUMMYFUNCTION("ROUND(STDEV(FILTER('Car Data'!$F$2:$F$403,'Car Data'!$C$2:$C$403=A30)),2)"),17.33)</f>
        <v>17.33</v>
      </c>
      <c r="N30" s="8" t="str">
        <f t="array" ref="N30">CONCATENATE(INDEX('Car Data'!$A$2:$E$403,MATCH(1,('Car Data'!$G$2:$G$403=O30)*('Car Data'!$C$2:$C$403=A30),0),1)," ",INDEX('Car Data'!$A$2:$E$403,MATCH(1,('Car Data'!$G$2:$G$403=O30)*('Car Data'!$C$2:$C$403=A30),0),2))</f>
        <v>BMW V12 LMR</v>
      </c>
      <c r="O30" s="14">
        <f>MAXIFS('Car Data'!$G$2:$G$403,'Car Data'!$C$2:$C$403,A30)</f>
        <v>18.4</v>
      </c>
      <c r="P30" s="14" t="str">
        <f t="array" ref="P30">CONCATENATE(INDEX('Car Data'!$A$2:$E$403,MATCH(1,('Car Data'!$G$2:$G$403=Q30)*('Car Data'!$C$2:$C$403=A30),0),1)," ",INDEX('Car Data'!$A$2:$E$403,MATCH(1,('Car Data'!$G$2:$G$403=Q30)*('Car Data'!$C$2:$C$403=A30),0),2))</f>
        <v>Ferrari 333 SP</v>
      </c>
      <c r="Q30" s="8">
        <f>MINIFS('Car Data'!$G$2:$G$403,'Car Data'!$C$2:$C$403,A30)</f>
        <v>13.2</v>
      </c>
      <c r="R30" s="8">
        <f>ROUND(AVERAGEIFS('Car Data'!$G$2:$G$403,'Car Data'!$C$2:$C$403,A30),2)</f>
        <v>15.46</v>
      </c>
      <c r="S30" s="8">
        <f>IFERROR(__xludf.DUMMYFUNCTION("ROUND(STDEV(FILTER('Car Data'!$G$2:$G$403,'Car Data'!$C$2:$C$403=A30)),2)"),2.11)</f>
        <v>2.11</v>
      </c>
      <c r="T30" s="8" t="str">
        <f t="array" ref="T30">CONCATENATE(INDEX('Car Data'!$A$2:$E$403,MATCH(1,('Car Data'!$I$2:$I$403=U30)*('Car Data'!$C$2:$C$403=A30),0),1)," ",INDEX('Car Data'!$A$2:$E$403,MATCH(1,('Car Data'!$I$2:$I$403=U30)*('Car Data'!$C$2:$C$403=A30),0),2))</f>
        <v>Toyota GT-One (1999)</v>
      </c>
      <c r="U30" s="8">
        <f>MAXIFS('Car Data'!$I$2:$I$403,'Car Data'!$C$2:$C$403,A30)</f>
        <v>0.318</v>
      </c>
      <c r="V30" s="8" t="str">
        <f t="array" ref="V30">CONCATENATE(INDEX('Car Data'!$A$2:$E$403,MATCH(1,('Car Data'!$I$2:$I$403=W30)*('Car Data'!$C$2:$C$403=A30),0),1)," ",INDEX('Car Data'!$A$2:$E$403,MATCH(1,('Car Data'!$I$2:$I$403=W30)*('Car Data'!$C$2:$C$403=A30),0),2))</f>
        <v>BMW V12 LMR</v>
      </c>
      <c r="W30" s="8">
        <f>MINIFS('Car Data'!$I$2:$I$403,'Car Data'!$C$2:$C$403,A30)</f>
        <v>0.291</v>
      </c>
      <c r="X30" s="8">
        <f>ROUND(AVERAGEIFS('Car Data'!$I$2:$I$403,'Car Data'!$C$2:$C$403,A30),2)</f>
        <v>0.31</v>
      </c>
      <c r="Y30" s="8">
        <f>IFERROR(__xludf.DUMMYFUNCTION("ROUND(STDEV(FILTER('Car Data'!$I$2:$I$403,'Car Data'!$C$2:$C$403=A30)),2)"),0.01)</f>
        <v>0.01</v>
      </c>
    </row>
    <row r="31">
      <c r="A31" s="6" t="s">
        <v>389</v>
      </c>
      <c r="B31" s="11" t="str">
        <f t="array" ref="B31">CONCATENATE(INDEX('Car Data'!$A$2:$E$403,MATCH(1,('Car Data'!$D$2:$D$403=C31)*('Car Data'!$C$2:$C$403=A31),0),1)," ",INDEX('Car Data'!$A$2:$E$403,MATCH(1,('Car Data'!$D$2:$D$403=C31)*('Car Data'!$C$2:$C$403=A31),0),2))</f>
        <v>Renault Mégane Trophy V6</v>
      </c>
      <c r="C31" s="11">
        <f>MAXIFS('Car Data'!$D$2:$D$403,'Car Data'!$C$2:$C$403,A31)</f>
        <v>176</v>
      </c>
      <c r="D31" s="11" t="str">
        <f t="array" ref="D31">CONCATENATE(INDEX('Car Data'!$A$2:$E$403,MATCH(1,('Car Data'!$D$2:$D$403=E31)*('Car Data'!$C$2:$C$403=A31),0),1)," ",INDEX('Car Data'!$A$2:$E$403,MATCH(1,('Car Data'!$D$2:$D$403=E31)*('Car Data'!$C$2:$C$403=A31),0),2))</f>
        <v>Renault Mégane Trophy V6</v>
      </c>
      <c r="E31" s="11">
        <f>MINIFS('Car Data'!$D$2:$D$403,'Car Data'!$C$2:$C$403,A31)</f>
        <v>176</v>
      </c>
      <c r="F31" s="11">
        <f>ROUND(AVERAGEIFS('Car Data'!$D$2:$D$403,'Car Data'!$C$2:$C$403,A31),2)</f>
        <v>176</v>
      </c>
      <c r="G31" s="11" t="str">
        <f>IFERROR(__xludf.DUMMYFUNCTION("ROUND(STDEV(FILTER('Car Data'!$D$2:$D$403,'Car Data'!$C$2:$C$403=A31)),2)"),"#DIV/0!")</f>
        <v>#DIV/0!</v>
      </c>
      <c r="H31" s="11" t="str">
        <f t="array" ref="H31">CONCATENATE(INDEX('Car Data'!$A$2:$E$403,MATCH(1,('Car Data'!$F$2:$F$403=I31)*('Car Data'!$C$2:$C$403=A31),0),1)," ",INDEX('Car Data'!$A$2:$E$403,MATCH(1,('Car Data'!$F$2:$F$403=I31)*('Car Data'!$C$2:$C$403=A31),0),2))</f>
        <v>Renault Mégane Trophy V6</v>
      </c>
      <c r="I31" s="11">
        <f>MAXIFS('Car Data'!$F$2:$F$403,'Car Data'!$C$2:$C$403,A31)</f>
        <v>403</v>
      </c>
      <c r="J31" s="11" t="str">
        <f t="array" ref="J31">CONCATENATE(INDEX('Car Data'!$A$2:$E$403,MATCH(1,('Car Data'!$F$2:$F$403=K31)*('Car Data'!$C$2:$C$403=A31),0),1)," ",INDEX('Car Data'!$A$2:$E$403,MATCH(1,('Car Data'!$F$2:$F$403=K31)*('Car Data'!$C$2:$C$403=A31),0),2))</f>
        <v>Renault Mégane Trophy V6</v>
      </c>
      <c r="K31" s="11">
        <f>MINIFS('Car Data'!$F$2:$F$403,'Car Data'!$C$2:$C$403,A31)</f>
        <v>403</v>
      </c>
      <c r="L31" s="11">
        <f>ROUND(AVERAGEIFS('Car Data'!$F$2:$F$403,'Car Data'!$C$2:$C$403,A31),2)</f>
        <v>403</v>
      </c>
      <c r="M31" s="11" t="str">
        <f>IFERROR(__xludf.DUMMYFUNCTION("ROUND(STDEV(FILTER('Car Data'!$F$2:$F$403,'Car Data'!$C$2:$C$403=A31)),2)"),"#DIV/0!")</f>
        <v>#DIV/0!</v>
      </c>
      <c r="N31" s="11" t="str">
        <f t="array" ref="N31">CONCATENATE(INDEX('Car Data'!$A$2:$E$403,MATCH(1,('Car Data'!$G$2:$G$403=O31)*('Car Data'!$C$2:$C$403=A31),0),1)," ",INDEX('Car Data'!$A$2:$E$403,MATCH(1,('Car Data'!$G$2:$G$403=O31)*('Car Data'!$C$2:$C$403=A31),0),2))</f>
        <v>Renault Mégane Trophy V6</v>
      </c>
      <c r="O31" s="15">
        <f>MAXIFS('Car Data'!$G$2:$G$403,'Car Data'!$C$2:$C$403,A31)</f>
        <v>13.5</v>
      </c>
      <c r="P31" s="15" t="str">
        <f t="array" ref="P31">CONCATENATE(INDEX('Car Data'!$A$2:$E$403,MATCH(1,('Car Data'!$G$2:$G$403=Q31)*('Car Data'!$C$2:$C$403=A31),0),1)," ",INDEX('Car Data'!$A$2:$E$403,MATCH(1,('Car Data'!$G$2:$G$403=Q31)*('Car Data'!$C$2:$C$403=A31),0),2))</f>
        <v>Renault Mégane Trophy V6</v>
      </c>
      <c r="Q31" s="11">
        <f>MINIFS('Car Data'!$G$2:$G$403,'Car Data'!$C$2:$C$403,A31)</f>
        <v>13.5</v>
      </c>
      <c r="R31" s="11">
        <f>ROUND(AVERAGEIFS('Car Data'!$G$2:$G$403,'Car Data'!$C$2:$C$403,A31),2)</f>
        <v>13.5</v>
      </c>
      <c r="S31" s="11" t="str">
        <f>IFERROR(__xludf.DUMMYFUNCTION("ROUND(STDEV(FILTER('Car Data'!$G$2:$G$403,'Car Data'!$C$2:$C$403=A31)),2)"),"#DIV/0!")</f>
        <v>#DIV/0!</v>
      </c>
      <c r="T31" s="11" t="str">
        <f t="array" ref="T31">CONCATENATE(INDEX('Car Data'!$A$2:$E$403,MATCH(1,('Car Data'!$I$2:$I$403=U31)*('Car Data'!$C$2:$C$403=A31),0),1)," ",INDEX('Car Data'!$A$2:$E$403,MATCH(1,('Car Data'!$I$2:$I$403=U31)*('Car Data'!$C$2:$C$403=A31),0),2))</f>
        <v>Renault Mégane Trophy V6</v>
      </c>
      <c r="U31" s="11">
        <f>MAXIFS('Car Data'!$I$2:$I$403,'Car Data'!$C$2:$C$403,A31)</f>
        <v>0.183</v>
      </c>
      <c r="V31" s="11" t="str">
        <f t="array" ref="V31">CONCATENATE(INDEX('Car Data'!$A$2:$E$403,MATCH(1,('Car Data'!$I$2:$I$403=W31)*('Car Data'!$C$2:$C$403=A31),0),1)," ",INDEX('Car Data'!$A$2:$E$403,MATCH(1,('Car Data'!$I$2:$I$403=W31)*('Car Data'!$C$2:$C$403=A31),0),2))</f>
        <v>Renault Mégane Trophy V6</v>
      </c>
      <c r="W31" s="11">
        <f>MINIFS('Car Data'!$I$2:$I$403,'Car Data'!$C$2:$C$403,A31)</f>
        <v>0.183</v>
      </c>
      <c r="X31" s="11">
        <f>ROUND(AVERAGEIFS('Car Data'!$I$2:$I$403,'Car Data'!$C$2:$C$403,A31),2)</f>
        <v>0.18</v>
      </c>
      <c r="Y31" s="11" t="str">
        <f>IFERROR(__xludf.DUMMYFUNCTION("ROUND(STDEV(FILTER('Car Data'!$I$2:$I$403,'Car Data'!$C$2:$C$403=A31)),2)"),"#DIV/0!")</f>
        <v>#DIV/0!</v>
      </c>
    </row>
    <row r="32">
      <c r="A32" s="3" t="s">
        <v>287</v>
      </c>
      <c r="B32" s="8" t="str">
        <f t="array" ref="B32">CONCATENATE(INDEX('Car Data'!$A$2:$E$403,MATCH(1,('Car Data'!$D$2:$D$403=C32)*('Car Data'!$C$2:$C$403=A32),0),1)," ",INDEX('Car Data'!$A$2:$E$403,MATCH(1,('Car Data'!$D$2:$D$403=C32)*('Car Data'!$C$2:$C$403=A32),0),2))</f>
        <v>Ford Fusion Stockcar</v>
      </c>
      <c r="C32" s="8">
        <f>MAXIFS('Car Data'!$D$2:$D$403,'Car Data'!$C$2:$C$403,A32)</f>
        <v>209</v>
      </c>
      <c r="D32" s="8" t="str">
        <f t="array" ref="D32">CONCATENATE(INDEX('Car Data'!$A$2:$E$403,MATCH(1,('Car Data'!$D$2:$D$403=E32)*('Car Data'!$C$2:$C$403=A32),0),1)," ",INDEX('Car Data'!$A$2:$E$403,MATCH(1,('Car Data'!$D$2:$D$403=E32)*('Car Data'!$C$2:$C$403=A32),0),2))</f>
        <v>Ford Fusion Stockcar</v>
      </c>
      <c r="E32" s="8">
        <f>MINIFS('Car Data'!$D$2:$D$403,'Car Data'!$C$2:$C$403,A32)</f>
        <v>209</v>
      </c>
      <c r="F32" s="8">
        <f>ROUND(AVERAGEIFS('Car Data'!$D$2:$D$403,'Car Data'!$C$2:$C$403,A32),2)</f>
        <v>209</v>
      </c>
      <c r="G32" s="8" t="str">
        <f>IFERROR(__xludf.DUMMYFUNCTION("ROUND(STDEV(FILTER('Car Data'!$D$2:$D$403,'Car Data'!$C$2:$C$403=A32)),2)"),"#DIV/0!")</f>
        <v>#DIV/0!</v>
      </c>
      <c r="H32" s="8" t="str">
        <f t="array" ref="H32">CONCATENATE(INDEX('Car Data'!$A$2:$E$403,MATCH(1,('Car Data'!$F$2:$F$403=I32)*('Car Data'!$C$2:$C$403=A32),0),1)," ",INDEX('Car Data'!$A$2:$E$403,MATCH(1,('Car Data'!$F$2:$F$403=I32)*('Car Data'!$C$2:$C$403=A32),0),2))</f>
        <v>Ford Fusion Stockcar</v>
      </c>
      <c r="I32" s="8">
        <f>MAXIFS('Car Data'!$F$2:$F$403,'Car Data'!$C$2:$C$403,A32)</f>
        <v>731</v>
      </c>
      <c r="J32" s="8" t="str">
        <f t="array" ref="J32">CONCATENATE(INDEX('Car Data'!$A$2:$E$403,MATCH(1,('Car Data'!$F$2:$F$403=K32)*('Car Data'!$C$2:$C$403=A32),0),1)," ",INDEX('Car Data'!$A$2:$E$403,MATCH(1,('Car Data'!$F$2:$F$403=K32)*('Car Data'!$C$2:$C$403=A32),0),2))</f>
        <v>Ford Fusion Stockcar</v>
      </c>
      <c r="K32" s="8">
        <f>MINIFS('Car Data'!$F$2:$F$403,'Car Data'!$C$2:$C$403,A32)</f>
        <v>731</v>
      </c>
      <c r="L32" s="8">
        <f>ROUND(AVERAGEIFS('Car Data'!$F$2:$F$403,'Car Data'!$C$2:$C$403,A32),2)</f>
        <v>731</v>
      </c>
      <c r="M32" s="8" t="str">
        <f>IFERROR(__xludf.DUMMYFUNCTION("ROUND(STDEV(FILTER('Car Data'!$F$2:$F$403,'Car Data'!$C$2:$C$403=A32)),2)"),"#DIV/0!")</f>
        <v>#DIV/0!</v>
      </c>
      <c r="N32" s="8" t="str">
        <f t="array" ref="N32">CONCATENATE(INDEX('Car Data'!$A$2:$E$403,MATCH(1,('Car Data'!$G$2:$G$403=O32)*('Car Data'!$C$2:$C$403=A32),0),1)," ",INDEX('Car Data'!$A$2:$E$403,MATCH(1,('Car Data'!$G$2:$G$403=O32)*('Car Data'!$C$2:$C$403=A32),0),2))</f>
        <v>Ford Fusion Stockcar</v>
      </c>
      <c r="O32" s="14">
        <f>MAXIFS('Car Data'!$G$2:$G$403,'Car Data'!$C$2:$C$403,A32)</f>
        <v>12.5</v>
      </c>
      <c r="P32" s="14" t="str">
        <f t="array" ref="P32">CONCATENATE(INDEX('Car Data'!$A$2:$E$403,MATCH(1,('Car Data'!$G$2:$G$403=Q32)*('Car Data'!$C$2:$C$403=A32),0),1)," ",INDEX('Car Data'!$A$2:$E$403,MATCH(1,('Car Data'!$G$2:$G$403=Q32)*('Car Data'!$C$2:$C$403=A32),0),2))</f>
        <v>Ford Fusion Stockcar</v>
      </c>
      <c r="Q32" s="8">
        <f>MINIFS('Car Data'!$G$2:$G$403,'Car Data'!$C$2:$C$403,A32)</f>
        <v>12.5</v>
      </c>
      <c r="R32" s="8">
        <f>ROUND(AVERAGEIFS('Car Data'!$G$2:$G$403,'Car Data'!$C$2:$C$403,A32),2)</f>
        <v>12.5</v>
      </c>
      <c r="S32" s="8" t="str">
        <f>IFERROR(__xludf.DUMMYFUNCTION("ROUND(STDEV(FILTER('Car Data'!$G$2:$G$403,'Car Data'!$C$2:$C$403=A32)),2)"),"#DIV/0!")</f>
        <v>#DIV/0!</v>
      </c>
      <c r="T32" s="8" t="str">
        <f t="array" ref="T32">CONCATENATE(INDEX('Car Data'!$A$2:$E$403,MATCH(1,('Car Data'!$I$2:$I$403=U32)*('Car Data'!$C$2:$C$403=A32),0),1)," ",INDEX('Car Data'!$A$2:$E$403,MATCH(1,('Car Data'!$I$2:$I$403=U32)*('Car Data'!$C$2:$C$403=A32),0),2))</f>
        <v>Ford Fusion Stockcar</v>
      </c>
      <c r="U32" s="8">
        <f>MAXIFS('Car Data'!$I$2:$I$403,'Car Data'!$C$2:$C$403,A32)</f>
        <v>0.222</v>
      </c>
      <c r="V32" s="8" t="str">
        <f t="array" ref="V32">CONCATENATE(INDEX('Car Data'!$A$2:$E$403,MATCH(1,('Car Data'!$I$2:$I$403=W32)*('Car Data'!$C$2:$C$403=A32),0),1)," ",INDEX('Car Data'!$A$2:$E$403,MATCH(1,('Car Data'!$I$2:$I$403=W32)*('Car Data'!$C$2:$C$403=A32),0),2))</f>
        <v>Ford Fusion Stockcar</v>
      </c>
      <c r="W32" s="8">
        <f>MINIFS('Car Data'!$I$2:$I$403,'Car Data'!$C$2:$C$403,A32)</f>
        <v>0.222</v>
      </c>
      <c r="X32" s="8">
        <f>ROUND(AVERAGEIFS('Car Data'!$I$2:$I$403,'Car Data'!$C$2:$C$403,A32),2)</f>
        <v>0.22</v>
      </c>
      <c r="Y32" s="8" t="str">
        <f>IFERROR(__xludf.DUMMYFUNCTION("ROUND(STDEV(FILTER('Car Data'!$I$2:$I$403,'Car Data'!$C$2:$C$403=A32)),2)"),"#DIV/0!")</f>
        <v>#DIV/0!</v>
      </c>
    </row>
    <row r="33">
      <c r="A33" s="6" t="s">
        <v>82</v>
      </c>
      <c r="B33" s="11" t="str">
        <f t="array" ref="B33">CONCATENATE(INDEX('Car Data'!$A$2:$E$403,MATCH(1,('Car Data'!$D$2:$D$403=C33)*('Car Data'!$C$2:$C$403=A33),0),1)," ",INDEX('Car Data'!$A$2:$E$403,MATCH(1,('Car Data'!$D$2:$D$403=C33)*('Car Data'!$C$2:$C$403=A33),0),2))</f>
        <v>Porsche 918 Spyder Weissach</v>
      </c>
      <c r="C33" s="11">
        <f>MAXIFS('Car Data'!$D$2:$D$403,'Car Data'!$C$2:$C$403,A33)</f>
        <v>235</v>
      </c>
      <c r="D33" s="11" t="str">
        <f t="array" ref="D33">CONCATENATE(INDEX('Car Data'!$A$2:$E$403,MATCH(1,('Car Data'!$D$2:$D$403=E33)*('Car Data'!$C$2:$C$403=A33),0),1)," ",INDEX('Car Data'!$A$2:$E$403,MATCH(1,('Car Data'!$D$2:$D$403=E33)*('Car Data'!$C$2:$C$403=A33),0),2))</f>
        <v>Radical RXC Turbo</v>
      </c>
      <c r="E33" s="11">
        <f>MINIFS('Car Data'!$D$2:$D$403,'Car Data'!$C$2:$C$403,A33)</f>
        <v>186</v>
      </c>
      <c r="F33" s="11">
        <f>ROUND(AVERAGEIFS('Car Data'!$D$2:$D$403,'Car Data'!$C$2:$C$403,A33),2)</f>
        <v>215.45</v>
      </c>
      <c r="G33" s="11">
        <f>IFERROR(__xludf.DUMMYFUNCTION("ROUND(STDEV(FILTER('Car Data'!$D$2:$D$403,'Car Data'!$C$2:$C$403=A33)),2)"),15.19)</f>
        <v>15.19</v>
      </c>
      <c r="H33" s="11" t="str">
        <f t="array" ref="H33">CONCATENATE(INDEX('Car Data'!$A$2:$E$403,MATCH(1,('Car Data'!$F$2:$F$403=I33)*('Car Data'!$C$2:$C$403=A33),0),1)," ",INDEX('Car Data'!$A$2:$E$403,MATCH(1,('Car Data'!$F$2:$F$403=I33)*('Car Data'!$C$2:$C$403=A33),0),2))</f>
        <v>Ferrari LaFerrari</v>
      </c>
      <c r="I33" s="11">
        <f>MAXIFS('Car Data'!$F$2:$F$403,'Car Data'!$C$2:$C$403,A33)</f>
        <v>942</v>
      </c>
      <c r="J33" s="11" t="str">
        <f t="array" ref="J33">CONCATENATE(INDEX('Car Data'!$A$2:$E$403,MATCH(1,('Car Data'!$F$2:$F$403=K33)*('Car Data'!$C$2:$C$403=A33),0),1)," ",INDEX('Car Data'!$A$2:$E$403,MATCH(1,('Car Data'!$F$2:$F$403=K33)*('Car Data'!$C$2:$C$403=A33),0),2))</f>
        <v>Radical RXC Turbo</v>
      </c>
      <c r="K33" s="11">
        <f>MINIFS('Car Data'!$F$2:$F$403,'Car Data'!$C$2:$C$403,A33)</f>
        <v>456</v>
      </c>
      <c r="L33" s="11">
        <f>ROUND(AVERAGEIFS('Car Data'!$F$2:$F$403,'Car Data'!$C$2:$C$403,A33),2)</f>
        <v>769.91</v>
      </c>
      <c r="M33" s="11">
        <f>IFERROR(__xludf.DUMMYFUNCTION("ROUND(STDEV(FILTER('Car Data'!$F$2:$F$403,'Car Data'!$C$2:$C$403=A33)),2)"),128.52)</f>
        <v>128.52</v>
      </c>
      <c r="N33" s="11" t="str">
        <f t="array" ref="N33">CONCATENATE(INDEX('Car Data'!$A$2:$E$403,MATCH(1,('Car Data'!$G$2:$G$403=O33)*('Car Data'!$C$2:$C$403=A33),0),1)," ",INDEX('Car Data'!$A$2:$E$403,MATCH(1,('Car Data'!$G$2:$G$403=O33)*('Car Data'!$C$2:$C$403=A33),0),2))</f>
        <v>W Motors Lykan HyperSport</v>
      </c>
      <c r="O33" s="15">
        <f>MAXIFS('Car Data'!$G$2:$G$403,'Car Data'!$C$2:$C$403,A33)</f>
        <v>16.4</v>
      </c>
      <c r="P33" s="15" t="str">
        <f t="array" ref="P33">CONCATENATE(INDEX('Car Data'!$A$2:$E$403,MATCH(1,('Car Data'!$G$2:$G$403=Q33)*('Car Data'!$C$2:$C$403=A33),0),1)," ",INDEX('Car Data'!$A$2:$E$403,MATCH(1,('Car Data'!$G$2:$G$403=Q33)*('Car Data'!$C$2:$C$403=A33),0),2))</f>
        <v>Lamborghini Aventador LP770-4 SVJ</v>
      </c>
      <c r="Q33" s="11">
        <f>MINIFS('Car Data'!$G$2:$G$403,'Car Data'!$C$2:$C$403,A33)</f>
        <v>10.9</v>
      </c>
      <c r="R33" s="11">
        <f>ROUND(AVERAGEIFS('Car Data'!$G$2:$G$403,'Car Data'!$C$2:$C$403,A33),2)</f>
        <v>13.17</v>
      </c>
      <c r="S33" s="11">
        <f>IFERROR(__xludf.DUMMYFUNCTION("ROUND(STDEV(FILTER('Car Data'!$G$2:$G$403,'Car Data'!$C$2:$C$403=A33)),2)"),1.54)</f>
        <v>1.54</v>
      </c>
      <c r="T33" s="11" t="str">
        <f t="array" ref="T33">CONCATENATE(INDEX('Car Data'!$A$2:$E$403,MATCH(1,('Car Data'!$I$2:$I$403=U33)*('Car Data'!$C$2:$C$403=A33),0),1)," ",INDEX('Car Data'!$A$2:$E$403,MATCH(1,('Car Data'!$I$2:$I$403=U33)*('Car Data'!$C$2:$C$403=A33),0),2))</f>
        <v>Pagani Huayra BC</v>
      </c>
      <c r="U33" s="11">
        <f>MAXIFS('Car Data'!$I$2:$I$403,'Car Data'!$C$2:$C$403,A33)</f>
        <v>0.28</v>
      </c>
      <c r="V33" s="11" t="str">
        <f t="array" ref="V33">CONCATENATE(INDEX('Car Data'!$A$2:$E$403,MATCH(1,('Car Data'!$I$2:$I$403=W33)*('Car Data'!$C$2:$C$403=A33),0),1)," ",INDEX('Car Data'!$A$2:$E$403,MATCH(1,('Car Data'!$I$2:$I$403=W33)*('Car Data'!$C$2:$C$403=A33),0),2))</f>
        <v>Lamborghini Aventador LP770-4 SVJ</v>
      </c>
      <c r="W33" s="11">
        <f>MINIFS('Car Data'!$I$2:$I$403,'Car Data'!$C$2:$C$403,A33)</f>
        <v>0.218</v>
      </c>
      <c r="X33" s="11">
        <f>ROUND(AVERAGEIFS('Car Data'!$I$2:$I$403,'Car Data'!$C$2:$C$403,A33),2)</f>
        <v>0.25</v>
      </c>
      <c r="Y33" s="11">
        <f>IFERROR(__xludf.DUMMYFUNCTION("ROUND(STDEV(FILTER('Car Data'!$I$2:$I$403,'Car Data'!$C$2:$C$403=A33)),2)"),0.02)</f>
        <v>0.02</v>
      </c>
    </row>
    <row r="34">
      <c r="A34" s="3" t="s">
        <v>196</v>
      </c>
      <c r="B34" s="8" t="str">
        <f t="array" ref="B34">CONCATENATE(INDEX('Car Data'!$A$2:$E$403,MATCH(1,('Car Data'!$D$2:$D$403=C34)*('Car Data'!$C$2:$C$403=A34),0),1)," ",INDEX('Car Data'!$A$2:$E$403,MATCH(1,('Car Data'!$D$2:$D$403=C34)*('Car Data'!$C$2:$C$403=A34),0),2))</f>
        <v>Ferrari 812 Superfast</v>
      </c>
      <c r="C34" s="8">
        <f>MAXIFS('Car Data'!$D$2:$D$403,'Car Data'!$C$2:$C$403,A34)</f>
        <v>220</v>
      </c>
      <c r="D34" s="8" t="str">
        <f t="array" ref="D34">CONCATENATE(INDEX('Car Data'!$A$2:$E$403,MATCH(1,('Car Data'!$D$2:$D$403=E34)*('Car Data'!$C$2:$C$403=A34),0),1)," ",INDEX('Car Data'!$A$2:$E$403,MATCH(1,('Car Data'!$D$2:$D$403=E34)*('Car Data'!$C$2:$C$403=A34),0),2))</f>
        <v>BAC Mono</v>
      </c>
      <c r="E34" s="8">
        <f>MINIFS('Car Data'!$D$2:$D$403,'Car Data'!$C$2:$C$403,A34)</f>
        <v>170</v>
      </c>
      <c r="F34" s="8">
        <f>ROUND(AVERAGEIFS('Car Data'!$D$2:$D$403,'Car Data'!$C$2:$C$403,A34),2)</f>
        <v>202.4</v>
      </c>
      <c r="G34" s="8">
        <f>IFERROR(__xludf.DUMMYFUNCTION("ROUND(STDEV(FILTER('Car Data'!$D$2:$D$403,'Car Data'!$C$2:$C$403=A34)),2)"),14.15)</f>
        <v>14.15</v>
      </c>
      <c r="H34" s="8" t="str">
        <f t="array" ref="H34">CONCATENATE(INDEX('Car Data'!$A$2:$E$403,MATCH(1,('Car Data'!$F$2:$F$403=I34)*('Car Data'!$C$2:$C$403=A34),0),1)," ",INDEX('Car Data'!$A$2:$E$403,MATCH(1,('Car Data'!$F$2:$F$403=I34)*('Car Data'!$C$2:$C$403=A34),0),2))</f>
        <v>Ferrari 812 Superfast</v>
      </c>
      <c r="I34" s="8">
        <f>MAXIFS('Car Data'!$F$2:$F$403,'Car Data'!$C$2:$C$403,A34)</f>
        <v>789</v>
      </c>
      <c r="J34" s="8" t="str">
        <f t="array" ref="J34">CONCATENATE(INDEX('Car Data'!$A$2:$E$403,MATCH(1,('Car Data'!$F$2:$F$403=K34)*('Car Data'!$C$2:$C$403=A34),0),1)," ",INDEX('Car Data'!$A$2:$E$403,MATCH(1,('Car Data'!$F$2:$F$403=K34)*('Car Data'!$C$2:$C$403=A34),0),2))</f>
        <v>BAC Mono</v>
      </c>
      <c r="K34" s="8">
        <f>MINIFS('Car Data'!$F$2:$F$403,'Car Data'!$C$2:$C$403,A34)</f>
        <v>307</v>
      </c>
      <c r="L34" s="8">
        <f>ROUND(AVERAGEIFS('Car Data'!$F$2:$F$403,'Car Data'!$C$2:$C$403,A34),2)</f>
        <v>636.4</v>
      </c>
      <c r="M34" s="8">
        <f>IFERROR(__xludf.DUMMYFUNCTION("ROUND(STDEV(FILTER('Car Data'!$F$2:$F$403,'Car Data'!$C$2:$C$403=A34)),2)"),128.94)</f>
        <v>128.94</v>
      </c>
      <c r="N34" s="8" t="str">
        <f t="array" ref="N34">CONCATENATE(INDEX('Car Data'!$A$2:$E$403,MATCH(1,('Car Data'!$G$2:$G$403=O34)*('Car Data'!$C$2:$C$403=A34),0),1)," ",INDEX('Car Data'!$A$2:$E$403,MATCH(1,('Car Data'!$G$2:$G$403=O34)*('Car Data'!$C$2:$C$403=A34),0),2))</f>
        <v>BAC Mono</v>
      </c>
      <c r="O34" s="14">
        <f>MAXIFS('Car Data'!$G$2:$G$403,'Car Data'!$C$2:$C$403,A34)</f>
        <v>16</v>
      </c>
      <c r="P34" s="14" t="str">
        <f t="array" ref="P34">CONCATENATE(INDEX('Car Data'!$A$2:$E$403,MATCH(1,('Car Data'!$G$2:$G$403=Q34)*('Car Data'!$C$2:$C$403=A34),0),1)," ",INDEX('Car Data'!$A$2:$E$403,MATCH(1,('Car Data'!$G$2:$G$403=Q34)*('Car Data'!$C$2:$C$403=A34),0),2))</f>
        <v>Lamborghini Veneno LP750-4</v>
      </c>
      <c r="Q34" s="8">
        <f>MINIFS('Car Data'!$G$2:$G$403,'Car Data'!$C$2:$C$403,A34)</f>
        <v>11.2</v>
      </c>
      <c r="R34" s="8">
        <f>ROUND(AVERAGEIFS('Car Data'!$G$2:$G$403,'Car Data'!$C$2:$C$403,A34),2)</f>
        <v>13.36</v>
      </c>
      <c r="S34" s="8">
        <f>IFERROR(__xludf.DUMMYFUNCTION("ROUND(STDEV(FILTER('Car Data'!$G$2:$G$403,'Car Data'!$C$2:$C$403=A34)),2)"),1.62)</f>
        <v>1.62</v>
      </c>
      <c r="T34" s="8" t="str">
        <f t="array" ref="T34">CONCATENATE(INDEX('Car Data'!$A$2:$E$403,MATCH(1,('Car Data'!$I$2:$I$403=U34)*('Car Data'!$C$2:$C$403=A34),0),1)," ",INDEX('Car Data'!$A$2:$E$403,MATCH(1,('Car Data'!$I$2:$I$403=U34)*('Car Data'!$C$2:$C$403=A34),0),2))</f>
        <v>Jaguar XJ220 S</v>
      </c>
      <c r="U34" s="8">
        <f>MAXIFS('Car Data'!$I$2:$I$403,'Car Data'!$C$2:$C$403,A34)</f>
        <v>0.293</v>
      </c>
      <c r="V34" s="8" t="str">
        <f t="array" ref="V34">CONCATENATE(INDEX('Car Data'!$A$2:$E$403,MATCH(1,('Car Data'!$I$2:$I$403=W34)*('Car Data'!$C$2:$C$403=A34),0),1)," ",INDEX('Car Data'!$A$2:$E$403,MATCH(1,('Car Data'!$I$2:$I$403=W34)*('Car Data'!$C$2:$C$403=A34),0),2))</f>
        <v>Porsche 911 GT3 RS</v>
      </c>
      <c r="W34" s="8">
        <f>MINIFS('Car Data'!$I$2:$I$403,'Car Data'!$C$2:$C$403,A34)</f>
        <v>0.19</v>
      </c>
      <c r="X34" s="8">
        <f>ROUND(AVERAGEIFS('Car Data'!$I$2:$I$403,'Car Data'!$C$2:$C$403,A34),2)</f>
        <v>0.23</v>
      </c>
      <c r="Y34" s="8">
        <f>IFERROR(__xludf.DUMMYFUNCTION("ROUND(STDEV(FILTER('Car Data'!$I$2:$I$403,'Car Data'!$C$2:$C$403=A34)),2)"),0.03)</f>
        <v>0.03</v>
      </c>
    </row>
    <row r="35">
      <c r="A35" s="6" t="s">
        <v>131</v>
      </c>
      <c r="B35" s="11" t="str">
        <f t="array" ref="B35">CONCATENATE(INDEX('Car Data'!$A$2:$E$403,MATCH(1,('Car Data'!$D$2:$D$403=C35)*('Car Data'!$C$2:$C$403=A35),0),1)," ",INDEX('Car Data'!$A$2:$E$403,MATCH(1,('Car Data'!$D$2:$D$403=C35)*('Car Data'!$C$2:$C$403=A35),0),2))</f>
        <v>McLaren F1</v>
      </c>
      <c r="C35" s="11">
        <f>MAXIFS('Car Data'!$D$2:$D$403,'Car Data'!$C$2:$C$403,A35)</f>
        <v>231</v>
      </c>
      <c r="D35" s="11" t="str">
        <f t="array" ref="D35">CONCATENATE(INDEX('Car Data'!$A$2:$E$403,MATCH(1,('Car Data'!$D$2:$D$403=E35)*('Car Data'!$C$2:$C$403=A35),0),1)," ",INDEX('Car Data'!$A$2:$E$403,MATCH(1,('Car Data'!$D$2:$D$403=E35)*('Car Data'!$C$2:$C$403=A35),0),2))</f>
        <v>Aston Martin Vantage GT12</v>
      </c>
      <c r="E35" s="11">
        <f>MINIFS('Car Data'!$D$2:$D$403,'Car Data'!$C$2:$C$403,A35)</f>
        <v>180</v>
      </c>
      <c r="F35" s="11">
        <f>ROUND(AVERAGEIFS('Car Data'!$D$2:$D$403,'Car Data'!$C$2:$C$403,A35),2)</f>
        <v>199.27</v>
      </c>
      <c r="G35" s="11">
        <f>IFERROR(__xludf.DUMMYFUNCTION("ROUND(STDEV(FILTER('Car Data'!$D$2:$D$403,'Car Data'!$C$2:$C$403=A35)),2)"),12.49)</f>
        <v>12.49</v>
      </c>
      <c r="H35" s="11" t="str">
        <f t="array" ref="H35">CONCATENATE(INDEX('Car Data'!$A$2:$E$403,MATCH(1,('Car Data'!$F$2:$F$403=I35)*('Car Data'!$C$2:$C$403=A35),0),1)," ",INDEX('Car Data'!$A$2:$E$403,MATCH(1,('Car Data'!$F$2:$F$403=I35)*('Car Data'!$C$2:$C$403=A35),0),2))</f>
        <v>Mercedes-AMG SL65 AMG Black Series</v>
      </c>
      <c r="I35" s="11">
        <f>MAXIFS('Car Data'!$F$2:$F$403,'Car Data'!$C$2:$C$403,A35)</f>
        <v>763</v>
      </c>
      <c r="J35" s="11" t="str">
        <f t="array" ref="J35">CONCATENATE(INDEX('Car Data'!$A$2:$E$403,MATCH(1,('Car Data'!$F$2:$F$403=K35)*('Car Data'!$C$2:$C$403=A35),0),1)," ",INDEX('Car Data'!$A$2:$E$403,MATCH(1,('Car Data'!$F$2:$F$403=K35)*('Car Data'!$C$2:$C$403=A35),0),2))</f>
        <v>Porsche 911 R</v>
      </c>
      <c r="K35" s="11">
        <f>MINIFS('Car Data'!$F$2:$F$403,'Car Data'!$C$2:$C$403,A35)</f>
        <v>491</v>
      </c>
      <c r="L35" s="11">
        <f>ROUND(AVERAGEIFS('Car Data'!$F$2:$F$403,'Car Data'!$C$2:$C$403,A35),2)</f>
        <v>580.27</v>
      </c>
      <c r="M35" s="11">
        <f>IFERROR(__xludf.DUMMYFUNCTION("ROUND(STDEV(FILTER('Car Data'!$F$2:$F$403,'Car Data'!$C$2:$C$403=A35)),2)"),68.04)</f>
        <v>68.04</v>
      </c>
      <c r="N35" s="11" t="str">
        <f t="array" ref="N35">CONCATENATE(INDEX('Car Data'!$A$2:$E$403,MATCH(1,('Car Data'!$G$2:$G$403=O35)*('Car Data'!$C$2:$C$403=A35),0),1)," ",INDEX('Car Data'!$A$2:$E$403,MATCH(1,('Car Data'!$G$2:$G$403=O35)*('Car Data'!$C$2:$C$403=A35),0),2))</f>
        <v>McLaren F1</v>
      </c>
      <c r="O35" s="15">
        <f>MAXIFS('Car Data'!$G$2:$G$403,'Car Data'!$C$2:$C$403,A35)</f>
        <v>19.8</v>
      </c>
      <c r="P35" s="15" t="str">
        <f t="array" ref="P35">CONCATENATE(INDEX('Car Data'!$A$2:$E$403,MATCH(1,('Car Data'!$G$2:$G$403=Q35)*('Car Data'!$C$2:$C$403=A35),0),1)," ",INDEX('Car Data'!$A$2:$E$403,MATCH(1,('Car Data'!$G$2:$G$403=Q35)*('Car Data'!$C$2:$C$403=A35),0),2))</f>
        <v>Aston Martin Vantage GT12</v>
      </c>
      <c r="Q35" s="11">
        <f>MINIFS('Car Data'!$G$2:$G$403,'Car Data'!$C$2:$C$403,A35)</f>
        <v>10</v>
      </c>
      <c r="R35" s="11">
        <f>ROUND(AVERAGEIFS('Car Data'!$G$2:$G$403,'Car Data'!$C$2:$C$403,A35),2)</f>
        <v>13.85</v>
      </c>
      <c r="S35" s="11">
        <f>IFERROR(__xludf.DUMMYFUNCTION("ROUND(STDEV(FILTER('Car Data'!$G$2:$G$403,'Car Data'!$C$2:$C$403=A35)),2)"),2.46)</f>
        <v>2.46</v>
      </c>
      <c r="T35" s="11" t="str">
        <f t="array" ref="T35">CONCATENATE(INDEX('Car Data'!$A$2:$E$403,MATCH(1,('Car Data'!$I$2:$I$403=U35)*('Car Data'!$C$2:$C$403=A35),0),1)," ",INDEX('Car Data'!$A$2:$E$403,MATCH(1,('Car Data'!$I$2:$I$403=U35)*('Car Data'!$C$2:$C$403=A35),0),2))</f>
        <v>McLaren F1</v>
      </c>
      <c r="U35" s="11">
        <f>MAXIFS('Car Data'!$I$2:$I$403,'Car Data'!$C$2:$C$403,A35)</f>
        <v>0.248</v>
      </c>
      <c r="V35" s="11" t="str">
        <f t="array" ref="V35">CONCATENATE(INDEX('Car Data'!$A$2:$E$403,MATCH(1,('Car Data'!$I$2:$I$403=W35)*('Car Data'!$C$2:$C$403=A35),0),1)," ",INDEX('Car Data'!$A$2:$E$403,MATCH(1,('Car Data'!$I$2:$I$403=W35)*('Car Data'!$C$2:$C$403=A35),0),2))</f>
        <v>Mercedes-AMG C63 AMG Black Series Coupe</v>
      </c>
      <c r="W35" s="11">
        <f>MINIFS('Car Data'!$I$2:$I$403,'Car Data'!$C$2:$C$403,A35)</f>
        <v>0.143</v>
      </c>
      <c r="X35" s="11">
        <f>ROUND(AVERAGEIFS('Car Data'!$I$2:$I$403,'Car Data'!$C$2:$C$403,A35),2)</f>
        <v>0.18</v>
      </c>
      <c r="Y35" s="11">
        <f>IFERROR(__xludf.DUMMYFUNCTION("ROUND(STDEV(FILTER('Car Data'!$I$2:$I$403,'Car Data'!$C$2:$C$403=A35)),2)"),0.02)</f>
        <v>0.02</v>
      </c>
    </row>
    <row r="36">
      <c r="A36" s="3" t="s">
        <v>359</v>
      </c>
      <c r="B36" s="8" t="str">
        <f t="array" ref="B36">CONCATENATE(INDEX('Car Data'!$A$2:$E$403,MATCH(1,('Car Data'!$D$2:$D$403=C36)*('Car Data'!$C$2:$C$403=A36),0),1)," ",INDEX('Car Data'!$A$2:$E$403,MATCH(1,('Car Data'!$D$2:$D$403=C36)*('Car Data'!$C$2:$C$403=A36),0),2))</f>
        <v>Ferrari F40</v>
      </c>
      <c r="C36" s="8">
        <f>MAXIFS('Car Data'!$D$2:$D$403,'Car Data'!$C$2:$C$403,A36)</f>
        <v>202</v>
      </c>
      <c r="D36" s="8" t="str">
        <f t="array" ref="D36">CONCATENATE(INDEX('Car Data'!$A$2:$E$403,MATCH(1,('Car Data'!$D$2:$D$403=E36)*('Car Data'!$C$2:$C$403=A36),0),1)," ",INDEX('Car Data'!$A$2:$E$403,MATCH(1,('Car Data'!$D$2:$D$403=E36)*('Car Data'!$C$2:$C$403=A36),0),2))</f>
        <v>KTM X-Bow R</v>
      </c>
      <c r="E36" s="8">
        <f>MINIFS('Car Data'!$D$2:$D$403,'Car Data'!$C$2:$C$403,A36)</f>
        <v>142</v>
      </c>
      <c r="F36" s="8">
        <f>ROUND(AVERAGEIFS('Car Data'!$D$2:$D$403,'Car Data'!$C$2:$C$403,A36),2)</f>
        <v>181.9</v>
      </c>
      <c r="G36" s="8">
        <f>IFERROR(__xludf.DUMMYFUNCTION("ROUND(STDEV(FILTER('Car Data'!$D$2:$D$403,'Car Data'!$C$2:$C$403=A36)),2)"),19.1)</f>
        <v>19.1</v>
      </c>
      <c r="H36" s="8" t="str">
        <f t="array" ref="H36">CONCATENATE(INDEX('Car Data'!$A$2:$E$403,MATCH(1,('Car Data'!$F$2:$F$403=I36)*('Car Data'!$C$2:$C$403=A36),0),1)," ",INDEX('Car Data'!$A$2:$E$403,MATCH(1,('Car Data'!$F$2:$F$403=I36)*('Car Data'!$C$2:$C$403=A36),0),2))</f>
        <v>Chevrolet Camaro ZL-1</v>
      </c>
      <c r="I36" s="8">
        <f>MAXIFS('Car Data'!$F$2:$F$403,'Car Data'!$C$2:$C$403,A36)</f>
        <v>641</v>
      </c>
      <c r="J36" s="8" t="str">
        <f t="array" ref="J36">CONCATENATE(INDEX('Car Data'!$A$2:$E$403,MATCH(1,('Car Data'!$F$2:$F$403=K36)*('Car Data'!$C$2:$C$403=A36),0),1)," ",INDEX('Car Data'!$A$2:$E$403,MATCH(1,('Car Data'!$F$2:$F$403=K36)*('Car Data'!$C$2:$C$403=A36),0),2))</f>
        <v>KTM X-Bow R</v>
      </c>
      <c r="K36" s="8">
        <f>MINIFS('Car Data'!$F$2:$F$403,'Car Data'!$C$2:$C$403,A36)</f>
        <v>301</v>
      </c>
      <c r="L36" s="8">
        <f>ROUND(AVERAGEIFS('Car Data'!$F$2:$F$403,'Car Data'!$C$2:$C$403,A36),2)</f>
        <v>456</v>
      </c>
      <c r="M36" s="8">
        <f>IFERROR(__xludf.DUMMYFUNCTION("ROUND(STDEV(FILTER('Car Data'!$F$2:$F$403,'Car Data'!$C$2:$C$403=A36)),2)"),119.68)</f>
        <v>119.68</v>
      </c>
      <c r="N36" s="8" t="str">
        <f t="array" ref="N36">CONCATENATE(INDEX('Car Data'!$A$2:$E$403,MATCH(1,('Car Data'!$G$2:$G$403=O36)*('Car Data'!$C$2:$C$403=A36),0),1)," ",INDEX('Car Data'!$A$2:$E$403,MATCH(1,('Car Data'!$G$2:$G$403=O36)*('Car Data'!$C$2:$C$403=A36),0),2))</f>
        <v>Porsche Cayman GT4</v>
      </c>
      <c r="O36" s="14">
        <f>MAXIFS('Car Data'!$G$2:$G$403,'Car Data'!$C$2:$C$403,A36)</f>
        <v>19.1</v>
      </c>
      <c r="P36" s="14" t="str">
        <f t="array" ref="P36">CONCATENATE(INDEX('Car Data'!$A$2:$E$403,MATCH(1,('Car Data'!$G$2:$G$403=Q36)*('Car Data'!$C$2:$C$403=A36),0),1)," ",INDEX('Car Data'!$A$2:$E$403,MATCH(1,('Car Data'!$G$2:$G$403=Q36)*('Car Data'!$C$2:$C$403=A36),0),2))</f>
        <v>KTM X-Bow R</v>
      </c>
      <c r="Q36" s="8">
        <f>MINIFS('Car Data'!$G$2:$G$403,'Car Data'!$C$2:$C$403,A36)</f>
        <v>9.5</v>
      </c>
      <c r="R36" s="8">
        <f>ROUND(AVERAGEIFS('Car Data'!$G$2:$G$403,'Car Data'!$C$2:$C$403,A36),2)</f>
        <v>13.71</v>
      </c>
      <c r="S36" s="8">
        <f>IFERROR(__xludf.DUMMYFUNCTION("ROUND(STDEV(FILTER('Car Data'!$G$2:$G$403,'Car Data'!$C$2:$C$403=A36)),2)"),3.19)</f>
        <v>3.19</v>
      </c>
      <c r="T36" s="8" t="str">
        <f t="array" ref="T36">CONCATENATE(INDEX('Car Data'!$A$2:$E$403,MATCH(1,('Car Data'!$I$2:$I$403=U36)*('Car Data'!$C$2:$C$403=A36),0),1)," ",INDEX('Car Data'!$A$2:$E$403,MATCH(1,('Car Data'!$I$2:$I$403=U36)*('Car Data'!$C$2:$C$403=A36),0),2))</f>
        <v>Caterham Seven 620 R</v>
      </c>
      <c r="U36" s="8">
        <f>MAXIFS('Car Data'!$I$2:$I$403,'Car Data'!$C$2:$C$403,A36)</f>
        <v>0.231</v>
      </c>
      <c r="V36" s="8" t="str">
        <f t="array" ref="V36">CONCATENATE(INDEX('Car Data'!$A$2:$E$403,MATCH(1,('Car Data'!$I$2:$I$403=W36)*('Car Data'!$C$2:$C$403=A36),0),1)," ",INDEX('Car Data'!$A$2:$E$403,MATCH(1,('Car Data'!$I$2:$I$403=W36)*('Car Data'!$C$2:$C$403=A36),0),2))</f>
        <v>Ford Focus RS AWD Tuned</v>
      </c>
      <c r="W36" s="8">
        <f>MINIFS('Car Data'!$I$2:$I$403,'Car Data'!$C$2:$C$403,A36)</f>
        <v>0.124</v>
      </c>
      <c r="X36" s="8">
        <f>ROUND(AVERAGEIFS('Car Data'!$I$2:$I$403,'Car Data'!$C$2:$C$403,A36),2)</f>
        <v>0.16</v>
      </c>
      <c r="Y36" s="8">
        <f>IFERROR(__xludf.DUMMYFUNCTION("ROUND(STDEV(FILTER('Car Data'!$I$2:$I$403,'Car Data'!$C$2:$C$403=A36)),2)"),0.03)</f>
        <v>0.03</v>
      </c>
    </row>
    <row r="37">
      <c r="A37" s="6" t="s">
        <v>412</v>
      </c>
      <c r="B37" s="11" t="str">
        <f t="array" ref="B37">CONCATENATE(INDEX('Car Data'!$A$2:$E$403,MATCH(1,('Car Data'!$D$2:$D$403=C37)*('Car Data'!$C$2:$C$403=A37),0),1)," ",INDEX('Car Data'!$A$2:$E$403,MATCH(1,('Car Data'!$D$2:$D$403=C37)*('Car Data'!$C$2:$C$403=A37),0),2))</f>
        <v>Porsche 959 S</v>
      </c>
      <c r="C37" s="11">
        <f>MAXIFS('Car Data'!$D$2:$D$403,'Car Data'!$C$2:$C$403,A37)</f>
        <v>197</v>
      </c>
      <c r="D37" s="11" t="str">
        <f t="array" ref="D37">CONCATENATE(INDEX('Car Data'!$A$2:$E$403,MATCH(1,('Car Data'!$D$2:$D$403=E37)*('Car Data'!$C$2:$C$403=A37),0),1)," ",INDEX('Car Data'!$A$2:$E$403,MATCH(1,('Car Data'!$D$2:$D$403=E37)*('Car Data'!$C$2:$C$403=A37),0),2))</f>
        <v>Mitsubishi Lancer Evolution IX FQ360</v>
      </c>
      <c r="E37" s="11">
        <f>MINIFS('Car Data'!$D$2:$D$403,'Car Data'!$C$2:$C$403,A37)</f>
        <v>155</v>
      </c>
      <c r="F37" s="11">
        <f>ROUND(AVERAGEIFS('Car Data'!$D$2:$D$403,'Car Data'!$C$2:$C$403,A37),2)</f>
        <v>176.11</v>
      </c>
      <c r="G37" s="11">
        <f>IFERROR(__xludf.DUMMYFUNCTION("ROUND(STDEV(FILTER('Car Data'!$D$2:$D$403,'Car Data'!$C$2:$C$403=A37)),2)"),13.9)</f>
        <v>13.9</v>
      </c>
      <c r="H37" s="11" t="str">
        <f t="array" ref="H37">CONCATENATE(INDEX('Car Data'!$A$2:$E$403,MATCH(1,('Car Data'!$F$2:$F$403=I37)*('Car Data'!$C$2:$C$403=A37),0),1)," ",INDEX('Car Data'!$A$2:$E$403,MATCH(1,('Car Data'!$F$2:$F$403=I37)*('Car Data'!$C$2:$C$403=A37),0),2))</f>
        <v>Mercedes-AMG C 63 Coupé S</v>
      </c>
      <c r="I37" s="11">
        <f>MAXIFS('Car Data'!$F$2:$F$403,'Car Data'!$C$2:$C$403,A37)</f>
        <v>529</v>
      </c>
      <c r="J37" s="11" t="str">
        <f t="array" ref="J37">CONCATENATE(INDEX('Car Data'!$A$2:$E$403,MATCH(1,('Car Data'!$F$2:$F$403=K37)*('Car Data'!$C$2:$C$403=A37),0),1)," ",INDEX('Car Data'!$A$2:$E$403,MATCH(1,('Car Data'!$F$2:$F$403=K37)*('Car Data'!$C$2:$C$403=A37),0),2))</f>
        <v>Toyota Corolla GTS (AE86) Turbo</v>
      </c>
      <c r="K37" s="11">
        <f>MINIFS('Car Data'!$F$2:$F$403,'Car Data'!$C$2:$C$403,A37)</f>
        <v>243</v>
      </c>
      <c r="L37" s="11">
        <f>ROUND(AVERAGEIFS('Car Data'!$F$2:$F$403,'Car Data'!$C$2:$C$403,A37),2)</f>
        <v>402.56</v>
      </c>
      <c r="M37" s="11">
        <f>IFERROR(__xludf.DUMMYFUNCTION("ROUND(STDEV(FILTER('Car Data'!$F$2:$F$403,'Car Data'!$C$2:$C$403=A37)),2)"),87.63)</f>
        <v>87.63</v>
      </c>
      <c r="N37" s="11" t="str">
        <f t="array" ref="N37">CONCATENATE(INDEX('Car Data'!$A$2:$E$403,MATCH(1,('Car Data'!$G$2:$G$403=O37)*('Car Data'!$C$2:$C$403=A37),0),1)," ",INDEX('Car Data'!$A$2:$E$403,MATCH(1,('Car Data'!$G$2:$G$403=O37)*('Car Data'!$C$2:$C$403=A37),0),2))</f>
        <v>Toyota Corolla GTS (AE86) Turbo</v>
      </c>
      <c r="O37" s="15">
        <f>MAXIFS('Car Data'!$G$2:$G$403,'Car Data'!$C$2:$C$403,A37)</f>
        <v>22.1</v>
      </c>
      <c r="P37" s="15" t="str">
        <f t="array" ref="P37">CONCATENATE(INDEX('Car Data'!$A$2:$E$403,MATCH(1,('Car Data'!$G$2:$G$403=Q37)*('Car Data'!$C$2:$C$403=A37),0),1)," ",INDEX('Car Data'!$A$2:$E$403,MATCH(1,('Car Data'!$G$2:$G$403=Q37)*('Car Data'!$C$2:$C$403=A37),0),2))</f>
        <v>Mitsubishi Lancer Evolution X FQ400</v>
      </c>
      <c r="Q37" s="11">
        <f>MINIFS('Car Data'!$G$2:$G$403,'Car Data'!$C$2:$C$403,A37)</f>
        <v>10.1</v>
      </c>
      <c r="R37" s="11">
        <f>ROUND(AVERAGEIFS('Car Data'!$G$2:$G$403,'Car Data'!$C$2:$C$403,A37),2)</f>
        <v>14.12</v>
      </c>
      <c r="S37" s="11">
        <f>IFERROR(__xludf.DUMMYFUNCTION("ROUND(STDEV(FILTER('Car Data'!$G$2:$G$403,'Car Data'!$C$2:$C$403=A37)),2)"),3.62)</f>
        <v>3.62</v>
      </c>
      <c r="T37" s="11" t="str">
        <f t="array" ref="T37">CONCATENATE(INDEX('Car Data'!$A$2:$E$403,MATCH(1,('Car Data'!$I$2:$I$403=U37)*('Car Data'!$C$2:$C$403=A37),0),1)," ",INDEX('Car Data'!$A$2:$E$403,MATCH(1,('Car Data'!$I$2:$I$403=U37)*('Car Data'!$C$2:$C$403=A37),0),2))</f>
        <v>Porsche 959 S</v>
      </c>
      <c r="U37" s="11">
        <f>MAXIFS('Car Data'!$I$2:$I$403,'Car Data'!$C$2:$C$403,A37)</f>
        <v>0.173</v>
      </c>
      <c r="V37" s="11" t="str">
        <f t="array" ref="V37">CONCATENATE(INDEX('Car Data'!$A$2:$E$403,MATCH(1,('Car Data'!$I$2:$I$403=W37)*('Car Data'!$C$2:$C$403=A37),0),1)," ",INDEX('Car Data'!$A$2:$E$403,MATCH(1,('Car Data'!$I$2:$I$403=W37)*('Car Data'!$C$2:$C$403=A37),0),2))</f>
        <v>BMW 1 Series M Coupé</v>
      </c>
      <c r="W37" s="11">
        <f>MINIFS('Car Data'!$I$2:$I$403,'Car Data'!$C$2:$C$403,A37)</f>
        <v>0.104</v>
      </c>
      <c r="X37" s="11">
        <f>ROUND(AVERAGEIFS('Car Data'!$I$2:$I$403,'Car Data'!$C$2:$C$403,A37),2)</f>
        <v>0.13</v>
      </c>
      <c r="Y37" s="11">
        <f>IFERROR(__xludf.DUMMYFUNCTION("ROUND(STDEV(FILTER('Car Data'!$I$2:$I$403,'Car Data'!$C$2:$C$403=A37)),2)"),0.02)</f>
        <v>0.02</v>
      </c>
    </row>
    <row r="38">
      <c r="A38" s="3" t="s">
        <v>580</v>
      </c>
      <c r="B38" s="8" t="str">
        <f t="array" ref="B38">CONCATENATE(INDEX('Car Data'!$A$2:$E$403,MATCH(1,('Car Data'!$D$2:$D$403=C38)*('Car Data'!$C$2:$C$403=A38),0),1)," ",INDEX('Car Data'!$A$2:$E$403,MATCH(1,('Car Data'!$D$2:$D$403=C38)*('Car Data'!$C$2:$C$403=A38),0),2))</f>
        <v>Toyota GT-86 48V feTT full electric Turbo Technology</v>
      </c>
      <c r="C38" s="8">
        <f>MAXIFS('Car Data'!$D$2:$D$403,'Car Data'!$C$2:$C$403,A38)</f>
        <v>169</v>
      </c>
      <c r="D38" s="8" t="str">
        <f t="array" ref="D38">CONCATENATE(INDEX('Car Data'!$A$2:$E$403,MATCH(1,('Car Data'!$D$2:$D$403=E38)*('Car Data'!$C$2:$C$403=A38),0),1)," ",INDEX('Car Data'!$A$2:$E$403,MATCH(1,('Car Data'!$D$2:$D$403=E38)*('Car Data'!$C$2:$C$403=A38),0),2))</f>
        <v>Mitsubishi Lancer Evolution VI T.M.E.</v>
      </c>
      <c r="E38" s="8">
        <f>MINIFS('Car Data'!$D$2:$D$403,'Car Data'!$C$2:$C$403,A38)</f>
        <v>140</v>
      </c>
      <c r="F38" s="8">
        <f>ROUND(AVERAGEIFS('Car Data'!$D$2:$D$403,'Car Data'!$C$2:$C$403,A38),2)</f>
        <v>158.38</v>
      </c>
      <c r="G38" s="8">
        <f>IFERROR(__xludf.DUMMYFUNCTION("ROUND(STDEV(FILTER('Car Data'!$D$2:$D$403,'Car Data'!$C$2:$C$403=A38)),2)"),10.13)</f>
        <v>10.13</v>
      </c>
      <c r="H38" s="8" t="str">
        <f t="array" ref="H38">CONCATENATE(INDEX('Car Data'!$A$2:$E$403,MATCH(1,('Car Data'!$F$2:$F$403=I38)*('Car Data'!$C$2:$C$403=A38),0),1)," ",INDEX('Car Data'!$A$2:$E$403,MATCH(1,('Car Data'!$F$2:$F$403=I38)*('Car Data'!$C$2:$C$403=A38),0),2))</f>
        <v>Honda Civic Type-R</v>
      </c>
      <c r="I38" s="8">
        <f>MAXIFS('Car Data'!$F$2:$F$403,'Car Data'!$C$2:$C$403,A38)</f>
        <v>311</v>
      </c>
      <c r="J38" s="8" t="str">
        <f t="array" ref="J38">CONCATENATE(INDEX('Car Data'!$A$2:$E$403,MATCH(1,('Car Data'!$F$2:$F$403=K38)*('Car Data'!$C$2:$C$403=A38),0),1)," ",INDEX('Car Data'!$A$2:$E$403,MATCH(1,('Car Data'!$F$2:$F$403=K38)*('Car Data'!$C$2:$C$403=A38),0),2))</f>
        <v>Fiat 500 Abarth Tuned</v>
      </c>
      <c r="K38" s="8">
        <f>MINIFS('Car Data'!$F$2:$F$403,'Car Data'!$C$2:$C$403,A38)</f>
        <v>225</v>
      </c>
      <c r="L38" s="8">
        <f>ROUND(AVERAGEIFS('Car Data'!$F$2:$F$403,'Car Data'!$C$2:$C$403,A38),2)</f>
        <v>267.25</v>
      </c>
      <c r="M38" s="8">
        <f>IFERROR(__xludf.DUMMYFUNCTION("ROUND(STDEV(FILTER('Car Data'!$F$2:$F$403,'Car Data'!$C$2:$C$403=A38)),2)"),29.04)</f>
        <v>29.04</v>
      </c>
      <c r="N38" s="8" t="str">
        <f t="array" ref="N38">CONCATENATE(INDEX('Car Data'!$A$2:$E$403,MATCH(1,('Car Data'!$G$2:$G$403=O38)*('Car Data'!$C$2:$C$403=A38),0),1)," ",INDEX('Car Data'!$A$2:$E$403,MATCH(1,('Car Data'!$G$2:$G$403=O38)*('Car Data'!$C$2:$C$403=A38),0),2))</f>
        <v>Lotus Cars Elise 111R Tuned</v>
      </c>
      <c r="O38" s="14">
        <f>MAXIFS('Car Data'!$G$2:$G$403,'Car Data'!$C$2:$C$403,A38)</f>
        <v>19.4</v>
      </c>
      <c r="P38" s="14" t="str">
        <f t="array" ref="P38">CONCATENATE(INDEX('Car Data'!$A$2:$E$403,MATCH(1,('Car Data'!$G$2:$G$403=Q38)*('Car Data'!$C$2:$C$403=A38),0),1)," ",INDEX('Car Data'!$A$2:$E$403,MATCH(1,('Car Data'!$G$2:$G$403=Q38)*('Car Data'!$C$2:$C$403=A38),0),2))</f>
        <v>Mitsubishi Lancer Evolution VI T.M.E.</v>
      </c>
      <c r="Q38" s="8">
        <f>MINIFS('Car Data'!$G$2:$G$403,'Car Data'!$C$2:$C$403,A38)</f>
        <v>9.7</v>
      </c>
      <c r="R38" s="8">
        <f>ROUND(AVERAGEIFS('Car Data'!$G$2:$G$403,'Car Data'!$C$2:$C$403,A38),2)</f>
        <v>15.16</v>
      </c>
      <c r="S38" s="8">
        <f>IFERROR(__xludf.DUMMYFUNCTION("ROUND(STDEV(FILTER('Car Data'!$G$2:$G$403,'Car Data'!$C$2:$C$403=A38)),2)"),3.06)</f>
        <v>3.06</v>
      </c>
      <c r="T38" s="8" t="str">
        <f t="array" ref="T38">CONCATENATE(INDEX('Car Data'!$A$2:$E$403,MATCH(1,('Car Data'!$I$2:$I$403=U38)*('Car Data'!$C$2:$C$403=A38),0),1)," ",INDEX('Car Data'!$A$2:$E$403,MATCH(1,('Car Data'!$I$2:$I$403=U38)*('Car Data'!$C$2:$C$403=A38),0),2))</f>
        <v>Lotus Cars Elise 111R Tuned</v>
      </c>
      <c r="U38" s="8">
        <f>MAXIFS('Car Data'!$I$2:$I$403,'Car Data'!$C$2:$C$403,A38)</f>
        <v>0.139</v>
      </c>
      <c r="V38" s="8" t="str">
        <f t="array" ref="V38">CONCATENATE(INDEX('Car Data'!$A$2:$E$403,MATCH(1,('Car Data'!$I$2:$I$403=W38)*('Car Data'!$C$2:$C$403=A38),0),1)," ",INDEX('Car Data'!$A$2:$E$403,MATCH(1,('Car Data'!$I$2:$I$403=W38)*('Car Data'!$C$2:$C$403=A38),0),2))</f>
        <v>Audi A1 quattro</v>
      </c>
      <c r="W38" s="8">
        <f>MINIFS('Car Data'!$I$2:$I$403,'Car Data'!$C$2:$C$403,A38)</f>
        <v>0.082</v>
      </c>
      <c r="X38" s="8">
        <f>ROUND(AVERAGEIFS('Car Data'!$I$2:$I$403,'Car Data'!$C$2:$C$403,A38),2)</f>
        <v>0.1</v>
      </c>
      <c r="Y38" s="8">
        <f>IFERROR(__xludf.DUMMYFUNCTION("ROUND(STDEV(FILTER('Car Data'!$I$2:$I$403,'Car Data'!$C$2:$C$403=A38)),2)"),0.02)</f>
        <v>0.02</v>
      </c>
    </row>
    <row r="39">
      <c r="A39" s="6" t="s">
        <v>612</v>
      </c>
      <c r="B39" s="11" t="str">
        <f t="array" ref="B39">CONCATENATE(INDEX('Car Data'!$A$2:$E$403,MATCH(1,('Car Data'!$D$2:$D$403=C39)*('Car Data'!$C$2:$C$403=A39),0),1)," ",INDEX('Car Data'!$A$2:$E$403,MATCH(1,('Car Data'!$D$2:$D$403=C39)*('Car Data'!$C$2:$C$403=A39),0),2))</f>
        <v>Mazda RX-7 Turbo (FC3S)</v>
      </c>
      <c r="C39" s="11">
        <f>MAXIFS('Car Data'!$D$2:$D$403,'Car Data'!$C$2:$C$403,A39)</f>
        <v>156</v>
      </c>
      <c r="D39" s="11" t="str">
        <f t="array" ref="D39">CONCATENATE(INDEX('Car Data'!$A$2:$E$403,MATCH(1,('Car Data'!$D$2:$D$403=E39)*('Car Data'!$C$2:$C$403=A39),0),1)," ",INDEX('Car Data'!$A$2:$E$403,MATCH(1,('Car Data'!$D$2:$D$403=E39)*('Car Data'!$C$2:$C$403=A39),0),2))</f>
        <v>Ford Escort RS1600</v>
      </c>
      <c r="E39" s="11">
        <f>MINIFS('Car Data'!$D$2:$D$403,'Car Data'!$C$2:$C$403,A39)</f>
        <v>131</v>
      </c>
      <c r="F39" s="11">
        <f>ROUND(AVERAGEIFS('Car Data'!$D$2:$D$403,'Car Data'!$C$2:$C$403,A39),2)</f>
        <v>142.71</v>
      </c>
      <c r="G39" s="11">
        <f>IFERROR(__xludf.DUMMYFUNCTION("ROUND(STDEV(FILTER('Car Data'!$D$2:$D$403,'Car Data'!$C$2:$C$403=A39)),2)"),9.07)</f>
        <v>9.07</v>
      </c>
      <c r="H39" s="11" t="str">
        <f t="array" ref="H39">CONCATENATE(INDEX('Car Data'!$A$2:$E$403,MATCH(1,('Car Data'!$F$2:$F$403=I39)*('Car Data'!$C$2:$C$403=A39),0),1)," ",INDEX('Car Data'!$A$2:$E$403,MATCH(1,('Car Data'!$F$2:$F$403=I39)*('Car Data'!$C$2:$C$403=A39),0),2))</f>
        <v>Ford F-150 RTR Ultimate Funhaver</v>
      </c>
      <c r="I39" s="11">
        <f>MAXIFS('Car Data'!$F$2:$F$403,'Car Data'!$C$2:$C$403,A39)</f>
        <v>437</v>
      </c>
      <c r="J39" s="11" t="str">
        <f t="array" ref="J39">CONCATENATE(INDEX('Car Data'!$A$2:$E$403,MATCH(1,('Car Data'!$F$2:$F$403=K39)*('Car Data'!$C$2:$C$403=A39),0),1)," ",INDEX('Car Data'!$A$2:$E$403,MATCH(1,('Car Data'!$F$2:$F$403=K39)*('Car Data'!$C$2:$C$403=A39),0),2))</f>
        <v>Ford Escort RS1600</v>
      </c>
      <c r="K39" s="11">
        <f>MINIFS('Car Data'!$F$2:$F$403,'Car Data'!$C$2:$C$403,A39)</f>
        <v>118</v>
      </c>
      <c r="L39" s="11">
        <f>ROUND(AVERAGEIFS('Car Data'!$F$2:$F$403,'Car Data'!$C$2:$C$403,A39),2)</f>
        <v>224</v>
      </c>
      <c r="M39" s="11">
        <f>IFERROR(__xludf.DUMMYFUNCTION("ROUND(STDEV(FILTER('Car Data'!$F$2:$F$403,'Car Data'!$C$2:$C$403=A39)),2)"),104.07)</f>
        <v>104.07</v>
      </c>
      <c r="N39" s="11" t="str">
        <f t="array" ref="N39">CONCATENATE(INDEX('Car Data'!$A$2:$E$403,MATCH(1,('Car Data'!$G$2:$G$403=O39)*('Car Data'!$C$2:$C$403=A39),0),1)," ",INDEX('Car Data'!$A$2:$E$403,MATCH(1,('Car Data'!$G$2:$G$403=O39)*('Car Data'!$C$2:$C$403=A39),0),2))</f>
        <v>Mazda RX-7 Turbo (FC3S)</v>
      </c>
      <c r="O39" s="15">
        <f>MAXIFS('Car Data'!$G$2:$G$403,'Car Data'!$C$2:$C$403,A39)</f>
        <v>20.9</v>
      </c>
      <c r="P39" s="15" t="str">
        <f t="array" ref="P39">CONCATENATE(INDEX('Car Data'!$A$2:$E$403,MATCH(1,('Car Data'!$G$2:$G$403=Q39)*('Car Data'!$C$2:$C$403=A39),0),1)," ",INDEX('Car Data'!$A$2:$E$403,MATCH(1,('Car Data'!$G$2:$G$403=Q39)*('Car Data'!$C$2:$C$403=A39),0),2))</f>
        <v>Ford F-150 RTR Ultimate Funhaver</v>
      </c>
      <c r="Q39" s="11">
        <f>MINIFS('Car Data'!$G$2:$G$403,'Car Data'!$C$2:$C$403,A39)</f>
        <v>6.1</v>
      </c>
      <c r="R39" s="11">
        <f>ROUND(AVERAGEIFS('Car Data'!$G$2:$G$403,'Car Data'!$C$2:$C$403,A39),2)</f>
        <v>14.77</v>
      </c>
      <c r="S39" s="11">
        <f>IFERROR(__xludf.DUMMYFUNCTION("ROUND(STDEV(FILTER('Car Data'!$G$2:$G$403,'Car Data'!$C$2:$C$403=A39)),2)"),4.72)</f>
        <v>4.72</v>
      </c>
      <c r="T39" s="11" t="str">
        <f t="array" ref="T39">CONCATENATE(INDEX('Car Data'!$A$2:$E$403,MATCH(1,('Car Data'!$I$2:$I$403=U39)*('Car Data'!$C$2:$C$403=A39),0),1)," ",INDEX('Car Data'!$A$2:$E$403,MATCH(1,('Car Data'!$I$2:$I$403=U39)*('Car Data'!$C$2:$C$403=A39),0),2))</f>
        <v>Ford F-150 RTR Ultimate Funhaver</v>
      </c>
      <c r="U39" s="11">
        <f>MAXIFS('Car Data'!$I$2:$I$403,'Car Data'!$C$2:$C$403,A39)</f>
        <v>0.094</v>
      </c>
      <c r="V39" s="11" t="str">
        <f t="array" ref="V39">CONCATENATE(INDEX('Car Data'!$A$2:$E$403,MATCH(1,('Car Data'!$I$2:$I$403=W39)*('Car Data'!$C$2:$C$403=A39),0),1)," ",INDEX('Car Data'!$A$2:$E$403,MATCH(1,('Car Data'!$I$2:$I$403=W39)*('Car Data'!$C$2:$C$403=A39),0),2))</f>
        <v>Mazda RX-7 Turbo (FC3S)</v>
      </c>
      <c r="W39" s="11">
        <f>MINIFS('Car Data'!$I$2:$I$403,'Car Data'!$C$2:$C$403,A39)</f>
        <v>0.066</v>
      </c>
      <c r="X39" s="11">
        <f>ROUND(AVERAGEIFS('Car Data'!$I$2:$I$403,'Car Data'!$C$2:$C$403,A39),2)</f>
        <v>0.08</v>
      </c>
      <c r="Y39" s="11">
        <f>IFERROR(__xludf.DUMMYFUNCTION("ROUND(STDEV(FILTER('Car Data'!$I$2:$I$403,'Car Data'!$C$2:$C$403=A39)),2)"),0.01)</f>
        <v>0.01</v>
      </c>
    </row>
    <row r="40">
      <c r="A40" s="3" t="s">
        <v>201</v>
      </c>
      <c r="B40" s="8" t="str">
        <f t="array" ref="B40">CONCATENATE(INDEX('Car Data'!$A$2:$E$403,MATCH(1,('Car Data'!$D$2:$D$403=C40)*('Car Data'!$C$2:$C$403=A40),0),1)," ",INDEX('Car Data'!$A$2:$E$403,MATCH(1,('Car Data'!$D$2:$D$403=C40)*('Car Data'!$C$2:$C$403=A40),0),2))</f>
        <v>Renault Sport R.S. 01</v>
      </c>
      <c r="C40" s="8">
        <f>MAXIFS('Car Data'!$D$2:$D$403,'Car Data'!$C$2:$C$403,A40)</f>
        <v>183</v>
      </c>
      <c r="D40" s="8" t="str">
        <f t="array" ref="D40">CONCATENATE(INDEX('Car Data'!$A$2:$E$403,MATCH(1,('Car Data'!$D$2:$D$403=E40)*('Car Data'!$C$2:$C$403=A40),0),1)," ",INDEX('Car Data'!$A$2:$E$403,MATCH(1,('Car Data'!$D$2:$D$403=E40)*('Car Data'!$C$2:$C$403=A40),0),2))</f>
        <v>Renault Sport R.S. 01</v>
      </c>
      <c r="E40" s="8">
        <f>MINIFS('Car Data'!$D$2:$D$403,'Car Data'!$C$2:$C$403,A40)</f>
        <v>183</v>
      </c>
      <c r="F40" s="8">
        <f>ROUND(AVERAGEIFS('Car Data'!$D$2:$D$403,'Car Data'!$C$2:$C$403,A40),2)</f>
        <v>183</v>
      </c>
      <c r="G40" s="8" t="str">
        <f>IFERROR(__xludf.DUMMYFUNCTION("ROUND(STDEV(FILTER('Car Data'!$D$2:$D$403,'Car Data'!$C$2:$C$403=A40)),2)"),"#DIV/0!")</f>
        <v>#DIV/0!</v>
      </c>
      <c r="H40" s="8" t="str">
        <f t="array" ref="H40">CONCATENATE(INDEX('Car Data'!$A$2:$E$403,MATCH(1,('Car Data'!$F$2:$F$403=I40)*('Car Data'!$C$2:$C$403=A40),0),1)," ",INDEX('Car Data'!$A$2:$E$403,MATCH(1,('Car Data'!$F$2:$F$403=I40)*('Car Data'!$C$2:$C$403=A40),0),2))</f>
        <v>Renault Sport R.S. 01</v>
      </c>
      <c r="I40" s="8">
        <f>MAXIFS('Car Data'!$F$2:$F$403,'Car Data'!$C$2:$C$403,A40)</f>
        <v>549</v>
      </c>
      <c r="J40" s="8" t="str">
        <f t="array" ref="J40">CONCATENATE(INDEX('Car Data'!$A$2:$E$403,MATCH(1,('Car Data'!$F$2:$F$403=K40)*('Car Data'!$C$2:$C$403=A40),0),1)," ",INDEX('Car Data'!$A$2:$E$403,MATCH(1,('Car Data'!$F$2:$F$403=K40)*('Car Data'!$C$2:$C$403=A40),0),2))</f>
        <v>Renault Sport R.S. 01</v>
      </c>
      <c r="K40" s="8">
        <f>MINIFS('Car Data'!$F$2:$F$403,'Car Data'!$C$2:$C$403,A40)</f>
        <v>549</v>
      </c>
      <c r="L40" s="8">
        <f>ROUND(AVERAGEIFS('Car Data'!$F$2:$F$403,'Car Data'!$C$2:$C$403,A40),2)</f>
        <v>549</v>
      </c>
      <c r="M40" s="8" t="str">
        <f>IFERROR(__xludf.DUMMYFUNCTION("ROUND(STDEV(FILTER('Car Data'!$F$2:$F$403,'Car Data'!$C$2:$C$403=A40)),2)"),"#DIV/0!")</f>
        <v>#DIV/0!</v>
      </c>
      <c r="N40" s="8" t="str">
        <f t="array" ref="N40">CONCATENATE(INDEX('Car Data'!$A$2:$E$403,MATCH(1,('Car Data'!$G$2:$G$403=O40)*('Car Data'!$C$2:$C$403=A40),0),1)," ",INDEX('Car Data'!$A$2:$E$403,MATCH(1,('Car Data'!$G$2:$G$403=O40)*('Car Data'!$C$2:$C$403=A40),0),2))</f>
        <v>Renault Sport R.S. 01</v>
      </c>
      <c r="O40" s="14">
        <f>MAXIFS('Car Data'!$G$2:$G$403,'Car Data'!$C$2:$C$403,A40)</f>
        <v>11.2</v>
      </c>
      <c r="P40" s="14" t="str">
        <f t="array" ref="P40">CONCATENATE(INDEX('Car Data'!$A$2:$E$403,MATCH(1,('Car Data'!$G$2:$G$403=Q40)*('Car Data'!$C$2:$C$403=A40),0),1)," ",INDEX('Car Data'!$A$2:$E$403,MATCH(1,('Car Data'!$G$2:$G$403=Q40)*('Car Data'!$C$2:$C$403=A40),0),2))</f>
        <v>Renault Sport R.S. 01</v>
      </c>
      <c r="Q40" s="8">
        <f>MINIFS('Car Data'!$G$2:$G$403,'Car Data'!$C$2:$C$403,A40)</f>
        <v>11.2</v>
      </c>
      <c r="R40" s="8">
        <f>ROUND(AVERAGEIFS('Car Data'!$G$2:$G$403,'Car Data'!$C$2:$C$403,A40),2)</f>
        <v>11.2</v>
      </c>
      <c r="S40" s="8" t="str">
        <f>IFERROR(__xludf.DUMMYFUNCTION("ROUND(STDEV(FILTER('Car Data'!$G$2:$G$403,'Car Data'!$C$2:$C$403=A40)),2)"),"#DIV/0!")</f>
        <v>#DIV/0!</v>
      </c>
      <c r="T40" s="8" t="str">
        <f t="array" ref="T40">CONCATENATE(INDEX('Car Data'!$A$2:$E$403,MATCH(1,('Car Data'!$I$2:$I$403=U40)*('Car Data'!$C$2:$C$403=A40),0),1)," ",INDEX('Car Data'!$A$2:$E$403,MATCH(1,('Car Data'!$I$2:$I$403=U40)*('Car Data'!$C$2:$C$403=A40),0),2))</f>
        <v>Renault Sport R.S. 01</v>
      </c>
      <c r="U40" s="8">
        <f>MAXIFS('Car Data'!$I$2:$I$403,'Car Data'!$C$2:$C$403,A40)</f>
        <v>0.218</v>
      </c>
      <c r="V40" s="8" t="str">
        <f t="array" ref="V40">CONCATENATE(INDEX('Car Data'!$A$2:$E$403,MATCH(1,('Car Data'!$I$2:$I$403=W40)*('Car Data'!$C$2:$C$403=A40),0),1)," ",INDEX('Car Data'!$A$2:$E$403,MATCH(1,('Car Data'!$I$2:$I$403=W40)*('Car Data'!$C$2:$C$403=A40),0),2))</f>
        <v>Renault Sport R.S. 01</v>
      </c>
      <c r="W40" s="8">
        <f>MINIFS('Car Data'!$I$2:$I$403,'Car Data'!$C$2:$C$403,A40)</f>
        <v>0.218</v>
      </c>
      <c r="X40" s="8">
        <f>ROUND(AVERAGEIFS('Car Data'!$I$2:$I$403,'Car Data'!$C$2:$C$403,A40),2)</f>
        <v>0.22</v>
      </c>
      <c r="Y40" s="8" t="str">
        <f>IFERROR(__xludf.DUMMYFUNCTION("ROUND(STDEV(FILTER('Car Data'!$I$2:$I$403,'Car Data'!$C$2:$C$403=A40)),2)"),"#DIV/0!")</f>
        <v>#DIV/0!</v>
      </c>
    </row>
    <row r="41">
      <c r="A41" s="6" t="s">
        <v>591</v>
      </c>
      <c r="B41" s="11" t="str">
        <f t="array" ref="B41">CONCATENATE(INDEX('Car Data'!$A$2:$E$403,MATCH(1,('Car Data'!$D$2:$D$403=C41)*('Car Data'!$C$2:$C$403=A41),0),1)," ",INDEX('Car Data'!$A$2:$E$403,MATCH(1,('Car Data'!$D$2:$D$403=C41)*('Car Data'!$C$2:$C$403=A41),0),2))</f>
        <v>Olsbergs MSE RX Supercar Lite</v>
      </c>
      <c r="C41" s="11">
        <f>MAXIFS('Car Data'!$D$2:$D$403,'Car Data'!$C$2:$C$403,A41)</f>
        <v>143</v>
      </c>
      <c r="D41" s="11" t="str">
        <f t="array" ref="D41">CONCATENATE(INDEX('Car Data'!$A$2:$E$403,MATCH(1,('Car Data'!$D$2:$D$403=E41)*('Car Data'!$C$2:$C$403=A41),0),1)," ",INDEX('Car Data'!$A$2:$E$403,MATCH(1,('Car Data'!$D$2:$D$403=E41)*('Car Data'!$C$2:$C$403=A41),0),2))</f>
        <v>Olsbergs MSE RX Supercar Lite</v>
      </c>
      <c r="E41" s="11">
        <f>MINIFS('Car Data'!$D$2:$D$403,'Car Data'!$C$2:$C$403,A41)</f>
        <v>143</v>
      </c>
      <c r="F41" s="11">
        <f>ROUND(AVERAGEIFS('Car Data'!$D$2:$D$403,'Car Data'!$C$2:$C$403,A41),2)</f>
        <v>143</v>
      </c>
      <c r="G41" s="11" t="str">
        <f>IFERROR(__xludf.DUMMYFUNCTION("ROUND(STDEV(FILTER('Car Data'!$D$2:$D$403,'Car Data'!$C$2:$C$403=A41)),2)"),"#DIV/0!")</f>
        <v>#DIV/0!</v>
      </c>
      <c r="H41" s="11" t="str">
        <f t="array" ref="H41">CONCATENATE(INDEX('Car Data'!$A$2:$E$403,MATCH(1,('Car Data'!$F$2:$F$403=I41)*('Car Data'!$C$2:$C$403=A41),0),1)," ",INDEX('Car Data'!$A$2:$E$403,MATCH(1,('Car Data'!$F$2:$F$403=I41)*('Car Data'!$C$2:$C$403=A41),0),2))</f>
        <v>Olsbergs MSE RX Supercar Lite</v>
      </c>
      <c r="I41" s="11">
        <f>MAXIFS('Car Data'!$F$2:$F$403,'Car Data'!$C$2:$C$403,A41)</f>
        <v>315</v>
      </c>
      <c r="J41" s="11" t="str">
        <f t="array" ref="J41">CONCATENATE(INDEX('Car Data'!$A$2:$E$403,MATCH(1,('Car Data'!$F$2:$F$403=K41)*('Car Data'!$C$2:$C$403=A41),0),1)," ",INDEX('Car Data'!$A$2:$E$403,MATCH(1,('Car Data'!$F$2:$F$403=K41)*('Car Data'!$C$2:$C$403=A41),0),2))</f>
        <v>Olsbergs MSE RX Supercar Lite</v>
      </c>
      <c r="K41" s="11">
        <f>MINIFS('Car Data'!$F$2:$F$403,'Car Data'!$C$2:$C$403,A41)</f>
        <v>315</v>
      </c>
      <c r="L41" s="11">
        <f>ROUND(AVERAGEIFS('Car Data'!$F$2:$F$403,'Car Data'!$C$2:$C$403,A41),2)</f>
        <v>315</v>
      </c>
      <c r="M41" s="11" t="str">
        <f>IFERROR(__xludf.DUMMYFUNCTION("ROUND(STDEV(FILTER('Car Data'!$F$2:$F$403,'Car Data'!$C$2:$C$403=A41)),2)"),"#DIV/0!")</f>
        <v>#DIV/0!</v>
      </c>
      <c r="N41" s="11" t="str">
        <f t="array" ref="N41">CONCATENATE(INDEX('Car Data'!$A$2:$E$403,MATCH(1,('Car Data'!$G$2:$G$403=O41)*('Car Data'!$C$2:$C$403=A41),0),1)," ",INDEX('Car Data'!$A$2:$E$403,MATCH(1,('Car Data'!$G$2:$G$403=O41)*('Car Data'!$C$2:$C$403=A41),0),2))</f>
        <v>Olsbergs MSE RX Supercar Lite</v>
      </c>
      <c r="O41" s="15">
        <f>MAXIFS('Car Data'!$G$2:$G$403,'Car Data'!$C$2:$C$403,A41)</f>
        <v>9.3</v>
      </c>
      <c r="P41" s="15" t="str">
        <f t="array" ref="P41">CONCATENATE(INDEX('Car Data'!$A$2:$E$403,MATCH(1,('Car Data'!$G$2:$G$403=Q41)*('Car Data'!$C$2:$C$403=A41),0),1)," ",INDEX('Car Data'!$A$2:$E$403,MATCH(1,('Car Data'!$G$2:$G$403=Q41)*('Car Data'!$C$2:$C$403=A41),0),2))</f>
        <v>Olsbergs MSE RX Supercar Lite</v>
      </c>
      <c r="Q41" s="11">
        <f>MINIFS('Car Data'!$G$2:$G$403,'Car Data'!$C$2:$C$403,A41)</f>
        <v>9.3</v>
      </c>
      <c r="R41" s="11">
        <f>ROUND(AVERAGEIFS('Car Data'!$G$2:$G$403,'Car Data'!$C$2:$C$403,A41),2)</f>
        <v>9.3</v>
      </c>
      <c r="S41" s="11" t="str">
        <f>IFERROR(__xludf.DUMMYFUNCTION("ROUND(STDEV(FILTER('Car Data'!$G$2:$G$403,'Car Data'!$C$2:$C$403=A41)),2)"),"#DIV/0!")</f>
        <v>#DIV/0!</v>
      </c>
      <c r="T41" s="11" t="str">
        <f t="array" ref="T41">CONCATENATE(INDEX('Car Data'!$A$2:$E$403,MATCH(1,('Car Data'!$I$2:$I$403=U41)*('Car Data'!$C$2:$C$403=A41),0),1)," ",INDEX('Car Data'!$A$2:$E$403,MATCH(1,('Car Data'!$I$2:$I$403=U41)*('Car Data'!$C$2:$C$403=A41),0),2))</f>
        <v>Olsbergs MSE RX Supercar Lite</v>
      </c>
      <c r="U41" s="11">
        <f>MAXIFS('Car Data'!$I$2:$I$403,'Car Data'!$C$2:$C$403,A41)</f>
        <v>0.118</v>
      </c>
      <c r="V41" s="11" t="str">
        <f t="array" ref="V41">CONCATENATE(INDEX('Car Data'!$A$2:$E$403,MATCH(1,('Car Data'!$I$2:$I$403=W41)*('Car Data'!$C$2:$C$403=A41),0),1)," ",INDEX('Car Data'!$A$2:$E$403,MATCH(1,('Car Data'!$I$2:$I$403=W41)*('Car Data'!$C$2:$C$403=A41),0),2))</f>
        <v>Olsbergs MSE RX Supercar Lite</v>
      </c>
      <c r="W41" s="11">
        <f>MINIFS('Car Data'!$I$2:$I$403,'Car Data'!$C$2:$C$403,A41)</f>
        <v>0.118</v>
      </c>
      <c r="X41" s="11">
        <f>ROUND(AVERAGEIFS('Car Data'!$I$2:$I$403,'Car Data'!$C$2:$C$403,A41),2)</f>
        <v>0.12</v>
      </c>
      <c r="Y41" s="11" t="str">
        <f>IFERROR(__xludf.DUMMYFUNCTION("ROUND(STDEV(FILTER('Car Data'!$I$2:$I$403,'Car Data'!$C$2:$C$403=A41)),2)"),"#DIV/0!")</f>
        <v>#DIV/0!</v>
      </c>
    </row>
    <row r="42">
      <c r="A42" s="3" t="s">
        <v>370</v>
      </c>
      <c r="B42" s="8" t="str">
        <f t="array" ref="B42">CONCATENATE(INDEX('Car Data'!$A$2:$E$403,MATCH(1,('Car Data'!$D$2:$D$403=C42)*('Car Data'!$C$2:$C$403=A42),0),1)," ",INDEX('Car Data'!$A$2:$E$403,MATCH(1,('Car Data'!$D$2:$D$403=C42)*('Car Data'!$C$2:$C$403=A42),0),2))</f>
        <v>Lamborghini Huracán LP620-2 Super Trofeo</v>
      </c>
      <c r="C42" s="8">
        <f>MAXIFS('Car Data'!$D$2:$D$403,'Car Data'!$C$2:$C$403,A42)</f>
        <v>181</v>
      </c>
      <c r="D42" s="8" t="str">
        <f t="array" ref="D42">CONCATENATE(INDEX('Car Data'!$A$2:$E$403,MATCH(1,('Car Data'!$D$2:$D$403=E42)*('Car Data'!$C$2:$C$403=A42),0),1)," ",INDEX('Car Data'!$A$2:$E$403,MATCH(1,('Car Data'!$D$2:$D$403=E42)*('Car Data'!$C$2:$C$403=A42),0),2))</f>
        <v>Lamborghini Huracán LP620-2 Super Trofeo</v>
      </c>
      <c r="E42" s="8">
        <f>MINIFS('Car Data'!$D$2:$D$403,'Car Data'!$C$2:$C$403,A42)</f>
        <v>181</v>
      </c>
      <c r="F42" s="8">
        <f>ROUND(AVERAGEIFS('Car Data'!$D$2:$D$403,'Car Data'!$C$2:$C$403,A42),2)</f>
        <v>181</v>
      </c>
      <c r="G42" s="8" t="str">
        <f>IFERROR(__xludf.DUMMYFUNCTION("ROUND(STDEV(FILTER('Car Data'!$D$2:$D$403,'Car Data'!$C$2:$C$403=A42)),2)"),"#DIV/0!")</f>
        <v>#DIV/0!</v>
      </c>
      <c r="H42" s="8" t="str">
        <f t="array" ref="H42">CONCATENATE(INDEX('Car Data'!$A$2:$E$403,MATCH(1,('Car Data'!$F$2:$F$403=I42)*('Car Data'!$C$2:$C$403=A42),0),1)," ",INDEX('Car Data'!$A$2:$E$403,MATCH(1,('Car Data'!$F$2:$F$403=I42)*('Car Data'!$C$2:$C$403=A42),0),2))</f>
        <v>Lamborghini Huracán LP620-2 Super Trofeo</v>
      </c>
      <c r="I42" s="8">
        <f>MAXIFS('Car Data'!$F$2:$F$403,'Car Data'!$C$2:$C$403,A42)</f>
        <v>615</v>
      </c>
      <c r="J42" s="8" t="str">
        <f t="array" ref="J42">CONCATENATE(INDEX('Car Data'!$A$2:$E$403,MATCH(1,('Car Data'!$F$2:$F$403=K42)*('Car Data'!$C$2:$C$403=A42),0),1)," ",INDEX('Car Data'!$A$2:$E$403,MATCH(1,('Car Data'!$F$2:$F$403=K42)*('Car Data'!$C$2:$C$403=A42),0),2))</f>
        <v>Lamborghini Huracán LP620-2 Super Trofeo</v>
      </c>
      <c r="K42" s="8">
        <f>MINIFS('Car Data'!$F$2:$F$403,'Car Data'!$C$2:$C$403,A42)</f>
        <v>615</v>
      </c>
      <c r="L42" s="8">
        <f>ROUND(AVERAGEIFS('Car Data'!$F$2:$F$403,'Car Data'!$C$2:$C$403,A42),2)</f>
        <v>615</v>
      </c>
      <c r="M42" s="8" t="str">
        <f>IFERROR(__xludf.DUMMYFUNCTION("ROUND(STDEV(FILTER('Car Data'!$F$2:$F$403,'Car Data'!$C$2:$C$403=A42)),2)"),"#DIV/0!")</f>
        <v>#DIV/0!</v>
      </c>
      <c r="N42" s="8" t="str">
        <f t="array" ref="N42">CONCATENATE(INDEX('Car Data'!$A$2:$E$403,MATCH(1,('Car Data'!$G$2:$G$403=O42)*('Car Data'!$C$2:$C$403=A42),0),1)," ",INDEX('Car Data'!$A$2:$E$403,MATCH(1,('Car Data'!$G$2:$G$403=O42)*('Car Data'!$C$2:$C$403=A42),0),2))</f>
        <v>Lamborghini Huracán LP620-2 Super Trofeo</v>
      </c>
      <c r="O42" s="14">
        <f>MAXIFS('Car Data'!$G$2:$G$403,'Car Data'!$C$2:$C$403,A42)</f>
        <v>9.6</v>
      </c>
      <c r="P42" s="14" t="str">
        <f t="array" ref="P42">CONCATENATE(INDEX('Car Data'!$A$2:$E$403,MATCH(1,('Car Data'!$G$2:$G$403=Q42)*('Car Data'!$C$2:$C$403=A42),0),1)," ",INDEX('Car Data'!$A$2:$E$403,MATCH(1,('Car Data'!$G$2:$G$403=Q42)*('Car Data'!$C$2:$C$403=A42),0),2))</f>
        <v>Lamborghini Huracán LP620-2 Super Trofeo</v>
      </c>
      <c r="Q42" s="8">
        <f>MINIFS('Car Data'!$G$2:$G$403,'Car Data'!$C$2:$C$403,A42)</f>
        <v>9.6</v>
      </c>
      <c r="R42" s="8">
        <f>ROUND(AVERAGEIFS('Car Data'!$G$2:$G$403,'Car Data'!$C$2:$C$403,A42),2)</f>
        <v>9.6</v>
      </c>
      <c r="S42" s="8" t="str">
        <f>IFERROR(__xludf.DUMMYFUNCTION("ROUND(STDEV(FILTER('Car Data'!$G$2:$G$403,'Car Data'!$C$2:$C$403=A42)),2)"),"#DIV/0!")</f>
        <v>#DIV/0!</v>
      </c>
      <c r="T42" s="8" t="str">
        <f t="array" ref="T42">CONCATENATE(INDEX('Car Data'!$A$2:$E$403,MATCH(1,('Car Data'!$I$2:$I$403=U42)*('Car Data'!$C$2:$C$403=A42),0),1)," ",INDEX('Car Data'!$A$2:$E$403,MATCH(1,('Car Data'!$I$2:$I$403=U42)*('Car Data'!$C$2:$C$403=A42),0),2))</f>
        <v>Lamborghini Huracán LP620-2 Super Trofeo</v>
      </c>
      <c r="U42" s="8">
        <f>MAXIFS('Car Data'!$I$2:$I$403,'Car Data'!$C$2:$C$403,A42)</f>
        <v>0.22</v>
      </c>
      <c r="V42" s="8" t="str">
        <f t="array" ref="V42">CONCATENATE(INDEX('Car Data'!$A$2:$E$403,MATCH(1,('Car Data'!$I$2:$I$403=W42)*('Car Data'!$C$2:$C$403=A42),0),1)," ",INDEX('Car Data'!$A$2:$E$403,MATCH(1,('Car Data'!$I$2:$I$403=W42)*('Car Data'!$C$2:$C$403=A42),0),2))</f>
        <v>Lamborghini Huracán LP620-2 Super Trofeo</v>
      </c>
      <c r="W42" s="8">
        <f>MINIFS('Car Data'!$I$2:$I$403,'Car Data'!$C$2:$C$403,A42)</f>
        <v>0.22</v>
      </c>
      <c r="X42" s="8">
        <f>ROUND(AVERAGEIFS('Car Data'!$I$2:$I$403,'Car Data'!$C$2:$C$403,A42),2)</f>
        <v>0.22</v>
      </c>
      <c r="Y42" s="8" t="str">
        <f>IFERROR(__xludf.DUMMYFUNCTION("ROUND(STDEV(FILTER('Car Data'!$I$2:$I$403,'Car Data'!$C$2:$C$403=A42)),2)"),"#DIV/0!")</f>
        <v>#DIV/0!</v>
      </c>
    </row>
    <row r="43">
      <c r="A43" s="6" t="s">
        <v>485</v>
      </c>
      <c r="B43" s="11" t="str">
        <f t="array" ref="B43">CONCATENATE(INDEX('Car Data'!$A$2:$E$403,MATCH(1,('Car Data'!$D$2:$D$403=C43)*('Car Data'!$C$2:$C$403=A43),0),1)," ",INDEX('Car Data'!$A$2:$E$403,MATCH(1,('Car Data'!$D$2:$D$403=C43)*('Car Data'!$C$2:$C$403=A43),0),2))</f>
        <v>Renault Mégane R.S. SMS-R Touring</v>
      </c>
      <c r="C43" s="11">
        <f>MAXIFS('Car Data'!$D$2:$D$403,'Car Data'!$C$2:$C$403,A43)</f>
        <v>165</v>
      </c>
      <c r="D43" s="11" t="str">
        <f t="array" ref="D43">CONCATENATE(INDEX('Car Data'!$A$2:$E$403,MATCH(1,('Car Data'!$D$2:$D$403=E43)*('Car Data'!$C$2:$C$403=A43),0),1)," ",INDEX('Car Data'!$A$2:$E$403,MATCH(1,('Car Data'!$D$2:$D$403=E43)*('Car Data'!$C$2:$C$403=A43),0),2))</f>
        <v>Opel Astra TCR</v>
      </c>
      <c r="E43" s="11">
        <f>MINIFS('Car Data'!$D$2:$D$403,'Car Data'!$C$2:$C$403,A43)</f>
        <v>161</v>
      </c>
      <c r="F43" s="11">
        <f>ROUND(AVERAGEIFS('Car Data'!$D$2:$D$403,'Car Data'!$C$2:$C$403,A43),2)</f>
        <v>163</v>
      </c>
      <c r="G43" s="11">
        <f>IFERROR(__xludf.DUMMYFUNCTION("ROUND(STDEV(FILTER('Car Data'!$D$2:$D$403,'Car Data'!$C$2:$C$403=A43)),2)"),1.83)</f>
        <v>1.83</v>
      </c>
      <c r="H43" s="11" t="str">
        <f t="array" ref="H43">CONCATENATE(INDEX('Car Data'!$A$2:$E$403,MATCH(1,('Car Data'!$F$2:$F$403=I43)*('Car Data'!$C$2:$C$403=A43),0),1)," ",INDEX('Car Data'!$A$2:$E$403,MATCH(1,('Car Data'!$F$2:$F$403=I43)*('Car Data'!$C$2:$C$403=A43),0),2))</f>
        <v>Renault Mégane R.S. SMS-R Touring</v>
      </c>
      <c r="I43" s="11">
        <f>MAXIFS('Car Data'!$F$2:$F$403,'Car Data'!$C$2:$C$403,A43)</f>
        <v>330</v>
      </c>
      <c r="J43" s="11" t="str">
        <f t="array" ref="J43">CONCATENATE(INDEX('Car Data'!$A$2:$E$403,MATCH(1,('Car Data'!$F$2:$F$403=K43)*('Car Data'!$C$2:$C$403=A43),0),1)," ",INDEX('Car Data'!$A$2:$E$403,MATCH(1,('Car Data'!$F$2:$F$403=K43)*('Car Data'!$C$2:$C$403=A43),0),2))</f>
        <v>BMW 320 TC (E90)</v>
      </c>
      <c r="K43" s="11">
        <f>MINIFS('Car Data'!$F$2:$F$403,'Car Data'!$C$2:$C$403,A43)</f>
        <v>316</v>
      </c>
      <c r="L43" s="11">
        <f>ROUND(AVERAGEIFS('Car Data'!$F$2:$F$403,'Car Data'!$C$2:$C$403,A43),2)</f>
        <v>326</v>
      </c>
      <c r="M43" s="11">
        <f>IFERROR(__xludf.DUMMYFUNCTION("ROUND(STDEV(FILTER('Car Data'!$F$2:$F$403,'Car Data'!$C$2:$C$403=A43)),2)"),6.73)</f>
        <v>6.73</v>
      </c>
      <c r="N43" s="11" t="str">
        <f t="array" ref="N43">CONCATENATE(INDEX('Car Data'!$A$2:$E$403,MATCH(1,('Car Data'!$G$2:$G$403=O43)*('Car Data'!$C$2:$C$403=A43),0),1)," ",INDEX('Car Data'!$A$2:$E$403,MATCH(1,('Car Data'!$G$2:$G$403=O43)*('Car Data'!$C$2:$C$403=A43),0),2))</f>
        <v>Renault Mégane R.S. SMS-R Touring</v>
      </c>
      <c r="O43" s="15">
        <f>MAXIFS('Car Data'!$G$2:$G$403,'Car Data'!$C$2:$C$403,A43)</f>
        <v>13.6</v>
      </c>
      <c r="P43" s="15" t="str">
        <f t="array" ref="P43">CONCATENATE(INDEX('Car Data'!$A$2:$E$403,MATCH(1,('Car Data'!$G$2:$G$403=Q43)*('Car Data'!$C$2:$C$403=A43),0),1)," ",INDEX('Car Data'!$A$2:$E$403,MATCH(1,('Car Data'!$G$2:$G$403=Q43)*('Car Data'!$C$2:$C$403=A43),0),2))</f>
        <v>Opel Astra TCR</v>
      </c>
      <c r="Q43" s="11">
        <f>MINIFS('Car Data'!$G$2:$G$403,'Car Data'!$C$2:$C$403,A43)</f>
        <v>12.7</v>
      </c>
      <c r="R43" s="11">
        <f>ROUND(AVERAGEIFS('Car Data'!$G$2:$G$403,'Car Data'!$C$2:$C$403,A43),2)</f>
        <v>13.3</v>
      </c>
      <c r="S43" s="11">
        <f>IFERROR(__xludf.DUMMYFUNCTION("ROUND(STDEV(FILTER('Car Data'!$G$2:$G$403,'Car Data'!$C$2:$C$403=A43)),2)"),0.41)</f>
        <v>0.41</v>
      </c>
      <c r="T43" s="11" t="str">
        <f t="array" ref="T43">CONCATENATE(INDEX('Car Data'!$A$2:$E$403,MATCH(1,('Car Data'!$I$2:$I$403=U43)*('Car Data'!$C$2:$C$403=A43),0),1)," ",INDEX('Car Data'!$A$2:$E$403,MATCH(1,('Car Data'!$I$2:$I$403=U43)*('Car Data'!$C$2:$C$403=A43),0),2))</f>
        <v>BMW 320 TC (E90)</v>
      </c>
      <c r="U43" s="11">
        <f>MAXIFS('Car Data'!$I$2:$I$403,'Car Data'!$C$2:$C$403,A43)</f>
        <v>0.125</v>
      </c>
      <c r="V43" s="11" t="str">
        <f t="array" ref="V43">CONCATENATE(INDEX('Car Data'!$A$2:$E$403,MATCH(1,('Car Data'!$I$2:$I$403=W43)*('Car Data'!$C$2:$C$403=A43),0),1)," ",INDEX('Car Data'!$A$2:$E$403,MATCH(1,('Car Data'!$I$2:$I$403=W43)*('Car Data'!$C$2:$C$403=A43),0),2))</f>
        <v>Opel Astra TCR</v>
      </c>
      <c r="W43" s="11">
        <f>MINIFS('Car Data'!$I$2:$I$403,'Car Data'!$C$2:$C$403,A43)</f>
        <v>0.116</v>
      </c>
      <c r="X43" s="11">
        <f>ROUND(AVERAGEIFS('Car Data'!$I$2:$I$403,'Car Data'!$C$2:$C$403,A43),2)</f>
        <v>0.12</v>
      </c>
      <c r="Y43" s="11">
        <f>IFERROR(__xludf.DUMMYFUNCTION("ROUND(STDEV(FILTER('Car Data'!$I$2:$I$403,'Car Data'!$C$2:$C$403=A43)),2)"),0.0)</f>
        <v>0</v>
      </c>
    </row>
    <row r="44">
      <c r="A44" s="3" t="s">
        <v>599</v>
      </c>
      <c r="B44" s="8" t="str">
        <f t="array" ref="B44">CONCATENATE(INDEX('Car Data'!$A$2:$E$403,MATCH(1,('Car Data'!$D$2:$D$403=C44)*('Car Data'!$C$2:$C$403=A44),0),1)," ",INDEX('Car Data'!$A$2:$E$403,MATCH(1,('Car Data'!$D$2:$D$403=C44)*('Car Data'!$C$2:$C$403=A44),0),2))</f>
        <v>Renault Clio Cup</v>
      </c>
      <c r="C44" s="8">
        <f>MAXIFS('Car Data'!$D$2:$D$403,'Car Data'!$C$2:$C$403,A44)</f>
        <v>140</v>
      </c>
      <c r="D44" s="8" t="str">
        <f t="array" ref="D44">CONCATENATE(INDEX('Car Data'!$A$2:$E$403,MATCH(1,('Car Data'!$D$2:$D$403=E44)*('Car Data'!$C$2:$C$403=A44),0),1)," ",INDEX('Car Data'!$A$2:$E$403,MATCH(1,('Car Data'!$D$2:$D$403=E44)*('Car Data'!$C$2:$C$403=A44),0),2))</f>
        <v>Renault Clio Cup</v>
      </c>
      <c r="E44" s="8">
        <f>MINIFS('Car Data'!$D$2:$D$403,'Car Data'!$C$2:$C$403,A44)</f>
        <v>140</v>
      </c>
      <c r="F44" s="8">
        <f>ROUND(AVERAGEIFS('Car Data'!$D$2:$D$403,'Car Data'!$C$2:$C$403,A44),2)</f>
        <v>140</v>
      </c>
      <c r="G44" s="8" t="str">
        <f>IFERROR(__xludf.DUMMYFUNCTION("ROUND(STDEV(FILTER('Car Data'!$D$2:$D$403,'Car Data'!$C$2:$C$403=A44)),2)"),"#DIV/0!")</f>
        <v>#DIV/0!</v>
      </c>
      <c r="H44" s="8" t="str">
        <f t="array" ref="H44">CONCATENATE(INDEX('Car Data'!$A$2:$E$403,MATCH(1,('Car Data'!$F$2:$F$403=I44)*('Car Data'!$C$2:$C$403=A44),0),1)," ",INDEX('Car Data'!$A$2:$E$403,MATCH(1,('Car Data'!$F$2:$F$403=I44)*('Car Data'!$C$2:$C$403=A44),0),2))</f>
        <v>Renault Clio Cup</v>
      </c>
      <c r="I44" s="8">
        <f>MAXIFS('Car Data'!$F$2:$F$403,'Car Data'!$C$2:$C$403,A44)</f>
        <v>221</v>
      </c>
      <c r="J44" s="8" t="str">
        <f t="array" ref="J44">CONCATENATE(INDEX('Car Data'!$A$2:$E$403,MATCH(1,('Car Data'!$F$2:$F$403=K44)*('Car Data'!$C$2:$C$403=A44),0),1)," ",INDEX('Car Data'!$A$2:$E$403,MATCH(1,('Car Data'!$F$2:$F$403=K44)*('Car Data'!$C$2:$C$403=A44),0),2))</f>
        <v>Renault Clio Cup</v>
      </c>
      <c r="K44" s="8">
        <f>MINIFS('Car Data'!$F$2:$F$403,'Car Data'!$C$2:$C$403,A44)</f>
        <v>221</v>
      </c>
      <c r="L44" s="8">
        <f>ROUND(AVERAGEIFS('Car Data'!$F$2:$F$403,'Car Data'!$C$2:$C$403,A44),2)</f>
        <v>221</v>
      </c>
      <c r="M44" s="8" t="str">
        <f>IFERROR(__xludf.DUMMYFUNCTION("ROUND(STDEV(FILTER('Car Data'!$F$2:$F$403,'Car Data'!$C$2:$C$403=A44)),2)"),"#DIV/0!")</f>
        <v>#DIV/0!</v>
      </c>
      <c r="N44" s="8" t="str">
        <f t="array" ref="N44">CONCATENATE(INDEX('Car Data'!$A$2:$E$403,MATCH(1,('Car Data'!$G$2:$G$403=O44)*('Car Data'!$C$2:$C$403=A44),0),1)," ",INDEX('Car Data'!$A$2:$E$403,MATCH(1,('Car Data'!$G$2:$G$403=O44)*('Car Data'!$C$2:$C$403=A44),0),2))</f>
        <v>Renault Clio Cup</v>
      </c>
      <c r="O44" s="14">
        <f>MAXIFS('Car Data'!$G$2:$G$403,'Car Data'!$C$2:$C$403,A44)</f>
        <v>12.4</v>
      </c>
      <c r="P44" s="14" t="str">
        <f t="array" ref="P44">CONCATENATE(INDEX('Car Data'!$A$2:$E$403,MATCH(1,('Car Data'!$G$2:$G$403=Q44)*('Car Data'!$C$2:$C$403=A44),0),1)," ",INDEX('Car Data'!$A$2:$E$403,MATCH(1,('Car Data'!$G$2:$G$403=Q44)*('Car Data'!$C$2:$C$403=A44),0),2))</f>
        <v>Renault Clio Cup</v>
      </c>
      <c r="Q44" s="8">
        <f>MINIFS('Car Data'!$G$2:$G$403,'Car Data'!$C$2:$C$403,A44)</f>
        <v>12.4</v>
      </c>
      <c r="R44" s="8">
        <f>ROUND(AVERAGEIFS('Car Data'!$G$2:$G$403,'Car Data'!$C$2:$C$403,A44),2)</f>
        <v>12.4</v>
      </c>
      <c r="S44" s="8" t="str">
        <f>IFERROR(__xludf.DUMMYFUNCTION("ROUND(STDEV(FILTER('Car Data'!$G$2:$G$403,'Car Data'!$C$2:$C$403=A44)),2)"),"#DIV/0!")</f>
        <v>#DIV/0!</v>
      </c>
      <c r="T44" s="8" t="str">
        <f t="array" ref="T44">CONCATENATE(INDEX('Car Data'!$A$2:$E$403,MATCH(1,('Car Data'!$I$2:$I$403=U44)*('Car Data'!$C$2:$C$403=A44),0),1)," ",INDEX('Car Data'!$A$2:$E$403,MATCH(1,('Car Data'!$I$2:$I$403=U44)*('Car Data'!$C$2:$C$403=A44),0),2))</f>
        <v>Renault Clio Cup</v>
      </c>
      <c r="U44" s="8">
        <f>MAXIFS('Car Data'!$I$2:$I$403,'Car Data'!$C$2:$C$403,A44)</f>
        <v>0.086</v>
      </c>
      <c r="V44" s="8" t="str">
        <f t="array" ref="V44">CONCATENATE(INDEX('Car Data'!$A$2:$E$403,MATCH(1,('Car Data'!$I$2:$I$403=W44)*('Car Data'!$C$2:$C$403=A44),0),1)," ",INDEX('Car Data'!$A$2:$E$403,MATCH(1,('Car Data'!$I$2:$I$403=W44)*('Car Data'!$C$2:$C$403=A44),0),2))</f>
        <v>Renault Clio Cup</v>
      </c>
      <c r="W44" s="8">
        <f>MINIFS('Car Data'!$I$2:$I$403,'Car Data'!$C$2:$C$403,A44)</f>
        <v>0.086</v>
      </c>
      <c r="X44" s="8">
        <f>ROUND(AVERAGEIFS('Car Data'!$I$2:$I$403,'Car Data'!$C$2:$C$403,A44),2)</f>
        <v>0.09</v>
      </c>
      <c r="Y44" s="8" t="str">
        <f>IFERROR(__xludf.DUMMYFUNCTION("ROUND(STDEV(FILTER('Car Data'!$I$2:$I$403,'Car Data'!$C$2:$C$403=A44)),2)"),"#DIV/0!")</f>
        <v>#DIV/0!</v>
      </c>
    </row>
    <row r="45">
      <c r="A45" s="6" t="s">
        <v>124</v>
      </c>
      <c r="B45" s="11" t="str">
        <f t="array" ref="B45">CONCATENATE(INDEX('Car Data'!$A$2:$E$403,MATCH(1,('Car Data'!$D$2:$D$403=C45)*('Car Data'!$C$2:$C$403=A45),0),1)," ",INDEX('Car Data'!$A$2:$E$403,MATCH(1,('Car Data'!$D$2:$D$403=C45)*('Car Data'!$C$2:$C$403=A45),0),2))</f>
        <v>Ferrari FXX K</v>
      </c>
      <c r="C45" s="11">
        <f>MAXIFS('Car Data'!$D$2:$D$403,'Car Data'!$C$2:$C$403,A45)</f>
        <v>221</v>
      </c>
      <c r="D45" s="11" t="str">
        <f t="array" ref="D45">CONCATENATE(INDEX('Car Data'!$A$2:$E$403,MATCH(1,('Car Data'!$D$2:$D$403=E45)*('Car Data'!$C$2:$C$403=A45),0),1)," ",INDEX('Car Data'!$A$2:$E$403,MATCH(1,('Car Data'!$D$2:$D$403=E45)*('Car Data'!$C$2:$C$403=A45),0),2))</f>
        <v>Ginetta G57</v>
      </c>
      <c r="E45" s="11">
        <f>MINIFS('Car Data'!$D$2:$D$403,'Car Data'!$C$2:$C$403,A45)</f>
        <v>181</v>
      </c>
      <c r="F45" s="11">
        <f>ROUND(AVERAGEIFS('Car Data'!$D$2:$D$403,'Car Data'!$C$2:$C$403,A45),2)</f>
        <v>202.38</v>
      </c>
      <c r="G45" s="11">
        <f>IFERROR(__xludf.DUMMYFUNCTION("ROUND(STDEV(FILTER('Car Data'!$D$2:$D$403,'Car Data'!$C$2:$C$403=A45)),2)"),16.32)</f>
        <v>16.32</v>
      </c>
      <c r="H45" s="11" t="str">
        <f t="array" ref="H45">CONCATENATE(INDEX('Car Data'!$A$2:$E$403,MATCH(1,('Car Data'!$F$2:$F$403=I45)*('Car Data'!$C$2:$C$403=A45),0),1)," ",INDEX('Car Data'!$A$2:$E$403,MATCH(1,('Car Data'!$F$2:$F$403=I45)*('Car Data'!$C$2:$C$403=A45),0),2))</f>
        <v>Mitsubishi Lancer Evolution VI SVA [ICE + hybrid]</v>
      </c>
      <c r="I45" s="11">
        <f>MAXIFS('Car Data'!$F$2:$F$403,'Car Data'!$C$2:$C$403,A45)</f>
        <v>1062</v>
      </c>
      <c r="J45" s="11" t="str">
        <f t="array" ref="J45">CONCATENATE(INDEX('Car Data'!$A$2:$E$403,MATCH(1,('Car Data'!$F$2:$F$403=K45)*('Car Data'!$C$2:$C$403=A45),0),1)," ",INDEX('Car Data'!$A$2:$E$403,MATCH(1,('Car Data'!$F$2:$F$403=K45)*('Car Data'!$C$2:$C$403=A45),0),2))</f>
        <v>Radical SR8-RS</v>
      </c>
      <c r="K45" s="11">
        <f>MINIFS('Car Data'!$F$2:$F$403,'Car Data'!$C$2:$C$403,A45)</f>
        <v>425</v>
      </c>
      <c r="L45" s="11">
        <f>ROUND(AVERAGEIFS('Car Data'!$F$2:$F$403,'Car Data'!$C$2:$C$403,A45),2)</f>
        <v>822.25</v>
      </c>
      <c r="M45" s="11">
        <f>IFERROR(__xludf.DUMMYFUNCTION("ROUND(STDEV(FILTER('Car Data'!$F$2:$F$403,'Car Data'!$C$2:$C$403=A45)),2)"),225.61)</f>
        <v>225.61</v>
      </c>
      <c r="N45" s="11" t="str">
        <f t="array" ref="N45">CONCATENATE(INDEX('Car Data'!$A$2:$E$403,MATCH(1,('Car Data'!$G$2:$G$403=O45)*('Car Data'!$C$2:$C$403=A45),0),1)," ",INDEX('Car Data'!$A$2:$E$403,MATCH(1,('Car Data'!$G$2:$G$403=O45)*('Car Data'!$C$2:$C$403=A45),0),2))</f>
        <v>Radical SR8-RS</v>
      </c>
      <c r="O45" s="15">
        <f>MAXIFS('Car Data'!$G$2:$G$403,'Car Data'!$C$2:$C$403,A45)</f>
        <v>14.2</v>
      </c>
      <c r="P45" s="15" t="str">
        <f t="array" ref="P45">CONCATENATE(INDEX('Car Data'!$A$2:$E$403,MATCH(1,('Car Data'!$G$2:$G$403=Q45)*('Car Data'!$C$2:$C$403=A45),0),1)," ",INDEX('Car Data'!$A$2:$E$403,MATCH(1,('Car Data'!$G$2:$G$403=Q45)*('Car Data'!$C$2:$C$403=A45),0),2))</f>
        <v>Mitsubishi Lancer Evolution VI SVA [ICE + hybrid]</v>
      </c>
      <c r="Q45" s="11">
        <f>MINIFS('Car Data'!$G$2:$G$403,'Car Data'!$C$2:$C$403,A45)</f>
        <v>7.1</v>
      </c>
      <c r="R45" s="11">
        <f>ROUND(AVERAGEIFS('Car Data'!$G$2:$G$403,'Car Data'!$C$2:$C$403,A45),2)</f>
        <v>10.66</v>
      </c>
      <c r="S45" s="11">
        <f>IFERROR(__xludf.DUMMYFUNCTION("ROUND(STDEV(FILTER('Car Data'!$G$2:$G$403,'Car Data'!$C$2:$C$403=A45)),2)"),2.38)</f>
        <v>2.38</v>
      </c>
      <c r="T45" s="11" t="str">
        <f t="array" ref="T45">CONCATENATE(INDEX('Car Data'!$A$2:$E$403,MATCH(1,('Car Data'!$I$2:$I$403=U45)*('Car Data'!$C$2:$C$403=A45),0),1)," ",INDEX('Car Data'!$A$2:$E$403,MATCH(1,('Car Data'!$I$2:$I$403=U45)*('Car Data'!$C$2:$C$403=A45),0),2))</f>
        <v>Mitsubishi Lancer Evolution VI SVA [ICE + hybrid]</v>
      </c>
      <c r="U45" s="11">
        <f>MAXIFS('Car Data'!$I$2:$I$403,'Car Data'!$C$2:$C$403,A45)</f>
        <v>0.353</v>
      </c>
      <c r="V45" s="11" t="str">
        <f t="array" ref="V45">CONCATENATE(INDEX('Car Data'!$A$2:$E$403,MATCH(1,('Car Data'!$I$2:$I$403=W45)*('Car Data'!$C$2:$C$403=A45),0),1)," ",INDEX('Car Data'!$A$2:$E$403,MATCH(1,('Car Data'!$I$2:$I$403=W45)*('Car Data'!$C$2:$C$403=A45),0),2))</f>
        <v>Aston Martin Vulcan</v>
      </c>
      <c r="W45" s="11">
        <f>MINIFS('Car Data'!$I$2:$I$403,'Car Data'!$C$2:$C$403,A45)</f>
        <v>0.271</v>
      </c>
      <c r="X45" s="11">
        <f>ROUND(AVERAGEIFS('Car Data'!$I$2:$I$403,'Car Data'!$C$2:$C$403,A45),2)</f>
        <v>0.31</v>
      </c>
      <c r="Y45" s="11">
        <f>IFERROR(__xludf.DUMMYFUNCTION("ROUND(STDEV(FILTER('Car Data'!$I$2:$I$403,'Car Data'!$C$2:$C$403=A45)),2)"),0.03)</f>
        <v>0.03</v>
      </c>
    </row>
    <row r="46">
      <c r="A46" s="3" t="s">
        <v>278</v>
      </c>
      <c r="B46" s="8" t="str">
        <f t="array" ref="B46">CONCATENATE(INDEX('Car Data'!$A$2:$E$403,MATCH(1,('Car Data'!$D$2:$D$403=C46)*('Car Data'!$C$2:$C$403=A46),0),1)," ",INDEX('Car Data'!$A$2:$E$403,MATCH(1,('Car Data'!$D$2:$D$403=C46)*('Car Data'!$C$2:$C$403=A46),0),2))</f>
        <v>Nissan Skyline GT-R (R34) SMS-R</v>
      </c>
      <c r="C46" s="8">
        <f>MAXIFS('Car Data'!$D$2:$D$403,'Car Data'!$C$2:$C$403,A46)</f>
        <v>198</v>
      </c>
      <c r="D46" s="8" t="str">
        <f t="array" ref="D46">CONCATENATE(INDEX('Car Data'!$A$2:$E$403,MATCH(1,('Car Data'!$D$2:$D$403=E46)*('Car Data'!$C$2:$C$403=A46),0),1)," ",INDEX('Car Data'!$A$2:$E$403,MATCH(1,('Car Data'!$D$2:$D$403=E46)*('Car Data'!$C$2:$C$403=A46),0),2))</f>
        <v>Radical SR3-RS</v>
      </c>
      <c r="E46" s="8">
        <f>MINIFS('Car Data'!$D$2:$D$403,'Car Data'!$C$2:$C$403,A46)</f>
        <v>149</v>
      </c>
      <c r="F46" s="8">
        <f>ROUND(AVERAGEIFS('Car Data'!$D$2:$D$403,'Car Data'!$C$2:$C$403,A46),2)</f>
        <v>173.67</v>
      </c>
      <c r="G46" s="8">
        <f>IFERROR(__xludf.DUMMYFUNCTION("ROUND(STDEV(FILTER('Car Data'!$D$2:$D$403,'Car Data'!$C$2:$C$403=A46)),2)"),16.77)</f>
        <v>16.77</v>
      </c>
      <c r="H46" s="8" t="str">
        <f t="array" ref="H46">CONCATENATE(INDEX('Car Data'!$A$2:$E$403,MATCH(1,('Car Data'!$F$2:$F$403=I46)*('Car Data'!$C$2:$C$403=A46),0),1)," ",INDEX('Car Data'!$A$2:$E$403,MATCH(1,('Car Data'!$F$2:$F$403=I46)*('Car Data'!$C$2:$C$403=A46),0),2))</f>
        <v>Nissan Skyline GT-R (R34) SMS-R</v>
      </c>
      <c r="I46" s="8">
        <f>MAXIFS('Car Data'!$F$2:$F$403,'Car Data'!$C$2:$C$403,A46)</f>
        <v>704</v>
      </c>
      <c r="J46" s="8" t="str">
        <f t="array" ref="J46">CONCATENATE(INDEX('Car Data'!$A$2:$E$403,MATCH(1,('Car Data'!$F$2:$F$403=K46)*('Car Data'!$C$2:$C$403=A46),0),1)," ",INDEX('Car Data'!$A$2:$E$403,MATCH(1,('Car Data'!$F$2:$F$403=K46)*('Car Data'!$C$2:$C$403=A46),0),2))</f>
        <v>Honda 2&amp;4 Concept</v>
      </c>
      <c r="K46" s="8">
        <f>MINIFS('Car Data'!$F$2:$F$403,'Car Data'!$C$2:$C$403,A46)</f>
        <v>223</v>
      </c>
      <c r="L46" s="8">
        <f>ROUND(AVERAGEIFS('Car Data'!$F$2:$F$403,'Car Data'!$C$2:$C$403,A46),2)</f>
        <v>400.83</v>
      </c>
      <c r="M46" s="8">
        <f>IFERROR(__xludf.DUMMYFUNCTION("ROUND(STDEV(FILTER('Car Data'!$F$2:$F$403,'Car Data'!$C$2:$C$403=A46)),2)"),190.33)</f>
        <v>190.33</v>
      </c>
      <c r="N46" s="8" t="str">
        <f t="array" ref="N46">CONCATENATE(INDEX('Car Data'!$A$2:$E$403,MATCH(1,('Car Data'!$G$2:$G$403=O46)*('Car Data'!$C$2:$C$403=A46),0),1)," ",INDEX('Car Data'!$A$2:$E$403,MATCH(1,('Car Data'!$G$2:$G$403=O46)*('Car Data'!$C$2:$C$403=A46),0),2))</f>
        <v>Honda 2&amp;4 Concept</v>
      </c>
      <c r="O46" s="14">
        <f>MAXIFS('Car Data'!$G$2:$G$403,'Car Data'!$C$2:$C$403,A46)</f>
        <v>19.1</v>
      </c>
      <c r="P46" s="14" t="str">
        <f t="array" ref="P46">CONCATENATE(INDEX('Car Data'!$A$2:$E$403,MATCH(1,('Car Data'!$G$2:$G$403=Q46)*('Car Data'!$C$2:$C$403=A46),0),1)," ",INDEX('Car Data'!$A$2:$E$403,MATCH(1,('Car Data'!$G$2:$G$403=Q46)*('Car Data'!$C$2:$C$403=A46),0),2))</f>
        <v>Lamborghini Sesto Elemento</v>
      </c>
      <c r="Q46" s="8">
        <f>MINIFS('Car Data'!$G$2:$G$403,'Car Data'!$C$2:$C$403,A46)</f>
        <v>10.2</v>
      </c>
      <c r="R46" s="8">
        <f>ROUND(AVERAGEIFS('Car Data'!$G$2:$G$403,'Car Data'!$C$2:$C$403,A46),2)</f>
        <v>14.48</v>
      </c>
      <c r="S46" s="8">
        <f>IFERROR(__xludf.DUMMYFUNCTION("ROUND(STDEV(FILTER('Car Data'!$G$2:$G$403,'Car Data'!$C$2:$C$403=A46)),2)"),3.64)</f>
        <v>3.64</v>
      </c>
      <c r="T46" s="8" t="str">
        <f t="array" ref="T46">CONCATENATE(INDEX('Car Data'!$A$2:$E$403,MATCH(1,('Car Data'!$I$2:$I$403=U46)*('Car Data'!$C$2:$C$403=A46),0),1)," ",INDEX('Car Data'!$A$2:$E$403,MATCH(1,('Car Data'!$I$2:$I$403=U46)*('Car Data'!$C$2:$C$403=A46),0),2))</f>
        <v>Caterham SP/300.R [Push-to-pass]</v>
      </c>
      <c r="U46" s="8">
        <f>MAXIFS('Car Data'!$I$2:$I$403,'Car Data'!$C$2:$C$403,A46)</f>
        <v>0.287</v>
      </c>
      <c r="V46" s="8" t="str">
        <f t="array" ref="V46">CONCATENATE(INDEX('Car Data'!$A$2:$E$403,MATCH(1,('Car Data'!$I$2:$I$403=W46)*('Car Data'!$C$2:$C$403=A46),0),1)," ",INDEX('Car Data'!$A$2:$E$403,MATCH(1,('Car Data'!$I$2:$I$403=W46)*('Car Data'!$C$2:$C$403=A46),0),2))</f>
        <v>Radical SR3-RS</v>
      </c>
      <c r="W46" s="8">
        <f>MINIFS('Car Data'!$I$2:$I$403,'Car Data'!$C$2:$C$403,A46)</f>
        <v>0.216</v>
      </c>
      <c r="X46" s="8">
        <f>ROUND(AVERAGEIFS('Car Data'!$I$2:$I$403,'Car Data'!$C$2:$C$403,A46),2)</f>
        <v>0.25</v>
      </c>
      <c r="Y46" s="8">
        <f>IFERROR(__xludf.DUMMYFUNCTION("ROUND(STDEV(FILTER('Car Data'!$I$2:$I$403,'Car Data'!$C$2:$C$403=A46)),2)"),0.03)</f>
        <v>0.03</v>
      </c>
    </row>
    <row r="47">
      <c r="A47" s="6" t="s">
        <v>631</v>
      </c>
      <c r="B47" s="11" t="str">
        <f t="array" ref="B47">CONCATENATE(INDEX('Car Data'!$A$2:$E$403,MATCH(1,('Car Data'!$D$2:$D$403=C47)*('Car Data'!$C$2:$C$403=A47),0),1)," ",INDEX('Car Data'!$A$2:$E$403,MATCH(1,('Car Data'!$D$2:$D$403=C47)*('Car Data'!$C$2:$C$403=A47),0),2))</f>
        <v>Ford Bronco Brocky</v>
      </c>
      <c r="C47" s="11">
        <f>MAXIFS('Car Data'!$D$2:$D$403,'Car Data'!$C$2:$C$403,A47)</f>
        <v>140</v>
      </c>
      <c r="D47" s="11" t="str">
        <f t="array" ref="D47">CONCATENATE(INDEX('Car Data'!$A$2:$E$403,MATCH(1,('Car Data'!$D$2:$D$403=E47)*('Car Data'!$C$2:$C$403=A47),0),1)," ",INDEX('Car Data'!$A$2:$E$403,MATCH(1,('Car Data'!$D$2:$D$403=E47)*('Car Data'!$C$2:$C$403=A47),0),2))</f>
        <v>Ford Bronco Brocky</v>
      </c>
      <c r="E47" s="11">
        <f>MINIFS('Car Data'!$D$2:$D$403,'Car Data'!$C$2:$C$403,A47)</f>
        <v>140</v>
      </c>
      <c r="F47" s="11">
        <f>ROUND(AVERAGEIFS('Car Data'!$D$2:$D$403,'Car Data'!$C$2:$C$403,A47),2)</f>
        <v>140</v>
      </c>
      <c r="G47" s="11" t="str">
        <f>IFERROR(__xludf.DUMMYFUNCTION("ROUND(STDEV(FILTER('Car Data'!$D$2:$D$403,'Car Data'!$C$2:$C$403=A47)),2)"),"#DIV/0!")</f>
        <v>#DIV/0!</v>
      </c>
      <c r="H47" s="11" t="str">
        <f t="array" ref="H47">CONCATENATE(INDEX('Car Data'!$A$2:$E$403,MATCH(1,('Car Data'!$F$2:$F$403=I47)*('Car Data'!$C$2:$C$403=A47),0),1)," ",INDEX('Car Data'!$A$2:$E$403,MATCH(1,('Car Data'!$F$2:$F$403=I47)*('Car Data'!$C$2:$C$403=A47),0),2))</f>
        <v>Ford Bronco Brocky</v>
      </c>
      <c r="I47" s="11">
        <f>MAXIFS('Car Data'!$F$2:$F$403,'Car Data'!$C$2:$C$403,A47)</f>
        <v>597</v>
      </c>
      <c r="J47" s="11" t="str">
        <f t="array" ref="J47">CONCATENATE(INDEX('Car Data'!$A$2:$E$403,MATCH(1,('Car Data'!$F$2:$F$403=K47)*('Car Data'!$C$2:$C$403=A47),0),1)," ",INDEX('Car Data'!$A$2:$E$403,MATCH(1,('Car Data'!$F$2:$F$403=K47)*('Car Data'!$C$2:$C$403=A47),0),2))</f>
        <v>Ford Bronco Brocky</v>
      </c>
      <c r="K47" s="11">
        <f>MINIFS('Car Data'!$F$2:$F$403,'Car Data'!$C$2:$C$403,A47)</f>
        <v>597</v>
      </c>
      <c r="L47" s="11">
        <f>ROUND(AVERAGEIFS('Car Data'!$F$2:$F$403,'Car Data'!$C$2:$C$403,A47),2)</f>
        <v>597</v>
      </c>
      <c r="M47" s="11" t="str">
        <f>IFERROR(__xludf.DUMMYFUNCTION("ROUND(STDEV(FILTER('Car Data'!$F$2:$F$403,'Car Data'!$C$2:$C$403=A47)),2)"),"#DIV/0!")</f>
        <v>#DIV/0!</v>
      </c>
      <c r="N47" s="11" t="str">
        <f t="array" ref="N47">CONCATENATE(INDEX('Car Data'!$A$2:$E$403,MATCH(1,('Car Data'!$G$2:$G$403=O47)*('Car Data'!$C$2:$C$403=A47),0),1)," ",INDEX('Car Data'!$A$2:$E$403,MATCH(1,('Car Data'!$G$2:$G$403=O47)*('Car Data'!$C$2:$C$403=A47),0),2))</f>
        <v>Ford Bronco Brocky</v>
      </c>
      <c r="O47" s="15">
        <f>MAXIFS('Car Data'!$G$2:$G$403,'Car Data'!$C$2:$C$403,A47)</f>
        <v>4.6</v>
      </c>
      <c r="P47" s="15" t="str">
        <f t="array" ref="P47">CONCATENATE(INDEX('Car Data'!$A$2:$E$403,MATCH(1,('Car Data'!$G$2:$G$403=Q47)*('Car Data'!$C$2:$C$403=A47),0),1)," ",INDEX('Car Data'!$A$2:$E$403,MATCH(1,('Car Data'!$G$2:$G$403=Q47)*('Car Data'!$C$2:$C$403=A47),0),2))</f>
        <v>Ford Bronco Brocky</v>
      </c>
      <c r="Q47" s="11">
        <f>MINIFS('Car Data'!$G$2:$G$403,'Car Data'!$C$2:$C$403,A47)</f>
        <v>4.6</v>
      </c>
      <c r="R47" s="11">
        <f>ROUND(AVERAGEIFS('Car Data'!$G$2:$G$403,'Car Data'!$C$2:$C$403,A47),2)</f>
        <v>4.6</v>
      </c>
      <c r="S47" s="11" t="str">
        <f>IFERROR(__xludf.DUMMYFUNCTION("ROUND(STDEV(FILTER('Car Data'!$G$2:$G$403,'Car Data'!$C$2:$C$403=A47)),2)"),"#DIV/0!")</f>
        <v>#DIV/0!</v>
      </c>
      <c r="T47" s="11" t="str">
        <f t="array" ref="T47">CONCATENATE(INDEX('Car Data'!$A$2:$E$403,MATCH(1,('Car Data'!$I$2:$I$403=U47)*('Car Data'!$C$2:$C$403=A47),0),1)," ",INDEX('Car Data'!$A$2:$E$403,MATCH(1,('Car Data'!$I$2:$I$403=U47)*('Car Data'!$C$2:$C$403=A47),0),2))</f>
        <v>Ford Bronco Brocky</v>
      </c>
      <c r="U47" s="11">
        <f>MAXIFS('Car Data'!$I$2:$I$403,'Car Data'!$C$2:$C$403,A47)</f>
        <v>0.139</v>
      </c>
      <c r="V47" s="11" t="str">
        <f t="array" ref="V47">CONCATENATE(INDEX('Car Data'!$A$2:$E$403,MATCH(1,('Car Data'!$I$2:$I$403=W47)*('Car Data'!$C$2:$C$403=A47),0),1)," ",INDEX('Car Data'!$A$2:$E$403,MATCH(1,('Car Data'!$I$2:$I$403=W47)*('Car Data'!$C$2:$C$403=A47),0),2))</f>
        <v>Ford Bronco Brocky</v>
      </c>
      <c r="W47" s="11">
        <f>MINIFS('Car Data'!$I$2:$I$403,'Car Data'!$C$2:$C$403,A47)</f>
        <v>0.139</v>
      </c>
      <c r="X47" s="11">
        <f>ROUND(AVERAGEIFS('Car Data'!$I$2:$I$403,'Car Data'!$C$2:$C$403,A47),2)</f>
        <v>0.14</v>
      </c>
      <c r="Y47" s="11" t="str">
        <f>IFERROR(__xludf.DUMMYFUNCTION("ROUND(STDEV(FILTER('Car Data'!$I$2:$I$403,'Car Data'!$C$2:$C$403=A47)),2)"),"#DIV/0!")</f>
        <v>#DIV/0!</v>
      </c>
    </row>
    <row r="48">
      <c r="A48" s="3" t="s">
        <v>220</v>
      </c>
      <c r="B48" s="8" t="str">
        <f t="array" ref="B48">CONCATENATE(INDEX('Car Data'!$A$2:$E$403,MATCH(1,('Car Data'!$D$2:$D$403=C48)*('Car Data'!$C$2:$C$403=A48),0),1)," ",INDEX('Car Data'!$A$2:$E$403,MATCH(1,('Car Data'!$D$2:$D$403=C48)*('Car Data'!$C$2:$C$403=A48),0),2))</f>
        <v>Holden Commodore V8 Supercar</v>
      </c>
      <c r="C48" s="8">
        <f>MAXIFS('Car Data'!$D$2:$D$403,'Car Data'!$C$2:$C$403,A48)</f>
        <v>182</v>
      </c>
      <c r="D48" s="8" t="str">
        <f t="array" ref="D48">CONCATENATE(INDEX('Car Data'!$A$2:$E$403,MATCH(1,('Car Data'!$D$2:$D$403=E48)*('Car Data'!$C$2:$C$403=A48),0),1)," ",INDEX('Car Data'!$A$2:$E$403,MATCH(1,('Car Data'!$D$2:$D$403=E48)*('Car Data'!$C$2:$C$403=A48),0),2))</f>
        <v>Ford Falcon FG V8 Supercar</v>
      </c>
      <c r="E48" s="8">
        <f>MINIFS('Car Data'!$D$2:$D$403,'Car Data'!$C$2:$C$403,A48)</f>
        <v>181</v>
      </c>
      <c r="F48" s="8">
        <f>ROUND(AVERAGEIFS('Car Data'!$D$2:$D$403,'Car Data'!$C$2:$C$403,A48),2)</f>
        <v>181.5</v>
      </c>
      <c r="G48" s="8">
        <f>IFERROR(__xludf.DUMMYFUNCTION("ROUND(STDEV(FILTER('Car Data'!$D$2:$D$403,'Car Data'!$C$2:$C$403=A48)),2)"),0.71)</f>
        <v>0.71</v>
      </c>
      <c r="H48" s="8" t="str">
        <f t="array" ref="H48">CONCATENATE(INDEX('Car Data'!$A$2:$E$403,MATCH(1,('Car Data'!$F$2:$F$403=I48)*('Car Data'!$C$2:$C$403=A48),0),1)," ",INDEX('Car Data'!$A$2:$E$403,MATCH(1,('Car Data'!$F$2:$F$403=I48)*('Car Data'!$C$2:$C$403=A48),0),2))</f>
        <v>Holden Commodore V8 Supercar</v>
      </c>
      <c r="I48" s="8">
        <f>MAXIFS('Car Data'!$F$2:$F$403,'Car Data'!$C$2:$C$403,A48)</f>
        <v>643</v>
      </c>
      <c r="J48" s="8" t="str">
        <f t="array" ref="J48">CONCATENATE(INDEX('Car Data'!$A$2:$E$403,MATCH(1,('Car Data'!$F$2:$F$403=K48)*('Car Data'!$C$2:$C$403=A48),0),1)," ",INDEX('Car Data'!$A$2:$E$403,MATCH(1,('Car Data'!$F$2:$F$403=K48)*('Car Data'!$C$2:$C$403=A48),0),2))</f>
        <v>Holden Commodore V8 Supercar</v>
      </c>
      <c r="K48" s="8">
        <f>MINIFS('Car Data'!$F$2:$F$403,'Car Data'!$C$2:$C$403,A48)</f>
        <v>643</v>
      </c>
      <c r="L48" s="8">
        <f>ROUND(AVERAGEIFS('Car Data'!$F$2:$F$403,'Car Data'!$C$2:$C$403,A48),2)</f>
        <v>643</v>
      </c>
      <c r="M48" s="8">
        <f>IFERROR(__xludf.DUMMYFUNCTION("ROUND(STDEV(FILTER('Car Data'!$F$2:$F$403,'Car Data'!$C$2:$C$403=A48)),2)"),0.0)</f>
        <v>0</v>
      </c>
      <c r="N48" s="8" t="str">
        <f t="array" ref="N48">CONCATENATE(INDEX('Car Data'!$A$2:$E$403,MATCH(1,('Car Data'!$G$2:$G$403=O48)*('Car Data'!$C$2:$C$403=A48),0),1)," ",INDEX('Car Data'!$A$2:$E$403,MATCH(1,('Car Data'!$G$2:$G$403=O48)*('Car Data'!$C$2:$C$403=A48),0),2))</f>
        <v>Holden Commodore V8 Supercar</v>
      </c>
      <c r="O48" s="14">
        <f>MAXIFS('Car Data'!$G$2:$G$403,'Car Data'!$C$2:$C$403,A48)</f>
        <v>9.4</v>
      </c>
      <c r="P48" s="14" t="str">
        <f t="array" ref="P48">CONCATENATE(INDEX('Car Data'!$A$2:$E$403,MATCH(1,('Car Data'!$G$2:$G$403=Q48)*('Car Data'!$C$2:$C$403=A48),0),1)," ",INDEX('Car Data'!$A$2:$E$403,MATCH(1,('Car Data'!$G$2:$G$403=Q48)*('Car Data'!$C$2:$C$403=A48),0),2))</f>
        <v>Ford Falcon FG V8 Supercar</v>
      </c>
      <c r="Q48" s="8">
        <f>MINIFS('Car Data'!$G$2:$G$403,'Car Data'!$C$2:$C$403,A48)</f>
        <v>9.2</v>
      </c>
      <c r="R48" s="8">
        <f>ROUND(AVERAGEIFS('Car Data'!$G$2:$G$403,'Car Data'!$C$2:$C$403,A48),2)</f>
        <v>9.3</v>
      </c>
      <c r="S48" s="8">
        <f>IFERROR(__xludf.DUMMYFUNCTION("ROUND(STDEV(FILTER('Car Data'!$G$2:$G$403,'Car Data'!$C$2:$C$403=A48)),2)"),0.14)</f>
        <v>0.14</v>
      </c>
      <c r="T48" s="8" t="str">
        <f t="array" ref="T48">CONCATENATE(INDEX('Car Data'!$A$2:$E$403,MATCH(1,('Car Data'!$I$2:$I$403=U48)*('Car Data'!$C$2:$C$403=A48),0),1)," ",INDEX('Car Data'!$A$2:$E$403,MATCH(1,('Car Data'!$I$2:$I$403=U48)*('Car Data'!$C$2:$C$403=A48),0),2))</f>
        <v>Holden Commodore V8 Supercar</v>
      </c>
      <c r="U48" s="8">
        <f>MAXIFS('Car Data'!$I$2:$I$403,'Car Data'!$C$2:$C$403,A48)</f>
        <v>0.207</v>
      </c>
      <c r="V48" s="8" t="str">
        <f t="array" ref="V48">CONCATENATE(INDEX('Car Data'!$A$2:$E$403,MATCH(1,('Car Data'!$I$2:$I$403=W48)*('Car Data'!$C$2:$C$403=A48),0),1)," ",INDEX('Car Data'!$A$2:$E$403,MATCH(1,('Car Data'!$I$2:$I$403=W48)*('Car Data'!$C$2:$C$403=A48),0),2))</f>
        <v>Holden Commodore V8 Supercar</v>
      </c>
      <c r="W48" s="8">
        <f>MINIFS('Car Data'!$I$2:$I$403,'Car Data'!$C$2:$C$403,A48)</f>
        <v>0.207</v>
      </c>
      <c r="X48" s="8">
        <f>ROUND(AVERAGEIFS('Car Data'!$I$2:$I$403,'Car Data'!$C$2:$C$403,A48),2)</f>
        <v>0.21</v>
      </c>
      <c r="Y48" s="8">
        <f>IFERROR(__xludf.DUMMYFUNCTION("ROUND(STDEV(FILTER('Car Data'!$I$2:$I$403,'Car Data'!$C$2:$C$403=A48)),2)"),0.0)</f>
        <v>0</v>
      </c>
    </row>
    <row r="49">
      <c r="A49" s="6" t="s">
        <v>628</v>
      </c>
      <c r="B49" s="11" t="str">
        <f t="array" ref="B49">CONCATENATE(INDEX('Car Data'!$A$2:$E$403,MATCH(1,('Car Data'!$D$2:$D$403=C49)*('Car Data'!$C$2:$C$403=A49),0),1)," ",INDEX('Car Data'!$A$2:$E$403,MATCH(1,('Car Data'!$D$2:$D$403=C49)*('Car Data'!$C$2:$C$403=A49),0),2))</f>
        <v>Lotus Type 51</v>
      </c>
      <c r="C49" s="11">
        <f>MAXIFS('Car Data'!$D$2:$D$403,'Car Data'!$C$2:$C$403,A49)</f>
        <v>125</v>
      </c>
      <c r="D49" s="11" t="str">
        <f t="array" ref="D49">CONCATENATE(INDEX('Car Data'!$A$2:$E$403,MATCH(1,('Car Data'!$D$2:$D$403=E49)*('Car Data'!$C$2:$C$403=A49),0),1)," ",INDEX('Car Data'!$A$2:$E$403,MATCH(1,('Car Data'!$D$2:$D$403=E49)*('Car Data'!$C$2:$C$403=A49),0),2))</f>
        <v>Lotus Type 51</v>
      </c>
      <c r="E49" s="11">
        <f>MINIFS('Car Data'!$D$2:$D$403,'Car Data'!$C$2:$C$403,A49)</f>
        <v>125</v>
      </c>
      <c r="F49" s="11">
        <f>ROUND(AVERAGEIFS('Car Data'!$D$2:$D$403,'Car Data'!$C$2:$C$403,A49),2)</f>
        <v>125</v>
      </c>
      <c r="G49" s="11" t="str">
        <f>IFERROR(__xludf.DUMMYFUNCTION("ROUND(STDEV(FILTER('Car Data'!$D$2:$D$403,'Car Data'!$C$2:$C$403=A49)),2)"),"#DIV/0!")</f>
        <v>#DIV/0!</v>
      </c>
      <c r="H49" s="11" t="str">
        <f t="array" ref="H49">CONCATENATE(INDEX('Car Data'!$A$2:$E$403,MATCH(1,('Car Data'!$F$2:$F$403=I49)*('Car Data'!$C$2:$C$403=A49),0),1)," ",INDEX('Car Data'!$A$2:$E$403,MATCH(1,('Car Data'!$F$2:$F$403=I49)*('Car Data'!$C$2:$C$403=A49),0),2))</f>
        <v>Lotus Type 51</v>
      </c>
      <c r="I49" s="11">
        <f>MAXIFS('Car Data'!$F$2:$F$403,'Car Data'!$C$2:$C$403,A49)</f>
        <v>116</v>
      </c>
      <c r="J49" s="11" t="str">
        <f t="array" ref="J49">CONCATENATE(INDEX('Car Data'!$A$2:$E$403,MATCH(1,('Car Data'!$F$2:$F$403=K49)*('Car Data'!$C$2:$C$403=A49),0),1)," ",INDEX('Car Data'!$A$2:$E$403,MATCH(1,('Car Data'!$F$2:$F$403=K49)*('Car Data'!$C$2:$C$403=A49),0),2))</f>
        <v>Lotus Type 51</v>
      </c>
      <c r="K49" s="11">
        <f>MINIFS('Car Data'!$F$2:$F$403,'Car Data'!$C$2:$C$403,A49)</f>
        <v>116</v>
      </c>
      <c r="L49" s="11">
        <f>ROUND(AVERAGEIFS('Car Data'!$F$2:$F$403,'Car Data'!$C$2:$C$403,A49),2)</f>
        <v>116</v>
      </c>
      <c r="M49" s="11" t="str">
        <f>IFERROR(__xludf.DUMMYFUNCTION("ROUND(STDEV(FILTER('Car Data'!$F$2:$F$403,'Car Data'!$C$2:$C$403=A49)),2)"),"#DIV/0!")</f>
        <v>#DIV/0!</v>
      </c>
      <c r="N49" s="11" t="str">
        <f t="array" ref="N49">CONCATENATE(INDEX('Car Data'!$A$2:$E$403,MATCH(1,('Car Data'!$G$2:$G$403=O49)*('Car Data'!$C$2:$C$403=A49),0),1)," ",INDEX('Car Data'!$A$2:$E$403,MATCH(1,('Car Data'!$G$2:$G$403=O49)*('Car Data'!$C$2:$C$403=A49),0),2))</f>
        <v>Lotus Type 51</v>
      </c>
      <c r="O49" s="15">
        <f>MAXIFS('Car Data'!$G$2:$G$403,'Car Data'!$C$2:$C$403,A49)</f>
        <v>16.8</v>
      </c>
      <c r="P49" s="15" t="str">
        <f t="array" ref="P49">CONCATENATE(INDEX('Car Data'!$A$2:$E$403,MATCH(1,('Car Data'!$G$2:$G$403=Q49)*('Car Data'!$C$2:$C$403=A49),0),1)," ",INDEX('Car Data'!$A$2:$E$403,MATCH(1,('Car Data'!$G$2:$G$403=Q49)*('Car Data'!$C$2:$C$403=A49),0),2))</f>
        <v>Lotus Type 51</v>
      </c>
      <c r="Q49" s="11">
        <f>MINIFS('Car Data'!$G$2:$G$403,'Car Data'!$C$2:$C$403,A49)</f>
        <v>16.8</v>
      </c>
      <c r="R49" s="11">
        <f>ROUND(AVERAGEIFS('Car Data'!$G$2:$G$403,'Car Data'!$C$2:$C$403,A49),2)</f>
        <v>16.8</v>
      </c>
      <c r="S49" s="11" t="str">
        <f>IFERROR(__xludf.DUMMYFUNCTION("ROUND(STDEV(FILTER('Car Data'!$G$2:$G$403,'Car Data'!$C$2:$C$403=A49)),2)"),"#DIV/0!")</f>
        <v>#DIV/0!</v>
      </c>
      <c r="T49" s="11" t="str">
        <f t="array" ref="T49">CONCATENATE(INDEX('Car Data'!$A$2:$E$403,MATCH(1,('Car Data'!$I$2:$I$403=U49)*('Car Data'!$C$2:$C$403=A49),0),1)," ",INDEX('Car Data'!$A$2:$E$403,MATCH(1,('Car Data'!$I$2:$I$403=U49)*('Car Data'!$C$2:$C$403=A49),0),2))</f>
        <v>Lotus Type 51</v>
      </c>
      <c r="U49" s="11">
        <f>MAXIFS('Car Data'!$I$2:$I$403,'Car Data'!$C$2:$C$403,A49)</f>
        <v>0.124</v>
      </c>
      <c r="V49" s="11" t="str">
        <f t="array" ref="V49">CONCATENATE(INDEX('Car Data'!$A$2:$E$403,MATCH(1,('Car Data'!$I$2:$I$403=W49)*('Car Data'!$C$2:$C$403=A49),0),1)," ",INDEX('Car Data'!$A$2:$E$403,MATCH(1,('Car Data'!$I$2:$I$403=W49)*('Car Data'!$C$2:$C$403=A49),0),2))</f>
        <v>Lotus Type 51</v>
      </c>
      <c r="W49" s="11">
        <f>MINIFS('Car Data'!$I$2:$I$403,'Car Data'!$C$2:$C$403,A49)</f>
        <v>0.124</v>
      </c>
      <c r="X49" s="11">
        <f>ROUND(AVERAGEIFS('Car Data'!$I$2:$I$403,'Car Data'!$C$2:$C$403,A49),2)</f>
        <v>0.12</v>
      </c>
      <c r="Y49" s="11" t="str">
        <f>IFERROR(__xludf.DUMMYFUNCTION("ROUND(STDEV(FILTER('Car Data'!$I$2:$I$403,'Car Data'!$C$2:$C$403=A49)),2)"),"#DIV/0!")</f>
        <v>#DIV/0!</v>
      </c>
    </row>
    <row r="50">
      <c r="A50" s="3" t="s">
        <v>66</v>
      </c>
      <c r="B50" s="8" t="str">
        <f t="array" ref="B50">CONCATENATE(INDEX('Car Data'!$A$2:$E$403,MATCH(1,('Car Data'!$D$2:$D$403=C50)*('Car Data'!$C$2:$C$403=A50),0),1)," ",INDEX('Car Data'!$A$2:$E$403,MATCH(1,('Car Data'!$D$2:$D$403=C50)*('Car Data'!$C$2:$C$403=A50),0),2))</f>
        <v>Lotus Type 98T Renault Turbo</v>
      </c>
      <c r="C50" s="8">
        <f>MAXIFS('Car Data'!$D$2:$D$403,'Car Data'!$C$2:$C$403,A50)</f>
        <v>214</v>
      </c>
      <c r="D50" s="8" t="str">
        <f t="array" ref="D50">CONCATENATE(INDEX('Car Data'!$A$2:$E$403,MATCH(1,('Car Data'!$D$2:$D$403=E50)*('Car Data'!$C$2:$C$403=A50),0),1)," ",INDEX('Car Data'!$A$2:$E$403,MATCH(1,('Car Data'!$D$2:$D$403=E50)*('Car Data'!$C$2:$C$403=A50),0),2))</f>
        <v>Lotus Type 98T Renault Turbo</v>
      </c>
      <c r="E50" s="8">
        <f>MINIFS('Car Data'!$D$2:$D$403,'Car Data'!$C$2:$C$403,A50)</f>
        <v>214</v>
      </c>
      <c r="F50" s="8">
        <f>ROUND(AVERAGEIFS('Car Data'!$D$2:$D$403,'Car Data'!$C$2:$C$403,A50),2)</f>
        <v>214</v>
      </c>
      <c r="G50" s="8" t="str">
        <f>IFERROR(__xludf.DUMMYFUNCTION("ROUND(STDEV(FILTER('Car Data'!$D$2:$D$403,'Car Data'!$C$2:$C$403=A50)),2)"),"#DIV/0!")</f>
        <v>#DIV/0!</v>
      </c>
      <c r="H50" s="8" t="str">
        <f t="array" ref="H50">CONCATENATE(INDEX('Car Data'!$A$2:$E$403,MATCH(1,('Car Data'!$F$2:$F$403=I50)*('Car Data'!$C$2:$C$403=A50),0),1)," ",INDEX('Car Data'!$A$2:$E$403,MATCH(1,('Car Data'!$F$2:$F$403=I50)*('Car Data'!$C$2:$C$403=A50),0),2))</f>
        <v>Lotus Type 98T Renault Turbo</v>
      </c>
      <c r="I50" s="8">
        <f>MAXIFS('Car Data'!$F$2:$F$403,'Car Data'!$C$2:$C$403,A50)</f>
        <v>1370</v>
      </c>
      <c r="J50" s="8" t="str">
        <f t="array" ref="J50">CONCATENATE(INDEX('Car Data'!$A$2:$E$403,MATCH(1,('Car Data'!$F$2:$F$403=K50)*('Car Data'!$C$2:$C$403=A50),0),1)," ",INDEX('Car Data'!$A$2:$E$403,MATCH(1,('Car Data'!$F$2:$F$403=K50)*('Car Data'!$C$2:$C$403=A50),0),2))</f>
        <v>Lotus Type 98T Renault Turbo</v>
      </c>
      <c r="K50" s="8">
        <f>MINIFS('Car Data'!$F$2:$F$403,'Car Data'!$C$2:$C$403,A50)</f>
        <v>1370</v>
      </c>
      <c r="L50" s="8">
        <f>ROUND(AVERAGEIFS('Car Data'!$F$2:$F$403,'Car Data'!$C$2:$C$403,A50),2)</f>
        <v>1370</v>
      </c>
      <c r="M50" s="8" t="str">
        <f>IFERROR(__xludf.DUMMYFUNCTION("ROUND(STDEV(FILTER('Car Data'!$F$2:$F$403,'Car Data'!$C$2:$C$403=A50)),2)"),"#DIV/0!")</f>
        <v>#DIV/0!</v>
      </c>
      <c r="N50" s="8" t="str">
        <f t="array" ref="N50">CONCATENATE(INDEX('Car Data'!$A$2:$E$403,MATCH(1,('Car Data'!$G$2:$G$403=O50)*('Car Data'!$C$2:$C$403=A50),0),1)," ",INDEX('Car Data'!$A$2:$E$403,MATCH(1,('Car Data'!$G$2:$G$403=O50)*('Car Data'!$C$2:$C$403=A50),0),2))</f>
        <v>Lotus Type 98T Renault Turbo</v>
      </c>
      <c r="O50" s="14">
        <f>MAXIFS('Car Data'!$G$2:$G$403,'Car Data'!$C$2:$C$403,A50)</f>
        <v>7.2</v>
      </c>
      <c r="P50" s="14" t="str">
        <f t="array" ref="P50">CONCATENATE(INDEX('Car Data'!$A$2:$E$403,MATCH(1,('Car Data'!$G$2:$G$403=Q50)*('Car Data'!$C$2:$C$403=A50),0),1)," ",INDEX('Car Data'!$A$2:$E$403,MATCH(1,('Car Data'!$G$2:$G$403=Q50)*('Car Data'!$C$2:$C$403=A50),0),2))</f>
        <v>Lotus Type 98T Renault Turbo</v>
      </c>
      <c r="Q50" s="8">
        <f>MINIFS('Car Data'!$G$2:$G$403,'Car Data'!$C$2:$C$403,A50)</f>
        <v>7.2</v>
      </c>
      <c r="R50" s="8">
        <f>ROUND(AVERAGEIFS('Car Data'!$G$2:$G$403,'Car Data'!$C$2:$C$403,A50),2)</f>
        <v>7.2</v>
      </c>
      <c r="S50" s="8" t="str">
        <f>IFERROR(__xludf.DUMMYFUNCTION("ROUND(STDEV(FILTER('Car Data'!$G$2:$G$403,'Car Data'!$C$2:$C$403=A50)),2)"),"#DIV/0!")</f>
        <v>#DIV/0!</v>
      </c>
      <c r="T50" s="8" t="str">
        <f t="array" ref="T50">CONCATENATE(INDEX('Car Data'!$A$2:$E$403,MATCH(1,('Car Data'!$I$2:$I$403=U50)*('Car Data'!$C$2:$C$403=A50),0),1)," ",INDEX('Car Data'!$A$2:$E$403,MATCH(1,('Car Data'!$I$2:$I$403=U50)*('Car Data'!$C$2:$C$403=A50),0),2))</f>
        <v>Lotus Type 98T Renault Turbo</v>
      </c>
      <c r="U50" s="8">
        <f>MAXIFS('Car Data'!$I$2:$I$403,'Car Data'!$C$2:$C$403,A50)</f>
        <v>1.151</v>
      </c>
      <c r="V50" s="8" t="str">
        <f t="array" ref="V50">CONCATENATE(INDEX('Car Data'!$A$2:$E$403,MATCH(1,('Car Data'!$I$2:$I$403=W50)*('Car Data'!$C$2:$C$403=A50),0),1)," ",INDEX('Car Data'!$A$2:$E$403,MATCH(1,('Car Data'!$I$2:$I$403=W50)*('Car Data'!$C$2:$C$403=A50),0),2))</f>
        <v>Lotus Type 98T Renault Turbo</v>
      </c>
      <c r="W50" s="8">
        <f>MINIFS('Car Data'!$I$2:$I$403,'Car Data'!$C$2:$C$403,A50)</f>
        <v>1.151</v>
      </c>
      <c r="X50" s="8">
        <f>ROUND(AVERAGEIFS('Car Data'!$I$2:$I$403,'Car Data'!$C$2:$C$403,A50),2)</f>
        <v>1.15</v>
      </c>
      <c r="Y50" s="8" t="str">
        <f>IFERROR(__xludf.DUMMYFUNCTION("ROUND(STDEV(FILTER('Car Data'!$I$2:$I$403,'Car Data'!$C$2:$C$403=A50)),2)"),"#DIV/0!")</f>
        <v>#DIV/0!</v>
      </c>
    </row>
    <row r="51">
      <c r="A51" s="6" t="s">
        <v>178</v>
      </c>
      <c r="B51" s="11" t="str">
        <f t="array" ref="B51">CONCATENATE(INDEX('Car Data'!$A$2:$E$403,MATCH(1,('Car Data'!$D$2:$D$403=C51)*('Car Data'!$C$2:$C$403=A51),0),1)," ",INDEX('Car Data'!$A$2:$E$403,MATCH(1,('Car Data'!$D$2:$D$403=C51)*('Car Data'!$C$2:$C$403=A51),0),2))</f>
        <v>Lotus Type 78 Cosworth</v>
      </c>
      <c r="C51" s="11">
        <f>MAXIFS('Car Data'!$D$2:$D$403,'Car Data'!$C$2:$C$403,A51)</f>
        <v>177</v>
      </c>
      <c r="D51" s="11" t="str">
        <f t="array" ref="D51">CONCATENATE(INDEX('Car Data'!$A$2:$E$403,MATCH(1,('Car Data'!$D$2:$D$403=E51)*('Car Data'!$C$2:$C$403=A51),0),1)," ",INDEX('Car Data'!$A$2:$E$403,MATCH(1,('Car Data'!$D$2:$D$403=E51)*('Car Data'!$C$2:$C$403=A51),0),2))</f>
        <v>Lotus Type 78 Cosworth</v>
      </c>
      <c r="E51" s="11">
        <f>MINIFS('Car Data'!$D$2:$D$403,'Car Data'!$C$2:$C$403,A51)</f>
        <v>177</v>
      </c>
      <c r="F51" s="11">
        <f>ROUND(AVERAGEIFS('Car Data'!$D$2:$D$403,'Car Data'!$C$2:$C$403,A51),2)</f>
        <v>177</v>
      </c>
      <c r="G51" s="11" t="str">
        <f>IFERROR(__xludf.DUMMYFUNCTION("ROUND(STDEV(FILTER('Car Data'!$D$2:$D$403,'Car Data'!$C$2:$C$403=A51)),2)"),"#DIV/0!")</f>
        <v>#DIV/0!</v>
      </c>
      <c r="H51" s="11" t="str">
        <f t="array" ref="H51">CONCATENATE(INDEX('Car Data'!$A$2:$E$403,MATCH(1,('Car Data'!$F$2:$F$403=I51)*('Car Data'!$C$2:$C$403=A51),0),1)," ",INDEX('Car Data'!$A$2:$E$403,MATCH(1,('Car Data'!$F$2:$F$403=I51)*('Car Data'!$C$2:$C$403=A51),0),2))</f>
        <v>Lotus Type 78 Cosworth</v>
      </c>
      <c r="I51" s="11">
        <f>MAXIFS('Car Data'!$F$2:$F$403,'Car Data'!$C$2:$C$403,A51)</f>
        <v>485</v>
      </c>
      <c r="J51" s="11" t="str">
        <f t="array" ref="J51">CONCATENATE(INDEX('Car Data'!$A$2:$E$403,MATCH(1,('Car Data'!$F$2:$F$403=K51)*('Car Data'!$C$2:$C$403=A51),0),1)," ",INDEX('Car Data'!$A$2:$E$403,MATCH(1,('Car Data'!$F$2:$F$403=K51)*('Car Data'!$C$2:$C$403=A51),0),2))</f>
        <v>Lotus Type 78 Cosworth</v>
      </c>
      <c r="K51" s="11">
        <f>MINIFS('Car Data'!$F$2:$F$403,'Car Data'!$C$2:$C$403,A51)</f>
        <v>485</v>
      </c>
      <c r="L51" s="11">
        <f>ROUND(AVERAGEIFS('Car Data'!$F$2:$F$403,'Car Data'!$C$2:$C$403,A51),2)</f>
        <v>485</v>
      </c>
      <c r="M51" s="11" t="str">
        <f>IFERROR(__xludf.DUMMYFUNCTION("ROUND(STDEV(FILTER('Car Data'!$F$2:$F$403,'Car Data'!$C$2:$C$403=A51)),2)"),"#DIV/0!")</f>
        <v>#DIV/0!</v>
      </c>
      <c r="N51" s="11" t="str">
        <f t="array" ref="N51">CONCATENATE(INDEX('Car Data'!$A$2:$E$403,MATCH(1,('Car Data'!$G$2:$G$403=O51)*('Car Data'!$C$2:$C$403=A51),0),1)," ",INDEX('Car Data'!$A$2:$E$403,MATCH(1,('Car Data'!$G$2:$G$403=O51)*('Car Data'!$C$2:$C$403=A51),0),2))</f>
        <v>Lotus Type 78 Cosworth</v>
      </c>
      <c r="O51" s="15">
        <f>MAXIFS('Car Data'!$G$2:$G$403,'Car Data'!$C$2:$C$403,A51)</f>
        <v>11.4</v>
      </c>
      <c r="P51" s="15" t="str">
        <f t="array" ref="P51">CONCATENATE(INDEX('Car Data'!$A$2:$E$403,MATCH(1,('Car Data'!$G$2:$G$403=Q51)*('Car Data'!$C$2:$C$403=A51),0),1)," ",INDEX('Car Data'!$A$2:$E$403,MATCH(1,('Car Data'!$G$2:$G$403=Q51)*('Car Data'!$C$2:$C$403=A51),0),2))</f>
        <v>Lotus Type 78 Cosworth</v>
      </c>
      <c r="Q51" s="11">
        <f>MINIFS('Car Data'!$G$2:$G$403,'Car Data'!$C$2:$C$403,A51)</f>
        <v>11.4</v>
      </c>
      <c r="R51" s="11">
        <f>ROUND(AVERAGEIFS('Car Data'!$G$2:$G$403,'Car Data'!$C$2:$C$403,A51),2)</f>
        <v>11.4</v>
      </c>
      <c r="S51" s="11" t="str">
        <f>IFERROR(__xludf.DUMMYFUNCTION("ROUND(STDEV(FILTER('Car Data'!$G$2:$G$403,'Car Data'!$C$2:$C$403=A51)),2)"),"#DIV/0!")</f>
        <v>#DIV/0!</v>
      </c>
      <c r="T51" s="11" t="str">
        <f t="array" ref="T51">CONCATENATE(INDEX('Car Data'!$A$2:$E$403,MATCH(1,('Car Data'!$I$2:$I$403=U51)*('Car Data'!$C$2:$C$403=A51),0),1)," ",INDEX('Car Data'!$A$2:$E$403,MATCH(1,('Car Data'!$I$2:$I$403=U51)*('Car Data'!$C$2:$C$403=A51),0),2))</f>
        <v>Lotus Type 78 Cosworth</v>
      </c>
      <c r="U51" s="11">
        <f>MAXIFS('Car Data'!$I$2:$I$403,'Car Data'!$C$2:$C$403,A51)</f>
        <v>0.376</v>
      </c>
      <c r="V51" s="11" t="str">
        <f t="array" ref="V51">CONCATENATE(INDEX('Car Data'!$A$2:$E$403,MATCH(1,('Car Data'!$I$2:$I$403=W51)*('Car Data'!$C$2:$C$403=A51),0),1)," ",INDEX('Car Data'!$A$2:$E$403,MATCH(1,('Car Data'!$I$2:$I$403=W51)*('Car Data'!$C$2:$C$403=A51),0),2))</f>
        <v>Lotus Type 78 Cosworth</v>
      </c>
      <c r="W51" s="11">
        <f>MINIFS('Car Data'!$I$2:$I$403,'Car Data'!$C$2:$C$403,A51)</f>
        <v>0.376</v>
      </c>
      <c r="X51" s="11">
        <f>ROUND(AVERAGEIFS('Car Data'!$I$2:$I$403,'Car Data'!$C$2:$C$403,A51),2)</f>
        <v>0.38</v>
      </c>
      <c r="Y51" s="11" t="str">
        <f>IFERROR(__xludf.DUMMYFUNCTION("ROUND(STDEV(FILTER('Car Data'!$I$2:$I$403,'Car Data'!$C$2:$C$403=A51)),2)"),"#DIV/0!")</f>
        <v>#DIV/0!</v>
      </c>
    </row>
    <row r="52">
      <c r="A52" s="3" t="s">
        <v>263</v>
      </c>
      <c r="B52" s="8" t="str">
        <f t="array" ref="B52">CONCATENATE(INDEX('Car Data'!$A$2:$E$403,MATCH(1,('Car Data'!$D$2:$D$403=C52)*('Car Data'!$C$2:$C$403=A52),0),1)," ",INDEX('Car Data'!$A$2:$E$403,MATCH(1,('Car Data'!$D$2:$D$403=C52)*('Car Data'!$C$2:$C$403=A52),0),2))</f>
        <v>Lotus Type 49C Cosworth</v>
      </c>
      <c r="C52" s="8">
        <f>MAXIFS('Car Data'!$D$2:$D$403,'Car Data'!$C$2:$C$403,A52)</f>
        <v>189</v>
      </c>
      <c r="D52" s="8" t="str">
        <f t="array" ref="D52">CONCATENATE(INDEX('Car Data'!$A$2:$E$403,MATCH(1,('Car Data'!$D$2:$D$403=E52)*('Car Data'!$C$2:$C$403=A52),0),1)," ",INDEX('Car Data'!$A$2:$E$403,MATCH(1,('Car Data'!$D$2:$D$403=E52)*('Car Data'!$C$2:$C$403=A52),0),2))</f>
        <v>Lotus Type 72D Cosworth</v>
      </c>
      <c r="E52" s="8">
        <f>MINIFS('Car Data'!$D$2:$D$403,'Car Data'!$C$2:$C$403,A52)</f>
        <v>174</v>
      </c>
      <c r="F52" s="8">
        <f>ROUND(AVERAGEIFS('Car Data'!$D$2:$D$403,'Car Data'!$C$2:$C$403,A52),2)</f>
        <v>180.67</v>
      </c>
      <c r="G52" s="8">
        <f>IFERROR(__xludf.DUMMYFUNCTION("ROUND(STDEV(FILTER('Car Data'!$D$2:$D$403,'Car Data'!$C$2:$C$403=A52)),2)"),7.64)</f>
        <v>7.64</v>
      </c>
      <c r="H52" s="8" t="str">
        <f t="array" ref="H52">CONCATENATE(INDEX('Car Data'!$A$2:$E$403,MATCH(1,('Car Data'!$F$2:$F$403=I52)*('Car Data'!$C$2:$C$403=A52),0),1)," ",INDEX('Car Data'!$A$2:$E$403,MATCH(1,('Car Data'!$F$2:$F$403=I52)*('Car Data'!$C$2:$C$403=A52),0),2))</f>
        <v>Lotus Type 72D Cosworth</v>
      </c>
      <c r="I52" s="8">
        <f>MAXIFS('Car Data'!$F$2:$F$403,'Car Data'!$C$2:$C$403,A52)</f>
        <v>473</v>
      </c>
      <c r="J52" s="8" t="str">
        <f t="array" ref="J52">CONCATENATE(INDEX('Car Data'!$A$2:$E$403,MATCH(1,('Car Data'!$F$2:$F$403=K52)*('Car Data'!$C$2:$C$403=A52),0),1)," ",INDEX('Car Data'!$A$2:$E$403,MATCH(1,('Car Data'!$F$2:$F$403=K52)*('Car Data'!$C$2:$C$403=A52),0),2))</f>
        <v>Lotus Type 49 Cosworth</v>
      </c>
      <c r="K52" s="8">
        <f>MINIFS('Car Data'!$F$2:$F$403,'Car Data'!$C$2:$C$403,A52)</f>
        <v>409</v>
      </c>
      <c r="L52" s="8">
        <f>ROUND(AVERAGEIFS('Car Data'!$F$2:$F$403,'Car Data'!$C$2:$C$403,A52),2)</f>
        <v>438.67</v>
      </c>
      <c r="M52" s="8">
        <f>IFERROR(__xludf.DUMMYFUNCTION("ROUND(STDEV(FILTER('Car Data'!$F$2:$F$403,'Car Data'!$C$2:$C$403=A52)),2)"),32.25)</f>
        <v>32.25</v>
      </c>
      <c r="N52" s="8" t="str">
        <f t="array" ref="N52">CONCATENATE(INDEX('Car Data'!$A$2:$E$403,MATCH(1,('Car Data'!$G$2:$G$403=O52)*('Car Data'!$C$2:$C$403=A52),0),1)," ",INDEX('Car Data'!$A$2:$E$403,MATCH(1,('Car Data'!$G$2:$G$403=O52)*('Car Data'!$C$2:$C$403=A52),0),2))</f>
        <v>Lotus Type 49C Cosworth</v>
      </c>
      <c r="O52" s="14">
        <f>MAXIFS('Car Data'!$G$2:$G$403,'Car Data'!$C$2:$C$403,A52)</f>
        <v>15.6</v>
      </c>
      <c r="P52" s="14" t="str">
        <f t="array" ref="P52">CONCATENATE(INDEX('Car Data'!$A$2:$E$403,MATCH(1,('Car Data'!$G$2:$G$403=Q52)*('Car Data'!$C$2:$C$403=A52),0),1)," ",INDEX('Car Data'!$A$2:$E$403,MATCH(1,('Car Data'!$G$2:$G$403=Q52)*('Car Data'!$C$2:$C$403=A52),0),2))</f>
        <v>Lotus Type 72D Cosworth</v>
      </c>
      <c r="Q52" s="8">
        <f>MINIFS('Car Data'!$G$2:$G$403,'Car Data'!$C$2:$C$403,A52)</f>
        <v>11.1</v>
      </c>
      <c r="R52" s="8">
        <f>ROUND(AVERAGEIFS('Car Data'!$G$2:$G$403,'Car Data'!$C$2:$C$403,A52),2)</f>
        <v>13.57</v>
      </c>
      <c r="S52" s="8">
        <f>IFERROR(__xludf.DUMMYFUNCTION("ROUND(STDEV(FILTER('Car Data'!$G$2:$G$403,'Car Data'!$C$2:$C$403=A52)),2)"),2.28)</f>
        <v>2.28</v>
      </c>
      <c r="T52" s="8" t="str">
        <f t="array" ref="T52">CONCATENATE(INDEX('Car Data'!$A$2:$E$403,MATCH(1,('Car Data'!$I$2:$I$403=U52)*('Car Data'!$C$2:$C$403=A52),0),1)," ",INDEX('Car Data'!$A$2:$E$403,MATCH(1,('Car Data'!$I$2:$I$403=U52)*('Car Data'!$C$2:$C$403=A52),0),2))</f>
        <v>Lotus Type 72D Cosworth</v>
      </c>
      <c r="U52" s="8">
        <f>MAXIFS('Car Data'!$I$2:$I$403,'Car Data'!$C$2:$C$403,A52)</f>
        <v>0.373</v>
      </c>
      <c r="V52" s="8" t="str">
        <f t="array" ref="V52">CONCATENATE(INDEX('Car Data'!$A$2:$E$403,MATCH(1,('Car Data'!$I$2:$I$403=W52)*('Car Data'!$C$2:$C$403=A52),0),1)," ",INDEX('Car Data'!$A$2:$E$403,MATCH(1,('Car Data'!$I$2:$I$403=W52)*('Car Data'!$C$2:$C$403=A52),0),2))</f>
        <v>Lotus Type 49 Cosworth</v>
      </c>
      <c r="W52" s="8">
        <f>MINIFS('Car Data'!$I$2:$I$403,'Car Data'!$C$2:$C$403,A52)</f>
        <v>0.329</v>
      </c>
      <c r="X52" s="8">
        <f>ROUND(AVERAGEIFS('Car Data'!$I$2:$I$403,'Car Data'!$C$2:$C$403,A52),2)</f>
        <v>0.35</v>
      </c>
      <c r="Y52" s="8">
        <f>IFERROR(__xludf.DUMMYFUNCTION("ROUND(STDEV(FILTER('Car Data'!$I$2:$I$403,'Car Data'!$C$2:$C$403=A52)),2)"),0.02)</f>
        <v>0.02</v>
      </c>
    </row>
    <row r="53">
      <c r="A53" s="6" t="s">
        <v>424</v>
      </c>
      <c r="B53" s="11" t="str">
        <f t="array" ref="B53">CONCATENATE(INDEX('Car Data'!$A$2:$E$403,MATCH(1,('Car Data'!$D$2:$D$403=C53)*('Car Data'!$C$2:$C$403=A53),0),1)," ",INDEX('Car Data'!$A$2:$E$403,MATCH(1,('Car Data'!$D$2:$D$403=C53)*('Car Data'!$C$2:$C$403=A53),0),2))</f>
        <v>Lotus Type 38 Ford</v>
      </c>
      <c r="C53" s="11">
        <f>MAXIFS('Car Data'!$D$2:$D$403,'Car Data'!$C$2:$C$403,A53)</f>
        <v>196</v>
      </c>
      <c r="D53" s="11" t="str">
        <f t="array" ref="D53">CONCATENATE(INDEX('Car Data'!$A$2:$E$403,MATCH(1,('Car Data'!$D$2:$D$403=E53)*('Car Data'!$C$2:$C$403=A53),0),1)," ",INDEX('Car Data'!$A$2:$E$403,MATCH(1,('Car Data'!$D$2:$D$403=E53)*('Car Data'!$C$2:$C$403=A53),0),2))</f>
        <v>Lotus Type 25 Climax</v>
      </c>
      <c r="E53" s="11">
        <f>MINIFS('Car Data'!$D$2:$D$403,'Car Data'!$C$2:$C$403,A53)</f>
        <v>154</v>
      </c>
      <c r="F53" s="11">
        <f>ROUND(AVERAGEIFS('Car Data'!$D$2:$D$403,'Car Data'!$C$2:$C$403,A53),2)</f>
        <v>175</v>
      </c>
      <c r="G53" s="11">
        <f>IFERROR(__xludf.DUMMYFUNCTION("ROUND(STDEV(FILTER('Car Data'!$D$2:$D$403,'Car Data'!$C$2:$C$403=A53)),2)"),29.7)</f>
        <v>29.7</v>
      </c>
      <c r="H53" s="11" t="str">
        <f t="array" ref="H53">CONCATENATE(INDEX('Car Data'!$A$2:$E$403,MATCH(1,('Car Data'!$F$2:$F$403=I53)*('Car Data'!$C$2:$C$403=A53),0),1)," ",INDEX('Car Data'!$A$2:$E$403,MATCH(1,('Car Data'!$F$2:$F$403=I53)*('Car Data'!$C$2:$C$403=A53),0),2))</f>
        <v>Lotus Type 38 Ford</v>
      </c>
      <c r="I53" s="11">
        <f>MAXIFS('Car Data'!$F$2:$F$403,'Car Data'!$C$2:$C$403,A53)</f>
        <v>496</v>
      </c>
      <c r="J53" s="11" t="str">
        <f t="array" ref="J53">CONCATENATE(INDEX('Car Data'!$A$2:$E$403,MATCH(1,('Car Data'!$F$2:$F$403=K53)*('Car Data'!$C$2:$C$403=A53),0),1)," ",INDEX('Car Data'!$A$2:$E$403,MATCH(1,('Car Data'!$F$2:$F$403=K53)*('Car Data'!$C$2:$C$403=A53),0),2))</f>
        <v>Lotus Type 25 Climax</v>
      </c>
      <c r="K53" s="11">
        <f>MINIFS('Car Data'!$F$2:$F$403,'Car Data'!$C$2:$C$403,A53)</f>
        <v>198</v>
      </c>
      <c r="L53" s="11">
        <f>ROUND(AVERAGEIFS('Car Data'!$F$2:$F$403,'Car Data'!$C$2:$C$403,A53),2)</f>
        <v>347</v>
      </c>
      <c r="M53" s="11">
        <f>IFERROR(__xludf.DUMMYFUNCTION("ROUND(STDEV(FILTER('Car Data'!$F$2:$F$403,'Car Data'!$C$2:$C$403=A53)),2)"),210.72)</f>
        <v>210.72</v>
      </c>
      <c r="N53" s="11" t="str">
        <f t="array" ref="N53">CONCATENATE(INDEX('Car Data'!$A$2:$E$403,MATCH(1,('Car Data'!$G$2:$G$403=O53)*('Car Data'!$C$2:$C$403=A53),0),1)," ",INDEX('Car Data'!$A$2:$E$403,MATCH(1,('Car Data'!$G$2:$G$403=O53)*('Car Data'!$C$2:$C$403=A53),0),2))</f>
        <v>Lotus Type 25 Climax</v>
      </c>
      <c r="O53" s="15">
        <f>MAXIFS('Car Data'!$G$2:$G$403,'Car Data'!$C$2:$C$403,A53)</f>
        <v>18.4</v>
      </c>
      <c r="P53" s="15" t="str">
        <f t="array" ref="P53">CONCATENATE(INDEX('Car Data'!$A$2:$E$403,MATCH(1,('Car Data'!$G$2:$G$403=Q53)*('Car Data'!$C$2:$C$403=A53),0),1)," ",INDEX('Car Data'!$A$2:$E$403,MATCH(1,('Car Data'!$G$2:$G$403=Q53)*('Car Data'!$C$2:$C$403=A53),0),2))</f>
        <v>Lotus Type 38 Ford</v>
      </c>
      <c r="Q53" s="11">
        <f>MINIFS('Car Data'!$G$2:$G$403,'Car Data'!$C$2:$C$403,A53)</f>
        <v>15.2</v>
      </c>
      <c r="R53" s="11">
        <f>ROUND(AVERAGEIFS('Car Data'!$G$2:$G$403,'Car Data'!$C$2:$C$403,A53),2)</f>
        <v>16.8</v>
      </c>
      <c r="S53" s="11">
        <f>IFERROR(__xludf.DUMMYFUNCTION("ROUND(STDEV(FILTER('Car Data'!$G$2:$G$403,'Car Data'!$C$2:$C$403=A53)),2)"),2.26)</f>
        <v>2.26</v>
      </c>
      <c r="T53" s="11" t="str">
        <f t="array" ref="T53">CONCATENATE(INDEX('Car Data'!$A$2:$E$403,MATCH(1,('Car Data'!$I$2:$I$403=U53)*('Car Data'!$C$2:$C$403=A53),0),1)," ",INDEX('Car Data'!$A$2:$E$403,MATCH(1,('Car Data'!$I$2:$I$403=U53)*('Car Data'!$C$2:$C$403=A53),0),2))</f>
        <v>Lotus Type 38 Ford</v>
      </c>
      <c r="U53" s="11">
        <f>MAXIFS('Car Data'!$I$2:$I$403,'Car Data'!$C$2:$C$403,A53)</f>
        <v>0.368</v>
      </c>
      <c r="V53" s="11" t="str">
        <f t="array" ref="V53">CONCATENATE(INDEX('Car Data'!$A$2:$E$403,MATCH(1,('Car Data'!$I$2:$I$403=W53)*('Car Data'!$C$2:$C$403=A53),0),1)," ",INDEX('Car Data'!$A$2:$E$403,MATCH(1,('Car Data'!$I$2:$I$403=W53)*('Car Data'!$C$2:$C$403=A53),0),2))</f>
        <v>Lotus Type 25 Climax</v>
      </c>
      <c r="W53" s="11">
        <f>MINIFS('Car Data'!$I$2:$I$403,'Car Data'!$C$2:$C$403,A53)</f>
        <v>0.199</v>
      </c>
      <c r="X53" s="11">
        <f>ROUND(AVERAGEIFS('Car Data'!$I$2:$I$403,'Car Data'!$C$2:$C$403,A53),2)</f>
        <v>0.28</v>
      </c>
      <c r="Y53" s="11">
        <f>IFERROR(__xludf.DUMMYFUNCTION("ROUND(STDEV(FILTER('Car Data'!$I$2:$I$403,'Car Data'!$C$2:$C$403=A53)),2)"),0.12)</f>
        <v>0.12</v>
      </c>
    </row>
    <row r="54">
      <c r="A54" s="3" t="s">
        <v>532</v>
      </c>
      <c r="B54" s="8" t="str">
        <f t="array" ref="B54">CONCATENATE(INDEX('Car Data'!$A$2:$E$403,MATCH(1,('Car Data'!$D$2:$D$403=C54)*('Car Data'!$C$2:$C$403=A54),0),1)," ",INDEX('Car Data'!$A$2:$E$403,MATCH(1,('Car Data'!$D$2:$D$403=C54)*('Car Data'!$C$2:$C$403=A54),0),2))</f>
        <v>Jaguar E-Type V12 Group44</v>
      </c>
      <c r="C54" s="8">
        <f>MAXIFS('Car Data'!$D$2:$D$403,'Car Data'!$C$2:$C$403,A54)</f>
        <v>184</v>
      </c>
      <c r="D54" s="8" t="str">
        <f t="array" ref="D54">CONCATENATE(INDEX('Car Data'!$A$2:$E$403,MATCH(1,('Car Data'!$D$2:$D$403=E54)*('Car Data'!$C$2:$C$403=A54),0),1)," ",INDEX('Car Data'!$A$2:$E$403,MATCH(1,('Car Data'!$D$2:$D$403=E54)*('Car Data'!$C$2:$C$403=A54),0),2))</f>
        <v>Porsche 911 Carrera RSR 2.8</v>
      </c>
      <c r="E54" s="8">
        <f>MINIFS('Car Data'!$D$2:$D$403,'Car Data'!$C$2:$C$403,A54)</f>
        <v>158</v>
      </c>
      <c r="F54" s="8">
        <f>ROUND(AVERAGEIFS('Car Data'!$D$2:$D$403,'Car Data'!$C$2:$C$403,A54),2)</f>
        <v>172.6</v>
      </c>
      <c r="G54" s="8">
        <f>IFERROR(__xludf.DUMMYFUNCTION("ROUND(STDEV(FILTER('Car Data'!$D$2:$D$403,'Car Data'!$C$2:$C$403=A54)),2)"),9.56)</f>
        <v>9.56</v>
      </c>
      <c r="H54" s="8" t="str">
        <f t="array" ref="H54">CONCATENATE(INDEX('Car Data'!$A$2:$E$403,MATCH(1,('Car Data'!$F$2:$F$403=I54)*('Car Data'!$C$2:$C$403=A54),0),1)," ",INDEX('Car Data'!$A$2:$E$403,MATCH(1,('Car Data'!$F$2:$F$403=I54)*('Car Data'!$C$2:$C$403=A54),0),2))</f>
        <v>Jaguar E-Type V12 Group44</v>
      </c>
      <c r="I54" s="8">
        <f>MAXIFS('Car Data'!$F$2:$F$403,'Car Data'!$C$2:$C$403,A54)</f>
        <v>460</v>
      </c>
      <c r="J54" s="8" t="str">
        <f t="array" ref="J54">CONCATENATE(INDEX('Car Data'!$A$2:$E$403,MATCH(1,('Car Data'!$F$2:$F$403=K54)*('Car Data'!$C$2:$C$403=A54),0),1)," ",INDEX('Car Data'!$A$2:$E$403,MATCH(1,('Car Data'!$F$2:$F$403=K54)*('Car Data'!$C$2:$C$403=A54),0),2))</f>
        <v>Porsche 911 Carrera RSR 2.8</v>
      </c>
      <c r="K54" s="8">
        <f>MINIFS('Car Data'!$F$2:$F$403,'Car Data'!$C$2:$C$403,A54)</f>
        <v>310</v>
      </c>
      <c r="L54" s="8">
        <f>ROUND(AVERAGEIFS('Car Data'!$F$2:$F$403,'Car Data'!$C$2:$C$403,A54),2)</f>
        <v>396.4</v>
      </c>
      <c r="M54" s="8">
        <f>IFERROR(__xludf.DUMMYFUNCTION("ROUND(STDEV(FILTER('Car Data'!$F$2:$F$403,'Car Data'!$C$2:$C$403=A54)),2)"),54.35)</f>
        <v>54.35</v>
      </c>
      <c r="N54" s="8" t="str">
        <f t="array" ref="N54">CONCATENATE(INDEX('Car Data'!$A$2:$E$403,MATCH(1,('Car Data'!$G$2:$G$403=O54)*('Car Data'!$C$2:$C$403=A54),0),1)," ",INDEX('Car Data'!$A$2:$E$403,MATCH(1,('Car Data'!$G$2:$G$403=O54)*('Car Data'!$C$2:$C$403=A54),0),2))</f>
        <v>Ferrari 365 GTB4 Competizione</v>
      </c>
      <c r="O54" s="14">
        <f>MAXIFS('Car Data'!$G$2:$G$403,'Car Data'!$C$2:$C$403,A54)</f>
        <v>13.8</v>
      </c>
      <c r="P54" s="14" t="str">
        <f t="array" ref="P54">CONCATENATE(INDEX('Car Data'!$A$2:$E$403,MATCH(1,('Car Data'!$G$2:$G$403=Q54)*('Car Data'!$C$2:$C$403=A54),0),1)," ",INDEX('Car Data'!$A$2:$E$403,MATCH(1,('Car Data'!$G$2:$G$403=Q54)*('Car Data'!$C$2:$C$403=A54),0),2))</f>
        <v>Chevrolet Camaro Z/28 '69 TransAm</v>
      </c>
      <c r="Q54" s="8">
        <f>MINIFS('Car Data'!$G$2:$G$403,'Car Data'!$C$2:$C$403,A54)</f>
        <v>12.5</v>
      </c>
      <c r="R54" s="8">
        <f>ROUND(AVERAGEIFS('Car Data'!$G$2:$G$403,'Car Data'!$C$2:$C$403,A54),2)</f>
        <v>13.02</v>
      </c>
      <c r="S54" s="8">
        <f>IFERROR(__xludf.DUMMYFUNCTION("ROUND(STDEV(FILTER('Car Data'!$G$2:$G$403,'Car Data'!$C$2:$C$403=A54)),2)"),0.59)</f>
        <v>0.59</v>
      </c>
      <c r="T54" s="8" t="str">
        <f t="array" ref="T54">CONCATENATE(INDEX('Car Data'!$A$2:$E$403,MATCH(1,('Car Data'!$I$2:$I$403=U54)*('Car Data'!$C$2:$C$403=A54),0),1)," ",INDEX('Car Data'!$A$2:$E$403,MATCH(1,('Car Data'!$I$2:$I$403=U54)*('Car Data'!$C$2:$C$403=A54),0),2))</f>
        <v>Jaguar E-Type V12 Group44</v>
      </c>
      <c r="U54" s="8">
        <f>MAXIFS('Car Data'!$I$2:$I$403,'Car Data'!$C$2:$C$403,A54)</f>
        <v>0.172</v>
      </c>
      <c r="V54" s="8" t="str">
        <f t="array" ref="V54">CONCATENATE(INDEX('Car Data'!$A$2:$E$403,MATCH(1,('Car Data'!$I$2:$I$403=W54)*('Car Data'!$C$2:$C$403=A54),0),1)," ",INDEX('Car Data'!$A$2:$E$403,MATCH(1,('Car Data'!$I$2:$I$403=W54)*('Car Data'!$C$2:$C$403=A54),0),2))</f>
        <v>Ford Mustang '66 RTR TransAm</v>
      </c>
      <c r="W54" s="8">
        <f>MINIFS('Car Data'!$I$2:$I$403,'Car Data'!$C$2:$C$403,A54)</f>
        <v>0.14</v>
      </c>
      <c r="X54" s="8">
        <f>ROUND(AVERAGEIFS('Car Data'!$I$2:$I$403,'Car Data'!$C$2:$C$403,A54),2)</f>
        <v>0.15</v>
      </c>
      <c r="Y54" s="8">
        <f>IFERROR(__xludf.DUMMYFUNCTION("ROUND(STDEV(FILTER('Car Data'!$I$2:$I$403,'Car Data'!$C$2:$C$403=A54)),2)"),0.01)</f>
        <v>0.01</v>
      </c>
    </row>
    <row r="55">
      <c r="A55" s="6" t="s">
        <v>572</v>
      </c>
      <c r="B55" s="11" t="str">
        <f t="array" ref="B55">CONCATENATE(INDEX('Car Data'!$A$2:$E$403,MATCH(1,('Car Data'!$D$2:$D$403=C55)*('Car Data'!$C$2:$C$403=A55),0),1)," ",INDEX('Car Data'!$A$2:$E$403,MATCH(1,('Car Data'!$D$2:$D$403=C55)*('Car Data'!$C$2:$C$403=A55),0),2))</f>
        <v>Mercedes-Benz 300 SEL 6.8 AMG</v>
      </c>
      <c r="C55" s="11">
        <f>MAXIFS('Car Data'!$D$2:$D$403,'Car Data'!$C$2:$C$403,A55)</f>
        <v>173</v>
      </c>
      <c r="D55" s="11" t="str">
        <f t="array" ref="D55">CONCATENATE(INDEX('Car Data'!$A$2:$E$403,MATCH(1,('Car Data'!$D$2:$D$403=E55)*('Car Data'!$C$2:$C$403=A55),0),1)," ",INDEX('Car Data'!$A$2:$E$403,MATCH(1,('Car Data'!$D$2:$D$403=E55)*('Car Data'!$C$2:$C$403=A55),0),2))</f>
        <v>Ford Escort RS1600 (Racing)</v>
      </c>
      <c r="E55" s="11">
        <f>MINIFS('Car Data'!$D$2:$D$403,'Car Data'!$C$2:$C$403,A55)</f>
        <v>145</v>
      </c>
      <c r="F55" s="11">
        <f>ROUND(AVERAGEIFS('Car Data'!$D$2:$D$403,'Car Data'!$C$2:$C$403,A55),2)</f>
        <v>155.67</v>
      </c>
      <c r="G55" s="11">
        <f>IFERROR(__xludf.DUMMYFUNCTION("ROUND(STDEV(FILTER('Car Data'!$D$2:$D$403,'Car Data'!$C$2:$C$403=A55)),2)"),15.14)</f>
        <v>15.14</v>
      </c>
      <c r="H55" s="11" t="str">
        <f t="array" ref="H55">CONCATENATE(INDEX('Car Data'!$A$2:$E$403,MATCH(1,('Car Data'!$F$2:$F$403=I55)*('Car Data'!$C$2:$C$403=A55),0),1)," ",INDEX('Car Data'!$A$2:$E$403,MATCH(1,('Car Data'!$F$2:$F$403=I55)*('Car Data'!$C$2:$C$403=A55),0),2))</f>
        <v>Mercedes-Benz 300 SEL 6.8 AMG</v>
      </c>
      <c r="I55" s="11">
        <f>MAXIFS('Car Data'!$F$2:$F$403,'Car Data'!$C$2:$C$403,A55)</f>
        <v>423</v>
      </c>
      <c r="J55" s="11" t="str">
        <f t="array" ref="J55">CONCATENATE(INDEX('Car Data'!$A$2:$E$403,MATCH(1,('Car Data'!$F$2:$F$403=K55)*('Car Data'!$C$2:$C$403=A55),0),1)," ",INDEX('Car Data'!$A$2:$E$403,MATCH(1,('Car Data'!$F$2:$F$403=K55)*('Car Data'!$C$2:$C$403=A55),0),2))</f>
        <v>Ford Escort RS1600 (Racing)</v>
      </c>
      <c r="K55" s="11">
        <f>MINIFS('Car Data'!$F$2:$F$403,'Car Data'!$C$2:$C$403,A55)</f>
        <v>190</v>
      </c>
      <c r="L55" s="11">
        <f>ROUND(AVERAGEIFS('Car Data'!$F$2:$F$403,'Car Data'!$C$2:$C$403,A55),2)</f>
        <v>294</v>
      </c>
      <c r="M55" s="11">
        <f>IFERROR(__xludf.DUMMYFUNCTION("ROUND(STDEV(FILTER('Car Data'!$F$2:$F$403,'Car Data'!$C$2:$C$403=A55)),2)"),118.49)</f>
        <v>118.49</v>
      </c>
      <c r="N55" s="11" t="str">
        <f t="array" ref="N55">CONCATENATE(INDEX('Car Data'!$A$2:$E$403,MATCH(1,('Car Data'!$G$2:$G$403=O55)*('Car Data'!$C$2:$C$403=A55),0),1)," ",INDEX('Car Data'!$A$2:$E$403,MATCH(1,('Car Data'!$G$2:$G$403=O55)*('Car Data'!$C$2:$C$403=A55),0),2))</f>
        <v>Ford Escort RS1600 (Racing)</v>
      </c>
      <c r="O55" s="15">
        <f>MAXIFS('Car Data'!$G$2:$G$403,'Car Data'!$C$2:$C$403,A55)</f>
        <v>16</v>
      </c>
      <c r="P55" s="15" t="str">
        <f t="array" ref="P55">CONCATENATE(INDEX('Car Data'!$A$2:$E$403,MATCH(1,('Car Data'!$G$2:$G$403=Q55)*('Car Data'!$C$2:$C$403=A55),0),1)," ",INDEX('Car Data'!$A$2:$E$403,MATCH(1,('Car Data'!$G$2:$G$403=Q55)*('Car Data'!$C$2:$C$403=A55),0),2))</f>
        <v>Mercedes-Benz 300 SEL 6.8 AMG</v>
      </c>
      <c r="Q55" s="11">
        <f>MINIFS('Car Data'!$G$2:$G$403,'Car Data'!$C$2:$C$403,A55)</f>
        <v>12.2</v>
      </c>
      <c r="R55" s="11">
        <f>ROUND(AVERAGEIFS('Car Data'!$G$2:$G$403,'Car Data'!$C$2:$C$403,A55),2)</f>
        <v>13.5</v>
      </c>
      <c r="S55" s="11">
        <f>IFERROR(__xludf.DUMMYFUNCTION("ROUND(STDEV(FILTER('Car Data'!$G$2:$G$403,'Car Data'!$C$2:$C$403=A55)),2)"),2.17)</f>
        <v>2.17</v>
      </c>
      <c r="T55" s="11" t="str">
        <f t="array" ref="T55">CONCATENATE(INDEX('Car Data'!$A$2:$E$403,MATCH(1,('Car Data'!$I$2:$I$403=U55)*('Car Data'!$C$2:$C$403=A55),0),1)," ",INDEX('Car Data'!$A$2:$E$403,MATCH(1,('Car Data'!$I$2:$I$403=U55)*('Car Data'!$C$2:$C$403=A55),0),2))</f>
        <v>Mercedes-Benz 300 SEL 6.8 AMG</v>
      </c>
      <c r="U55" s="11">
        <f>MAXIFS('Car Data'!$I$2:$I$403,'Car Data'!$C$2:$C$403,A55)</f>
        <v>0.123</v>
      </c>
      <c r="V55" s="11" t="str">
        <f t="array" ref="V55">CONCATENATE(INDEX('Car Data'!$A$2:$E$403,MATCH(1,('Car Data'!$I$2:$I$403=W55)*('Car Data'!$C$2:$C$403=A55),0),1)," ",INDEX('Car Data'!$A$2:$E$403,MATCH(1,('Car Data'!$I$2:$I$403=W55)*('Car Data'!$C$2:$C$403=A55),0),2))</f>
        <v>Ford Escort RS1600 (Racing)</v>
      </c>
      <c r="W55" s="11">
        <f>MINIFS('Car Data'!$I$2:$I$403,'Car Data'!$C$2:$C$403,A55)</f>
        <v>0.113</v>
      </c>
      <c r="X55" s="11">
        <f>ROUND(AVERAGEIFS('Car Data'!$I$2:$I$403,'Car Data'!$C$2:$C$403,A55),2)</f>
        <v>0.12</v>
      </c>
      <c r="Y55" s="11">
        <f>IFERROR(__xludf.DUMMYFUNCTION("ROUND(STDEV(FILTER('Car Data'!$I$2:$I$403,'Car Data'!$C$2:$C$403=A55)),2)"),0.01)</f>
        <v>0.01</v>
      </c>
    </row>
    <row r="56">
      <c r="A56" s="3" t="s">
        <v>584</v>
      </c>
      <c r="B56" s="8" t="str">
        <f t="array" ref="B56">CONCATENATE(INDEX('Car Data'!$A$2:$E$403,MATCH(1,('Car Data'!$D$2:$D$403=C56)*('Car Data'!$C$2:$C$403=A56),0),1)," ",INDEX('Car Data'!$A$2:$E$403,MATCH(1,('Car Data'!$D$2:$D$403=C56)*('Car Data'!$C$2:$C$403=A56),0),2))</f>
        <v>Ferrari 250 GT Berlinetta</v>
      </c>
      <c r="C56" s="8">
        <f>MAXIFS('Car Data'!$D$2:$D$403,'Car Data'!$C$2:$C$403,A56)</f>
        <v>165</v>
      </c>
      <c r="D56" s="8" t="str">
        <f t="array" ref="D56">CONCATENATE(INDEX('Car Data'!$A$2:$E$403,MATCH(1,('Car Data'!$D$2:$D$403=E56)*('Car Data'!$C$2:$C$403=A56),0),1)," ",INDEX('Car Data'!$A$2:$E$403,MATCH(1,('Car Data'!$D$2:$D$403=E56)*('Car Data'!$C$2:$C$403=A56),0),2))</f>
        <v>Aston Martin DBR1/300</v>
      </c>
      <c r="E56" s="8">
        <f>MINIFS('Car Data'!$D$2:$D$403,'Car Data'!$C$2:$C$403,A56)</f>
        <v>164</v>
      </c>
      <c r="F56" s="8">
        <f>ROUND(AVERAGEIFS('Car Data'!$D$2:$D$403,'Car Data'!$C$2:$C$403,A56),2)</f>
        <v>164.33</v>
      </c>
      <c r="G56" s="8">
        <f>IFERROR(__xludf.DUMMYFUNCTION("ROUND(STDEV(FILTER('Car Data'!$D$2:$D$403,'Car Data'!$C$2:$C$403=A56)),2)"),0.58)</f>
        <v>0.58</v>
      </c>
      <c r="H56" s="8" t="str">
        <f t="array" ref="H56">CONCATENATE(INDEX('Car Data'!$A$2:$E$403,MATCH(1,('Car Data'!$F$2:$F$403=I56)*('Car Data'!$C$2:$C$403=A56),0),1)," ",INDEX('Car Data'!$A$2:$E$403,MATCH(1,('Car Data'!$F$2:$F$403=I56)*('Car Data'!$C$2:$C$403=A56),0),2))</f>
        <v>Ferrari 250 Testa Rossa</v>
      </c>
      <c r="I56" s="8">
        <f>MAXIFS('Car Data'!$F$2:$F$403,'Car Data'!$C$2:$C$403,A56)</f>
        <v>290</v>
      </c>
      <c r="J56" s="8" t="str">
        <f t="array" ref="J56">CONCATENATE(INDEX('Car Data'!$A$2:$E$403,MATCH(1,('Car Data'!$F$2:$F$403=K56)*('Car Data'!$C$2:$C$403=A56),0),1)," ",INDEX('Car Data'!$A$2:$E$403,MATCH(1,('Car Data'!$F$2:$F$403=K56)*('Car Data'!$C$2:$C$403=A56),0),2))</f>
        <v>Aston Martin DBR1/300</v>
      </c>
      <c r="K56" s="8">
        <f>MINIFS('Car Data'!$F$2:$F$403,'Car Data'!$C$2:$C$403,A56)</f>
        <v>252</v>
      </c>
      <c r="L56" s="8">
        <f>ROUND(AVERAGEIFS('Car Data'!$F$2:$F$403,'Car Data'!$C$2:$C$403,A56),2)</f>
        <v>267.33</v>
      </c>
      <c r="M56" s="8">
        <f>IFERROR(__xludf.DUMMYFUNCTION("ROUND(STDEV(FILTER('Car Data'!$F$2:$F$403,'Car Data'!$C$2:$C$403=A56)),2)"),20.03)</f>
        <v>20.03</v>
      </c>
      <c r="N56" s="8" t="str">
        <f t="array" ref="N56">CONCATENATE(INDEX('Car Data'!$A$2:$E$403,MATCH(1,('Car Data'!$G$2:$G$403=O56)*('Car Data'!$C$2:$C$403=A56),0),1)," ",INDEX('Car Data'!$A$2:$E$403,MATCH(1,('Car Data'!$G$2:$G$403=O56)*('Car Data'!$C$2:$C$403=A56),0),2))</f>
        <v>Aston Martin DBR1/300</v>
      </c>
      <c r="O56" s="14">
        <f>MAXIFS('Car Data'!$G$2:$G$403,'Car Data'!$C$2:$C$403,A56)</f>
        <v>17.5</v>
      </c>
      <c r="P56" s="14" t="str">
        <f t="array" ref="P56">CONCATENATE(INDEX('Car Data'!$A$2:$E$403,MATCH(1,('Car Data'!$G$2:$G$403=Q56)*('Car Data'!$C$2:$C$403=A56),0),1)," ",INDEX('Car Data'!$A$2:$E$403,MATCH(1,('Car Data'!$G$2:$G$403=Q56)*('Car Data'!$C$2:$C$403=A56),0),2))</f>
        <v>Ferrari 250 Testa Rossa</v>
      </c>
      <c r="Q56" s="8">
        <f>MINIFS('Car Data'!$G$2:$G$403,'Car Data'!$C$2:$C$403,A56)</f>
        <v>15.2</v>
      </c>
      <c r="R56" s="8">
        <f>ROUND(AVERAGEIFS('Car Data'!$G$2:$G$403,'Car Data'!$C$2:$C$403,A56),2)</f>
        <v>16.67</v>
      </c>
      <c r="S56" s="8">
        <f>IFERROR(__xludf.DUMMYFUNCTION("ROUND(STDEV(FILTER('Car Data'!$G$2:$G$403,'Car Data'!$C$2:$C$403=A56)),2)"),1.27)</f>
        <v>1.27</v>
      </c>
      <c r="T56" s="8" t="str">
        <f t="array" ref="T56">CONCATENATE(INDEX('Car Data'!$A$2:$E$403,MATCH(1,('Car Data'!$I$2:$I$403=U56)*('Car Data'!$C$2:$C$403=A56),0),1)," ",INDEX('Car Data'!$A$2:$E$403,MATCH(1,('Car Data'!$I$2:$I$403=U56)*('Car Data'!$C$2:$C$403=A56),0),2))</f>
        <v>Ferrari 250 Testa Rossa</v>
      </c>
      <c r="U56" s="8">
        <f>MAXIFS('Car Data'!$I$2:$I$403,'Car Data'!$C$2:$C$403,A56)</f>
        <v>0.148</v>
      </c>
      <c r="V56" s="8" t="str">
        <f t="array" ref="V56">CONCATENATE(INDEX('Car Data'!$A$2:$E$403,MATCH(1,('Car Data'!$I$2:$I$403=W56)*('Car Data'!$C$2:$C$403=A56),0),1)," ",INDEX('Car Data'!$A$2:$E$403,MATCH(1,('Car Data'!$I$2:$I$403=W56)*('Car Data'!$C$2:$C$403=A56),0),2))</f>
        <v>Ferrari 250 GT Berlinetta</v>
      </c>
      <c r="W56" s="8">
        <f>MINIFS('Car Data'!$I$2:$I$403,'Car Data'!$C$2:$C$403,A56)</f>
        <v>0.123</v>
      </c>
      <c r="X56" s="8">
        <f>ROUND(AVERAGEIFS('Car Data'!$I$2:$I$403,'Car Data'!$C$2:$C$403,A56),2)</f>
        <v>0.14</v>
      </c>
      <c r="Y56" s="8">
        <f>IFERROR(__xludf.DUMMYFUNCTION("ROUND(STDEV(FILTER('Car Data'!$I$2:$I$403,'Car Data'!$C$2:$C$403=A56)),2)"),0.01)</f>
        <v>0.01</v>
      </c>
    </row>
    <row r="57">
      <c r="A57" s="6" t="s">
        <v>623</v>
      </c>
      <c r="B57" s="11" t="str">
        <f t="array" ref="B57">CONCATENATE(INDEX('Car Data'!$A$2:$E$403,MATCH(1,('Car Data'!$D$2:$D$403=C57)*('Car Data'!$C$2:$C$403=A57),0),1)," ",INDEX('Car Data'!$A$2:$E$403,MATCH(1,('Car Data'!$D$2:$D$403=C57)*('Car Data'!$C$2:$C$403=A57),0),2))</f>
        <v>Mercedes-Benz 300 SL (W194)</v>
      </c>
      <c r="C57" s="11">
        <f>MAXIFS('Car Data'!$D$2:$D$403,'Car Data'!$C$2:$C$403,A57)</f>
        <v>149</v>
      </c>
      <c r="D57" s="11" t="str">
        <f t="array" ref="D57">CONCATENATE(INDEX('Car Data'!$A$2:$E$403,MATCH(1,('Car Data'!$D$2:$D$403=E57)*('Car Data'!$C$2:$C$403=A57),0),1)," ",INDEX('Car Data'!$A$2:$E$403,MATCH(1,('Car Data'!$D$2:$D$403=E57)*('Car Data'!$C$2:$C$403=A57),0),2))</f>
        <v>Mercedes-Benz 300 SL (W194)</v>
      </c>
      <c r="E57" s="11">
        <f>MINIFS('Car Data'!$D$2:$D$403,'Car Data'!$C$2:$C$403,A57)</f>
        <v>149</v>
      </c>
      <c r="F57" s="11">
        <f>ROUND(AVERAGEIFS('Car Data'!$D$2:$D$403,'Car Data'!$C$2:$C$403,A57),2)</f>
        <v>149</v>
      </c>
      <c r="G57" s="11" t="str">
        <f>IFERROR(__xludf.DUMMYFUNCTION("ROUND(STDEV(FILTER('Car Data'!$D$2:$D$403,'Car Data'!$C$2:$C$403=A57)),2)"),"#DIV/0!")</f>
        <v>#DIV/0!</v>
      </c>
      <c r="H57" s="11" t="str">
        <f t="array" ref="H57">CONCATENATE(INDEX('Car Data'!$A$2:$E$403,MATCH(1,('Car Data'!$F$2:$F$403=I57)*('Car Data'!$C$2:$C$403=A57),0),1)," ",INDEX('Car Data'!$A$2:$E$403,MATCH(1,('Car Data'!$F$2:$F$403=I57)*('Car Data'!$C$2:$C$403=A57),0),2))</f>
        <v>Mercedes-Benz 300 SL (W194)</v>
      </c>
      <c r="I57" s="11">
        <f>MAXIFS('Car Data'!$F$2:$F$403,'Car Data'!$C$2:$C$403,A57)</f>
        <v>181</v>
      </c>
      <c r="J57" s="11" t="str">
        <f t="array" ref="J57">CONCATENATE(INDEX('Car Data'!$A$2:$E$403,MATCH(1,('Car Data'!$F$2:$F$403=K57)*('Car Data'!$C$2:$C$403=A57),0),1)," ",INDEX('Car Data'!$A$2:$E$403,MATCH(1,('Car Data'!$F$2:$F$403=K57)*('Car Data'!$C$2:$C$403=A57),0),2))</f>
        <v>Mercedes-Benz 300 SL (W194)</v>
      </c>
      <c r="K57" s="11">
        <f>MINIFS('Car Data'!$F$2:$F$403,'Car Data'!$C$2:$C$403,A57)</f>
        <v>181</v>
      </c>
      <c r="L57" s="11">
        <f>ROUND(AVERAGEIFS('Car Data'!$F$2:$F$403,'Car Data'!$C$2:$C$403,A57),2)</f>
        <v>181</v>
      </c>
      <c r="M57" s="11" t="str">
        <f>IFERROR(__xludf.DUMMYFUNCTION("ROUND(STDEV(FILTER('Car Data'!$F$2:$F$403,'Car Data'!$C$2:$C$403=A57)),2)"),"#DIV/0!")</f>
        <v>#DIV/0!</v>
      </c>
      <c r="N57" s="11" t="str">
        <f t="array" ref="N57">CONCATENATE(INDEX('Car Data'!$A$2:$E$403,MATCH(1,('Car Data'!$G$2:$G$403=O57)*('Car Data'!$C$2:$C$403=A57),0),1)," ",INDEX('Car Data'!$A$2:$E$403,MATCH(1,('Car Data'!$G$2:$G$403=O57)*('Car Data'!$C$2:$C$403=A57),0),2))</f>
        <v>Mercedes-Benz 300 SL (W194)</v>
      </c>
      <c r="O57" s="15">
        <f>MAXIFS('Car Data'!$G$2:$G$403,'Car Data'!$C$2:$C$403,A57)</f>
        <v>18.3</v>
      </c>
      <c r="P57" s="15" t="str">
        <f t="array" ref="P57">CONCATENATE(INDEX('Car Data'!$A$2:$E$403,MATCH(1,('Car Data'!$G$2:$G$403=Q57)*('Car Data'!$C$2:$C$403=A57),0),1)," ",INDEX('Car Data'!$A$2:$E$403,MATCH(1,('Car Data'!$G$2:$G$403=Q57)*('Car Data'!$C$2:$C$403=A57),0),2))</f>
        <v>Mercedes-Benz 300 SL (W194)</v>
      </c>
      <c r="Q57" s="11">
        <f>MINIFS('Car Data'!$G$2:$G$403,'Car Data'!$C$2:$C$403,A57)</f>
        <v>18.3</v>
      </c>
      <c r="R57" s="11">
        <f>ROUND(AVERAGEIFS('Car Data'!$G$2:$G$403,'Car Data'!$C$2:$C$403,A57),2)</f>
        <v>18.3</v>
      </c>
      <c r="S57" s="11" t="str">
        <f>IFERROR(__xludf.DUMMYFUNCTION("ROUND(STDEV(FILTER('Car Data'!$G$2:$G$403,'Car Data'!$C$2:$C$403=A57)),2)"),"#DIV/0!")</f>
        <v>#DIV/0!</v>
      </c>
      <c r="T57" s="11" t="str">
        <f t="array" ref="T57">CONCATENATE(INDEX('Car Data'!$A$2:$E$403,MATCH(1,('Car Data'!$I$2:$I$403=U57)*('Car Data'!$C$2:$C$403=A57),0),1)," ",INDEX('Car Data'!$A$2:$E$403,MATCH(1,('Car Data'!$I$2:$I$403=U57)*('Car Data'!$C$2:$C$403=A57),0),2))</f>
        <v>Mercedes-Benz 300 SL (W194)</v>
      </c>
      <c r="U57" s="11">
        <f>MAXIFS('Car Data'!$I$2:$I$403,'Car Data'!$C$2:$C$403,A57)</f>
        <v>0.083</v>
      </c>
      <c r="V57" s="11" t="str">
        <f t="array" ref="V57">CONCATENATE(INDEX('Car Data'!$A$2:$E$403,MATCH(1,('Car Data'!$I$2:$I$403=W57)*('Car Data'!$C$2:$C$403=A57),0),1)," ",INDEX('Car Data'!$A$2:$E$403,MATCH(1,('Car Data'!$I$2:$I$403=W57)*('Car Data'!$C$2:$C$403=A57),0),2))</f>
        <v>Mercedes-Benz 300 SL (W194)</v>
      </c>
      <c r="W57" s="11">
        <f>MINIFS('Car Data'!$I$2:$I$403,'Car Data'!$C$2:$C$403,A57)</f>
        <v>0.083</v>
      </c>
      <c r="X57" s="11">
        <f>ROUND(AVERAGEIFS('Car Data'!$I$2:$I$403,'Car Data'!$C$2:$C$403,A57),2)</f>
        <v>0.08</v>
      </c>
      <c r="Y57" s="11" t="str">
        <f>IFERROR(__xludf.DUMMYFUNCTION("ROUND(STDEV(FILTER('Car Data'!$I$2:$I$403,'Car Data'!$C$2:$C$403=A57)),2)"),"#DIV/0!")</f>
        <v>#DIV/0!</v>
      </c>
    </row>
    <row r="58">
      <c r="A58" s="3" t="s">
        <v>334</v>
      </c>
      <c r="B58" s="8" t="str">
        <f t="array" ref="B58">CONCATENATE(INDEX('Car Data'!$A$2:$E$403,MATCH(1,('Car Data'!$D$2:$D$403=C58)*('Car Data'!$C$2:$C$403=A58),0),1)," ",INDEX('Car Data'!$A$2:$E$403,MATCH(1,('Car Data'!$D$2:$D$403=C58)*('Car Data'!$C$2:$C$403=A58),0),2))</f>
        <v>Agajanian Watson Roadster</v>
      </c>
      <c r="C58" s="8">
        <f>MAXIFS('Car Data'!$D$2:$D$403,'Car Data'!$C$2:$C$403,A58)</f>
        <v>204</v>
      </c>
      <c r="D58" s="8" t="str">
        <f t="array" ref="D58">CONCATENATE(INDEX('Car Data'!$A$2:$E$403,MATCH(1,('Car Data'!$D$2:$D$403=E58)*('Car Data'!$C$2:$C$403=A58),0),1)," ",INDEX('Car Data'!$A$2:$E$403,MATCH(1,('Car Data'!$D$2:$D$403=E58)*('Car Data'!$C$2:$C$403=A58),0),2))</f>
        <v>Lotus Type 56</v>
      </c>
      <c r="E58" s="8">
        <f>MINIFS('Car Data'!$D$2:$D$403,'Car Data'!$C$2:$C$403,A58)</f>
        <v>203</v>
      </c>
      <c r="F58" s="8">
        <f>ROUND(AVERAGEIFS('Car Data'!$D$2:$D$403,'Car Data'!$C$2:$C$403,A58),2)</f>
        <v>203.5</v>
      </c>
      <c r="G58" s="8">
        <f>IFERROR(__xludf.DUMMYFUNCTION("ROUND(STDEV(FILTER('Car Data'!$D$2:$D$403,'Car Data'!$C$2:$C$403=A58)),2)"),0.71)</f>
        <v>0.71</v>
      </c>
      <c r="H58" s="8" t="str">
        <f t="array" ref="H58">CONCATENATE(INDEX('Car Data'!$A$2:$E$403,MATCH(1,('Car Data'!$F$2:$F$403=I58)*('Car Data'!$C$2:$C$403=A58),0),1)," ",INDEX('Car Data'!$A$2:$E$403,MATCH(1,('Car Data'!$F$2:$F$403=I58)*('Car Data'!$C$2:$C$403=A58),0),2))</f>
        <v>Lotus Type 56</v>
      </c>
      <c r="I58" s="8">
        <f>MAXIFS('Car Data'!$F$2:$F$403,'Car Data'!$C$2:$C$403,A58)</f>
        <v>485</v>
      </c>
      <c r="J58" s="8" t="str">
        <f t="array" ref="J58">CONCATENATE(INDEX('Car Data'!$A$2:$E$403,MATCH(1,('Car Data'!$F$2:$F$403=K58)*('Car Data'!$C$2:$C$403=A58),0),1)," ",INDEX('Car Data'!$A$2:$E$403,MATCH(1,('Car Data'!$F$2:$F$403=K58)*('Car Data'!$C$2:$C$403=A58),0),2))</f>
        <v>Agajanian Watson Roadster</v>
      </c>
      <c r="K58" s="8">
        <f>MINIFS('Car Data'!$F$2:$F$403,'Car Data'!$C$2:$C$403,A58)</f>
        <v>439</v>
      </c>
      <c r="L58" s="8">
        <f>ROUND(AVERAGEIFS('Car Data'!$F$2:$F$403,'Car Data'!$C$2:$C$403,A58),2)</f>
        <v>462</v>
      </c>
      <c r="M58" s="8">
        <f>IFERROR(__xludf.DUMMYFUNCTION("ROUND(STDEV(FILTER('Car Data'!$F$2:$F$403,'Car Data'!$C$2:$C$403=A58)),2)"),32.53)</f>
        <v>32.53</v>
      </c>
      <c r="N58" s="8" t="str">
        <f t="array" ref="N58">CONCATENATE(INDEX('Car Data'!$A$2:$E$403,MATCH(1,('Car Data'!$G$2:$G$403=O58)*('Car Data'!$C$2:$C$403=A58),0),1)," ",INDEX('Car Data'!$A$2:$E$403,MATCH(1,('Car Data'!$G$2:$G$403=O58)*('Car Data'!$C$2:$C$403=A58),0),2))</f>
        <v>Agajanian Watson Roadster</v>
      </c>
      <c r="O58" s="14">
        <f>MAXIFS('Car Data'!$G$2:$G$403,'Car Data'!$C$2:$C$403,A58)</f>
        <v>19.3</v>
      </c>
      <c r="P58" s="14" t="str">
        <f t="array" ref="P58">CONCATENATE(INDEX('Car Data'!$A$2:$E$403,MATCH(1,('Car Data'!$G$2:$G$403=Q58)*('Car Data'!$C$2:$C$403=A58),0),1)," ",INDEX('Car Data'!$A$2:$E$403,MATCH(1,('Car Data'!$G$2:$G$403=Q58)*('Car Data'!$C$2:$C$403=A58),0),2))</f>
        <v>Lotus Type 56</v>
      </c>
      <c r="Q58" s="8">
        <f>MINIFS('Car Data'!$G$2:$G$403,'Car Data'!$C$2:$C$403,A58)</f>
        <v>17.2</v>
      </c>
      <c r="R58" s="8">
        <f>ROUND(AVERAGEIFS('Car Data'!$G$2:$G$403,'Car Data'!$C$2:$C$403,A58),2)</f>
        <v>18.25</v>
      </c>
      <c r="S58" s="8">
        <f>IFERROR(__xludf.DUMMYFUNCTION("ROUND(STDEV(FILTER('Car Data'!$G$2:$G$403,'Car Data'!$C$2:$C$403=A58)),2)"),1.48)</f>
        <v>1.48</v>
      </c>
      <c r="T58" s="8" t="str">
        <f t="array" ref="T58">CONCATENATE(INDEX('Car Data'!$A$2:$E$403,MATCH(1,('Car Data'!$I$2:$I$403=U58)*('Car Data'!$C$2:$C$403=A58),0),1)," ",INDEX('Car Data'!$A$2:$E$403,MATCH(1,('Car Data'!$I$2:$I$403=U58)*('Car Data'!$C$2:$C$403=A58),0),2))</f>
        <v>Lotus Type 56</v>
      </c>
      <c r="U58" s="8">
        <f>MAXIFS('Car Data'!$I$2:$I$403,'Car Data'!$C$2:$C$403,A58)</f>
        <v>0.36</v>
      </c>
      <c r="V58" s="8" t="str">
        <f t="array" ref="V58">CONCATENATE(INDEX('Car Data'!$A$2:$E$403,MATCH(1,('Car Data'!$I$2:$I$403=W58)*('Car Data'!$C$2:$C$403=A58),0),1)," ",INDEX('Car Data'!$A$2:$E$403,MATCH(1,('Car Data'!$I$2:$I$403=W58)*('Car Data'!$C$2:$C$403=A58),0),2))</f>
        <v>Agajanian Watson Roadster</v>
      </c>
      <c r="W58" s="8">
        <f>MINIFS('Car Data'!$I$2:$I$403,'Car Data'!$C$2:$C$403,A58)</f>
        <v>0.261</v>
      </c>
      <c r="X58" s="8">
        <f>ROUND(AVERAGEIFS('Car Data'!$I$2:$I$403,'Car Data'!$C$2:$C$403,A58),2)</f>
        <v>0.31</v>
      </c>
      <c r="Y58" s="8">
        <f>IFERROR(__xludf.DUMMYFUNCTION("ROUND(STDEV(FILTER('Car Data'!$I$2:$I$403,'Car Data'!$C$2:$C$403=A58)),2)"),0.07)</f>
        <v>0.07</v>
      </c>
    </row>
    <row r="59">
      <c r="A59" s="6" t="s">
        <v>63</v>
      </c>
      <c r="B59" s="11" t="str">
        <f t="array" ref="B59">CONCATENATE(INDEX('Car Data'!$A$2:$E$403,MATCH(1,('Car Data'!$D$2:$D$403=C59)*('Car Data'!$C$2:$C$403=A59),0),1)," ",INDEX('Car Data'!$A$2:$E$403,MATCH(1,('Car Data'!$D$2:$D$403=C59)*('Car Data'!$C$2:$C$403=A59),0),2))</f>
        <v>Porsche 917 LH</v>
      </c>
      <c r="C59" s="11">
        <f>MAXIFS('Car Data'!$D$2:$D$403,'Car Data'!$C$2:$C$403,A59)</f>
        <v>242</v>
      </c>
      <c r="D59" s="11" t="str">
        <f t="array" ref="D59">CONCATENATE(INDEX('Car Data'!$A$2:$E$403,MATCH(1,('Car Data'!$D$2:$D$403=E59)*('Car Data'!$C$2:$C$403=A59),0),1)," ",INDEX('Car Data'!$A$2:$E$403,MATCH(1,('Car Data'!$D$2:$D$403=E59)*('Car Data'!$C$2:$C$403=A59),0),2))</f>
        <v>Ferrari 512 M</v>
      </c>
      <c r="E59" s="11">
        <f>MINIFS('Car Data'!$D$2:$D$403,'Car Data'!$C$2:$C$403,A59)</f>
        <v>219</v>
      </c>
      <c r="F59" s="11">
        <f>ROUND(AVERAGEIFS('Car Data'!$D$2:$D$403,'Car Data'!$C$2:$C$403,A59),2)</f>
        <v>229.75</v>
      </c>
      <c r="G59" s="11">
        <f>IFERROR(__xludf.DUMMYFUNCTION("ROUND(STDEV(FILTER('Car Data'!$D$2:$D$403,'Car Data'!$C$2:$C$403=A59)),2)"),10.28)</f>
        <v>10.28</v>
      </c>
      <c r="H59" s="11" t="str">
        <f t="array" ref="H59">CONCATENATE(INDEX('Car Data'!$A$2:$E$403,MATCH(1,('Car Data'!$F$2:$F$403=I59)*('Car Data'!$C$2:$C$403=A59),0),1)," ",INDEX('Car Data'!$A$2:$E$403,MATCH(1,('Car Data'!$F$2:$F$403=I59)*('Car Data'!$C$2:$C$403=A59),0),2))</f>
        <v>Ferrari 512 S</v>
      </c>
      <c r="I59" s="11">
        <f>MAXIFS('Car Data'!$F$2:$F$403,'Car Data'!$C$2:$C$403,A59)</f>
        <v>612</v>
      </c>
      <c r="J59" s="11" t="str">
        <f t="array" ref="J59">CONCATENATE(INDEX('Car Data'!$A$2:$E$403,MATCH(1,('Car Data'!$F$2:$F$403=K59)*('Car Data'!$C$2:$C$403=A59),0),1)," ",INDEX('Car Data'!$A$2:$E$403,MATCH(1,('Car Data'!$F$2:$F$403=K59)*('Car Data'!$C$2:$C$403=A59),0),2))</f>
        <v>Porsche 917 LH</v>
      </c>
      <c r="K59" s="11">
        <f>MINIFS('Car Data'!$F$2:$F$403,'Car Data'!$C$2:$C$403,A59)</f>
        <v>600</v>
      </c>
      <c r="L59" s="11">
        <f>ROUND(AVERAGEIFS('Car Data'!$F$2:$F$403,'Car Data'!$C$2:$C$403,A59),2)</f>
        <v>606</v>
      </c>
      <c r="M59" s="11">
        <f>IFERROR(__xludf.DUMMYFUNCTION("ROUND(STDEV(FILTER('Car Data'!$F$2:$F$403,'Car Data'!$C$2:$C$403=A59)),2)"),6.93)</f>
        <v>6.93</v>
      </c>
      <c r="N59" s="11" t="str">
        <f t="array" ref="N59">CONCATENATE(INDEX('Car Data'!$A$2:$E$403,MATCH(1,('Car Data'!$G$2:$G$403=O59)*('Car Data'!$C$2:$C$403=A59),0),1)," ",INDEX('Car Data'!$A$2:$E$403,MATCH(1,('Car Data'!$G$2:$G$403=O59)*('Car Data'!$C$2:$C$403=A59),0),2))</f>
        <v>Porsche 917 LH</v>
      </c>
      <c r="O59" s="15">
        <f>MAXIFS('Car Data'!$G$2:$G$403,'Car Data'!$C$2:$C$403,A59)</f>
        <v>23.6</v>
      </c>
      <c r="P59" s="15" t="str">
        <f t="array" ref="P59">CONCATENATE(INDEX('Car Data'!$A$2:$E$403,MATCH(1,('Car Data'!$G$2:$G$403=Q59)*('Car Data'!$C$2:$C$403=A59),0),1)," ",INDEX('Car Data'!$A$2:$E$403,MATCH(1,('Car Data'!$G$2:$G$403=Q59)*('Car Data'!$C$2:$C$403=A59),0),2))</f>
        <v>Ferrari 512 M</v>
      </c>
      <c r="Q59" s="11">
        <f>MINIFS('Car Data'!$G$2:$G$403,'Car Data'!$C$2:$C$403,A59)</f>
        <v>17.2</v>
      </c>
      <c r="R59" s="11">
        <f>ROUND(AVERAGEIFS('Car Data'!$G$2:$G$403,'Car Data'!$C$2:$C$403,A59),2)</f>
        <v>20.1</v>
      </c>
      <c r="S59" s="11">
        <f>IFERROR(__xludf.DUMMYFUNCTION("ROUND(STDEV(FILTER('Car Data'!$G$2:$G$403,'Car Data'!$C$2:$C$403=A59)),2)"),2.78)</f>
        <v>2.78</v>
      </c>
      <c r="T59" s="11" t="str">
        <f t="array" ref="T59">CONCATENATE(INDEX('Car Data'!$A$2:$E$403,MATCH(1,('Car Data'!$I$2:$I$403=U59)*('Car Data'!$C$2:$C$403=A59),0),1)," ",INDEX('Car Data'!$A$2:$E$403,MATCH(1,('Car Data'!$I$2:$I$403=U59)*('Car Data'!$C$2:$C$403=A59),0),2))</f>
        <v>Porsche 917K</v>
      </c>
      <c r="U59" s="11">
        <f>MAXIFS('Car Data'!$I$2:$I$403,'Car Data'!$C$2:$C$403,A59)</f>
        <v>0.34</v>
      </c>
      <c r="V59" s="11" t="str">
        <f t="array" ref="V59">CONCATENATE(INDEX('Car Data'!$A$2:$E$403,MATCH(1,('Car Data'!$I$2:$I$403=W59)*('Car Data'!$C$2:$C$403=A59),0),1)," ",INDEX('Car Data'!$A$2:$E$403,MATCH(1,('Car Data'!$I$2:$I$403=W59)*('Car Data'!$C$2:$C$403=A59),0),2))</f>
        <v>Ferrari 512 S</v>
      </c>
      <c r="W59" s="11">
        <f>MINIFS('Car Data'!$I$2:$I$403,'Car Data'!$C$2:$C$403,A59)</f>
        <v>0.295</v>
      </c>
      <c r="X59" s="11">
        <f>ROUND(AVERAGEIFS('Car Data'!$I$2:$I$403,'Car Data'!$C$2:$C$403,A59),2)</f>
        <v>0.32</v>
      </c>
      <c r="Y59" s="11">
        <f>IFERROR(__xludf.DUMMYFUNCTION("ROUND(STDEV(FILTER('Car Data'!$I$2:$I$403,'Car Data'!$C$2:$C$403=A59)),2)"),0.02)</f>
        <v>0.02</v>
      </c>
    </row>
    <row r="60">
      <c r="A60" s="3" t="s">
        <v>256</v>
      </c>
      <c r="B60" s="8" t="str">
        <f t="array" ref="B60">CONCATENATE(INDEX('Car Data'!$A$2:$E$403,MATCH(1,('Car Data'!$D$2:$D$403=C60)*('Car Data'!$C$2:$C$403=A60),0),1)," ",INDEX('Car Data'!$A$2:$E$403,MATCH(1,('Car Data'!$D$2:$D$403=C60)*('Car Data'!$C$2:$C$403=A60),0),2))</f>
        <v>Ford MkIV</v>
      </c>
      <c r="C60" s="8">
        <f>MAXIFS('Car Data'!$D$2:$D$403,'Car Data'!$C$2:$C$403,A60)</f>
        <v>210</v>
      </c>
      <c r="D60" s="8" t="str">
        <f t="array" ref="D60">CONCATENATE(INDEX('Car Data'!$A$2:$E$403,MATCH(1,('Car Data'!$D$2:$D$403=E60)*('Car Data'!$C$2:$C$403=A60),0),1)," ",INDEX('Car Data'!$A$2:$E$403,MATCH(1,('Car Data'!$D$2:$D$403=E60)*('Car Data'!$C$2:$C$403=A60),0),2))</f>
        <v>Porsche 908/03 Spyder</v>
      </c>
      <c r="E60" s="8">
        <f>MINIFS('Car Data'!$D$2:$D$403,'Car Data'!$C$2:$C$403,A60)</f>
        <v>174</v>
      </c>
      <c r="F60" s="8">
        <f>ROUND(AVERAGEIFS('Car Data'!$D$2:$D$403,'Car Data'!$C$2:$C$403,A60),2)</f>
        <v>193.5</v>
      </c>
      <c r="G60" s="8">
        <f>IFERROR(__xludf.DUMMYFUNCTION("ROUND(STDEV(FILTER('Car Data'!$D$2:$D$403,'Car Data'!$C$2:$C$403=A60)),2)"),14.82)</f>
        <v>14.82</v>
      </c>
      <c r="H60" s="8" t="str">
        <f t="array" ref="H60">CONCATENATE(INDEX('Car Data'!$A$2:$E$403,MATCH(1,('Car Data'!$F$2:$F$403=I60)*('Car Data'!$C$2:$C$403=A60),0),1)," ",INDEX('Car Data'!$A$2:$E$403,MATCH(1,('Car Data'!$F$2:$F$403=I60)*('Car Data'!$C$2:$C$403=A60),0),2))</f>
        <v>Ford MkIV</v>
      </c>
      <c r="I60" s="8">
        <f>MAXIFS('Car Data'!$F$2:$F$403,'Car Data'!$C$2:$C$403,A60)</f>
        <v>499</v>
      </c>
      <c r="J60" s="8" t="str">
        <f t="array" ref="J60">CONCATENATE(INDEX('Car Data'!$A$2:$E$403,MATCH(1,('Car Data'!$F$2:$F$403=K60)*('Car Data'!$C$2:$C$403=A60),0),1)," ",INDEX('Car Data'!$A$2:$E$403,MATCH(1,('Car Data'!$F$2:$F$403=K60)*('Car Data'!$C$2:$C$403=A60),0),2))</f>
        <v>Porsche 908/03 Spyder</v>
      </c>
      <c r="K60" s="8">
        <f>MINIFS('Car Data'!$F$2:$F$403,'Car Data'!$C$2:$C$403,A60)</f>
        <v>367</v>
      </c>
      <c r="L60" s="8">
        <f>ROUND(AVERAGEIFS('Car Data'!$F$2:$F$403,'Car Data'!$C$2:$C$403,A60),2)</f>
        <v>424.5</v>
      </c>
      <c r="M60" s="8">
        <f>IFERROR(__xludf.DUMMYFUNCTION("ROUND(STDEV(FILTER('Car Data'!$F$2:$F$403,'Car Data'!$C$2:$C$403=A60)),2)"),62.16)</f>
        <v>62.16</v>
      </c>
      <c r="N60" s="8" t="str">
        <f t="array" ref="N60">CONCATENATE(INDEX('Car Data'!$A$2:$E$403,MATCH(1,('Car Data'!$G$2:$G$403=O60)*('Car Data'!$C$2:$C$403=A60),0),1)," ",INDEX('Car Data'!$A$2:$E$403,MATCH(1,('Car Data'!$G$2:$G$403=O60)*('Car Data'!$C$2:$C$403=A60),0),2))</f>
        <v>Lotus Type 40 Ford</v>
      </c>
      <c r="O60" s="14">
        <f>MAXIFS('Car Data'!$G$2:$G$403,'Car Data'!$C$2:$C$403,A60)</f>
        <v>19.2</v>
      </c>
      <c r="P60" s="14" t="str">
        <f t="array" ref="P60">CONCATENATE(INDEX('Car Data'!$A$2:$E$403,MATCH(1,('Car Data'!$G$2:$G$403=Q60)*('Car Data'!$C$2:$C$403=A60),0),1)," ",INDEX('Car Data'!$A$2:$E$403,MATCH(1,('Car Data'!$G$2:$G$403=Q60)*('Car Data'!$C$2:$C$403=A60),0),2))</f>
        <v>Porsche 908/03 Spyder</v>
      </c>
      <c r="Q60" s="8">
        <f>MINIFS('Car Data'!$G$2:$G$403,'Car Data'!$C$2:$C$403,A60)</f>
        <v>14.4</v>
      </c>
      <c r="R60" s="8">
        <f>ROUND(AVERAGEIFS('Car Data'!$G$2:$G$403,'Car Data'!$C$2:$C$403,A60),2)</f>
        <v>17.23</v>
      </c>
      <c r="S60" s="8">
        <f>IFERROR(__xludf.DUMMYFUNCTION("ROUND(STDEV(FILTER('Car Data'!$G$2:$G$403,'Car Data'!$C$2:$C$403=A60)),2)"),2.16)</f>
        <v>2.16</v>
      </c>
      <c r="T60" s="8" t="str">
        <f t="array" ref="T60">CONCATENATE(INDEX('Car Data'!$A$2:$E$403,MATCH(1,('Car Data'!$I$2:$I$403=U60)*('Car Data'!$C$2:$C$403=A60),0),1)," ",INDEX('Car Data'!$A$2:$E$403,MATCH(1,('Car Data'!$I$2:$I$403=U60)*('Car Data'!$C$2:$C$403=A60),0),2))</f>
        <v>Porsche 908/03 Spyder</v>
      </c>
      <c r="U60" s="8">
        <f>MAXIFS('Car Data'!$I$2:$I$403,'Car Data'!$C$2:$C$403,A60)</f>
        <v>0.295</v>
      </c>
      <c r="V60" s="8" t="str">
        <f t="array" ref="V60">CONCATENATE(INDEX('Car Data'!$A$2:$E$403,MATCH(1,('Car Data'!$I$2:$I$403=W60)*('Car Data'!$C$2:$C$403=A60),0),1)," ",INDEX('Car Data'!$A$2:$E$403,MATCH(1,('Car Data'!$I$2:$I$403=W60)*('Car Data'!$C$2:$C$403=A60),0),2))</f>
        <v>Lotus Type 40 Ford</v>
      </c>
      <c r="W60" s="8">
        <f>MINIFS('Car Data'!$I$2:$I$403,'Car Data'!$C$2:$C$403,A60)</f>
        <v>0.225</v>
      </c>
      <c r="X60" s="8">
        <f>ROUND(AVERAGEIFS('Car Data'!$I$2:$I$403,'Car Data'!$C$2:$C$403,A60),2)</f>
        <v>0.25</v>
      </c>
      <c r="Y60" s="8">
        <f>IFERROR(__xludf.DUMMYFUNCTION("ROUND(STDEV(FILTER('Car Data'!$I$2:$I$403,'Car Data'!$C$2:$C$403=A60)),2)"),0.03)</f>
        <v>0.03</v>
      </c>
    </row>
    <row r="61">
      <c r="A61" s="6" t="s">
        <v>615</v>
      </c>
      <c r="B61" s="11" t="str">
        <f t="array" ref="B61">CONCATENATE(INDEX('Car Data'!$A$2:$E$403,MATCH(1,('Car Data'!$D$2:$D$403=C61)*('Car Data'!$C$2:$C$403=A61),0),1)," ",INDEX('Car Data'!$A$2:$E$403,MATCH(1,('Car Data'!$D$2:$D$403=C61)*('Car Data'!$C$2:$C$403=A61),0),2))</f>
        <v>Ford Escort RS1600 (Rallycross)</v>
      </c>
      <c r="C61" s="11">
        <f>MAXIFS('Car Data'!$D$2:$D$403,'Car Data'!$C$2:$C$403,A61)</f>
        <v>143</v>
      </c>
      <c r="D61" s="11" t="str">
        <f t="array" ref="D61">CONCATENATE(INDEX('Car Data'!$A$2:$E$403,MATCH(1,('Car Data'!$D$2:$D$403=E61)*('Car Data'!$C$2:$C$403=A61),0),1)," ",INDEX('Car Data'!$A$2:$E$403,MATCH(1,('Car Data'!$D$2:$D$403=E61)*('Car Data'!$C$2:$C$403=A61),0),2))</f>
        <v>Ford Escort RS1600 (Rallycross)</v>
      </c>
      <c r="E61" s="11">
        <f>MINIFS('Car Data'!$D$2:$D$403,'Car Data'!$C$2:$C$403,A61)</f>
        <v>143</v>
      </c>
      <c r="F61" s="11">
        <f>ROUND(AVERAGEIFS('Car Data'!$D$2:$D$403,'Car Data'!$C$2:$C$403,A61),2)</f>
        <v>143</v>
      </c>
      <c r="G61" s="11" t="str">
        <f>IFERROR(__xludf.DUMMYFUNCTION("ROUND(STDEV(FILTER('Car Data'!$D$2:$D$403,'Car Data'!$C$2:$C$403=A61)),2)"),"#DIV/0!")</f>
        <v>#DIV/0!</v>
      </c>
      <c r="H61" s="11" t="str">
        <f t="array" ref="H61">CONCATENATE(INDEX('Car Data'!$A$2:$E$403,MATCH(1,('Car Data'!$F$2:$F$403=I61)*('Car Data'!$C$2:$C$403=A61),0),1)," ",INDEX('Car Data'!$A$2:$E$403,MATCH(1,('Car Data'!$F$2:$F$403=I61)*('Car Data'!$C$2:$C$403=A61),0),2))</f>
        <v>Ford Escort RS1600 (Rallycross)</v>
      </c>
      <c r="I61" s="11">
        <f>MAXIFS('Car Data'!$F$2:$F$403,'Car Data'!$C$2:$C$403,A61)</f>
        <v>190</v>
      </c>
      <c r="J61" s="11" t="str">
        <f t="array" ref="J61">CONCATENATE(INDEX('Car Data'!$A$2:$E$403,MATCH(1,('Car Data'!$F$2:$F$403=K61)*('Car Data'!$C$2:$C$403=A61),0),1)," ",INDEX('Car Data'!$A$2:$E$403,MATCH(1,('Car Data'!$F$2:$F$403=K61)*('Car Data'!$C$2:$C$403=A61),0),2))</f>
        <v>Ford Escort RS1600 (Rallycross)</v>
      </c>
      <c r="K61" s="11">
        <f>MINIFS('Car Data'!$F$2:$F$403,'Car Data'!$C$2:$C$403,A61)</f>
        <v>190</v>
      </c>
      <c r="L61" s="11">
        <f>ROUND(AVERAGEIFS('Car Data'!$F$2:$F$403,'Car Data'!$C$2:$C$403,A61),2)</f>
        <v>190</v>
      </c>
      <c r="M61" s="11" t="str">
        <f>IFERROR(__xludf.DUMMYFUNCTION("ROUND(STDEV(FILTER('Car Data'!$F$2:$F$403,'Car Data'!$C$2:$C$403=A61)),2)"),"#DIV/0!")</f>
        <v>#DIV/0!</v>
      </c>
      <c r="N61" s="11" t="str">
        <f t="array" ref="N61">CONCATENATE(INDEX('Car Data'!$A$2:$E$403,MATCH(1,('Car Data'!$G$2:$G$403=O61)*('Car Data'!$C$2:$C$403=A61),0),1)," ",INDEX('Car Data'!$A$2:$E$403,MATCH(1,('Car Data'!$G$2:$G$403=O61)*('Car Data'!$C$2:$C$403=A61),0),2))</f>
        <v>Ford Escort RS1600 (Rallycross)</v>
      </c>
      <c r="O61" s="15">
        <f>MAXIFS('Car Data'!$G$2:$G$403,'Car Data'!$C$2:$C$403,A61)</f>
        <v>15.4</v>
      </c>
      <c r="P61" s="15" t="str">
        <f t="array" ref="P61">CONCATENATE(INDEX('Car Data'!$A$2:$E$403,MATCH(1,('Car Data'!$G$2:$G$403=Q61)*('Car Data'!$C$2:$C$403=A61),0),1)," ",INDEX('Car Data'!$A$2:$E$403,MATCH(1,('Car Data'!$G$2:$G$403=Q61)*('Car Data'!$C$2:$C$403=A61),0),2))</f>
        <v>Ford Escort RS1600 (Rallycross)</v>
      </c>
      <c r="Q61" s="11">
        <f>MINIFS('Car Data'!$G$2:$G$403,'Car Data'!$C$2:$C$403,A61)</f>
        <v>15.4</v>
      </c>
      <c r="R61" s="11">
        <f>ROUND(AVERAGEIFS('Car Data'!$G$2:$G$403,'Car Data'!$C$2:$C$403,A61),2)</f>
        <v>15.4</v>
      </c>
      <c r="S61" s="11" t="str">
        <f>IFERROR(__xludf.DUMMYFUNCTION("ROUND(STDEV(FILTER('Car Data'!$G$2:$G$403,'Car Data'!$C$2:$C$403=A61)),2)"),"#DIV/0!")</f>
        <v>#DIV/0!</v>
      </c>
      <c r="T61" s="11" t="str">
        <f t="array" ref="T61">CONCATENATE(INDEX('Car Data'!$A$2:$E$403,MATCH(1,('Car Data'!$I$2:$I$403=U61)*('Car Data'!$C$2:$C$403=A61),0),1)," ",INDEX('Car Data'!$A$2:$E$403,MATCH(1,('Car Data'!$I$2:$I$403=U61)*('Car Data'!$C$2:$C$403=A61),0),2))</f>
        <v>Ford Escort RS1600 (Rallycross)</v>
      </c>
      <c r="U61" s="11">
        <f>MAXIFS('Car Data'!$I$2:$I$403,'Car Data'!$C$2:$C$403,A61)</f>
        <v>0.113</v>
      </c>
      <c r="V61" s="11" t="str">
        <f t="array" ref="V61">CONCATENATE(INDEX('Car Data'!$A$2:$E$403,MATCH(1,('Car Data'!$I$2:$I$403=W61)*('Car Data'!$C$2:$C$403=A61),0),1)," ",INDEX('Car Data'!$A$2:$E$403,MATCH(1,('Car Data'!$I$2:$I$403=W61)*('Car Data'!$C$2:$C$403=A61),0),2))</f>
        <v>Ford Escort RS1600 (Rallycross)</v>
      </c>
      <c r="W61" s="11">
        <f>MINIFS('Car Data'!$I$2:$I$403,'Car Data'!$C$2:$C$403,A61)</f>
        <v>0.113</v>
      </c>
      <c r="X61" s="11">
        <f>ROUND(AVERAGEIFS('Car Data'!$I$2:$I$403,'Car Data'!$C$2:$C$403,A61),2)</f>
        <v>0.11</v>
      </c>
      <c r="Y61" s="11" t="str">
        <f>IFERROR(__xludf.DUMMYFUNCTION("ROUND(STDEV(FILTER('Car Data'!$I$2:$I$403,'Car Data'!$C$2:$C$403=A61)),2)"),"#DIV/0!")</f>
        <v>#DIV/0!</v>
      </c>
    </row>
    <row r="62">
      <c r="A62" s="3" t="s">
        <v>401</v>
      </c>
      <c r="B62" s="8" t="str">
        <f t="array" ref="B62">CONCATENATE(INDEX('Car Data'!$A$2:$E$403,MATCH(1,('Car Data'!$D$2:$D$403=C62)*('Car Data'!$C$2:$C$403=A62),0),1)," ",INDEX('Car Data'!$A$2:$E$403,MATCH(1,('Car Data'!$D$2:$D$403=C62)*('Car Data'!$C$2:$C$403=A62),0),2))</f>
        <v>Ford Focus RS RX</v>
      </c>
      <c r="C62" s="8">
        <f>MAXIFS('Car Data'!$D$2:$D$403,'Car Data'!$C$2:$C$403,A62)</f>
        <v>188</v>
      </c>
      <c r="D62" s="8" t="str">
        <f t="array" ref="D62">CONCATENATE(INDEX('Car Data'!$A$2:$E$403,MATCH(1,('Car Data'!$D$2:$D$403=E62)*('Car Data'!$C$2:$C$403=A62),0),1)," ",INDEX('Car Data'!$A$2:$E$403,MATCH(1,('Car Data'!$D$2:$D$403=E62)*('Car Data'!$C$2:$C$403=A62),0),2))</f>
        <v>Citroen DS3 RX Supercar</v>
      </c>
      <c r="E62" s="8">
        <f>MINIFS('Car Data'!$D$2:$D$403,'Car Data'!$C$2:$C$403,A62)</f>
        <v>178</v>
      </c>
      <c r="F62" s="8">
        <f>ROUND(AVERAGEIFS('Car Data'!$D$2:$D$403,'Car Data'!$C$2:$C$403,A62),2)</f>
        <v>185.38</v>
      </c>
      <c r="G62" s="8">
        <f>IFERROR(__xludf.DUMMYFUNCTION("ROUND(STDEV(FILTER('Car Data'!$D$2:$D$403,'Car Data'!$C$2:$C$403=A62)),2)"),3.42)</f>
        <v>3.42</v>
      </c>
      <c r="H62" s="8" t="str">
        <f t="array" ref="H62">CONCATENATE(INDEX('Car Data'!$A$2:$E$403,MATCH(1,('Car Data'!$F$2:$F$403=I62)*('Car Data'!$C$2:$C$403=A62),0),1)," ",INDEX('Car Data'!$A$2:$E$403,MATCH(1,('Car Data'!$F$2:$F$403=I62)*('Car Data'!$C$2:$C$403=A62),0),2))</f>
        <v>Ford Focus RS RX</v>
      </c>
      <c r="I62" s="8">
        <f>MAXIFS('Car Data'!$F$2:$F$403,'Car Data'!$C$2:$C$403,A62)</f>
        <v>595</v>
      </c>
      <c r="J62" s="8" t="str">
        <f t="array" ref="J62">CONCATENATE(INDEX('Car Data'!$A$2:$E$403,MATCH(1,('Car Data'!$F$2:$F$403=K62)*('Car Data'!$C$2:$C$403=A62),0),1)," ",INDEX('Car Data'!$A$2:$E$403,MATCH(1,('Car Data'!$F$2:$F$403=K62)*('Car Data'!$C$2:$C$403=A62),0),2))</f>
        <v>Renault Mégane R.S. SMS-R Rallycross</v>
      </c>
      <c r="K62" s="8">
        <f>MINIFS('Car Data'!$F$2:$F$403,'Car Data'!$C$2:$C$403,A62)</f>
        <v>562</v>
      </c>
      <c r="L62" s="8">
        <f>ROUND(AVERAGEIFS('Car Data'!$F$2:$F$403,'Car Data'!$C$2:$C$403,A62),2)</f>
        <v>582</v>
      </c>
      <c r="M62" s="8">
        <f>IFERROR(__xludf.DUMMYFUNCTION("ROUND(STDEV(FILTER('Car Data'!$F$2:$F$403,'Car Data'!$C$2:$C$403=A62)),2)"),11.66)</f>
        <v>11.66</v>
      </c>
      <c r="N62" s="8" t="str">
        <f t="array" ref="N62">CONCATENATE(INDEX('Car Data'!$A$2:$E$403,MATCH(1,('Car Data'!$G$2:$G$403=O62)*('Car Data'!$C$2:$C$403=A62),0),1)," ",INDEX('Car Data'!$A$2:$E$403,MATCH(1,('Car Data'!$G$2:$G$403=O62)*('Car Data'!$C$2:$C$403=A62),0),2))</f>
        <v>Audi S1 EKS RX quattro</v>
      </c>
      <c r="O62" s="14">
        <f>MAXIFS('Car Data'!$G$2:$G$403,'Car Data'!$C$2:$C$403,A62)</f>
        <v>11.3</v>
      </c>
      <c r="P62" s="14" t="str">
        <f t="array" ref="P62">CONCATENATE(INDEX('Car Data'!$A$2:$E$403,MATCH(1,('Car Data'!$G$2:$G$403=Q62)*('Car Data'!$C$2:$C$403=A62),0),1)," ",INDEX('Car Data'!$A$2:$E$403,MATCH(1,('Car Data'!$G$2:$G$403=Q62)*('Car Data'!$C$2:$C$403=A62),0),2))</f>
        <v>Citroen DS3 RX Supercar</v>
      </c>
      <c r="Q62" s="8">
        <f>MINIFS('Car Data'!$G$2:$G$403,'Car Data'!$C$2:$C$403,A62)</f>
        <v>9.8</v>
      </c>
      <c r="R62" s="8">
        <f>ROUND(AVERAGEIFS('Car Data'!$G$2:$G$403,'Car Data'!$C$2:$C$403,A62),2)</f>
        <v>10.96</v>
      </c>
      <c r="S62" s="8">
        <f>IFERROR(__xludf.DUMMYFUNCTION("ROUND(STDEV(FILTER('Car Data'!$G$2:$G$403,'Car Data'!$C$2:$C$403=A62)),2)"),0.53)</f>
        <v>0.53</v>
      </c>
      <c r="T62" s="8" t="str">
        <f t="array" ref="T62">CONCATENATE(INDEX('Car Data'!$A$2:$E$403,MATCH(1,('Car Data'!$I$2:$I$403=U62)*('Car Data'!$C$2:$C$403=A62),0),1)," ",INDEX('Car Data'!$A$2:$E$403,MATCH(1,('Car Data'!$I$2:$I$403=U62)*('Car Data'!$C$2:$C$403=A62),0),2))</f>
        <v>Ford Focus RS RX</v>
      </c>
      <c r="U62" s="8">
        <f>MAXIFS('Car Data'!$I$2:$I$403,'Car Data'!$C$2:$C$403,A62)</f>
        <v>0.208</v>
      </c>
      <c r="V62" s="8" t="str">
        <f t="array" ref="V62">CONCATENATE(INDEX('Car Data'!$A$2:$E$403,MATCH(1,('Car Data'!$I$2:$I$403=W62)*('Car Data'!$C$2:$C$403=A62),0),1)," ",INDEX('Car Data'!$A$2:$E$403,MATCH(1,('Car Data'!$I$2:$I$403=W62)*('Car Data'!$C$2:$C$403=A62),0),2))</f>
        <v>Renault Mégane R.S. SMS-R Rallycross</v>
      </c>
      <c r="W62" s="8">
        <f>MINIFS('Car Data'!$I$2:$I$403,'Car Data'!$C$2:$C$403,A62)</f>
        <v>0.196</v>
      </c>
      <c r="X62" s="8">
        <f>ROUND(AVERAGEIFS('Car Data'!$I$2:$I$403,'Car Data'!$C$2:$C$403,A62),2)</f>
        <v>0.2</v>
      </c>
      <c r="Y62" s="8">
        <f>IFERROR(__xludf.DUMMYFUNCTION("ROUND(STDEV(FILTER('Car Data'!$I$2:$I$403,'Car Data'!$C$2:$C$403=A62)),2)"),0.0)</f>
        <v>0</v>
      </c>
    </row>
  </sheetData>
  <autoFilter ref="$A$1:$Z$1000">
    <sortState ref="A1:Z1000">
      <sortCondition ref="A1:A1000"/>
      <sortCondition descending="1" ref="G1:G1000"/>
      <sortCondition descending="1" ref="C1:C1000"/>
      <sortCondition descending="1" ref="F1:F1000"/>
      <sortCondition descending="1" ref="Y1:Y1000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41.14"/>
    <col customWidth="1" min="5" max="5" width="20.29"/>
    <col customWidth="1" min="6" max="6" width="18.14"/>
    <col customWidth="1" min="7" max="7" width="23.86"/>
    <col customWidth="1" min="8" max="8" width="17.29"/>
    <col customWidth="1" min="9" max="9" width="40.29"/>
    <col customWidth="1" min="12" max="12" width="24.43"/>
    <col customWidth="1" min="13" max="13" width="16.43"/>
  </cols>
  <sheetData>
    <row r="1">
      <c r="A1" s="1" t="s">
        <v>2</v>
      </c>
      <c r="B1" s="1" t="s">
        <v>10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13</v>
      </c>
      <c r="J1" s="1" t="s">
        <v>638</v>
      </c>
      <c r="K1" s="1" t="s">
        <v>639</v>
      </c>
      <c r="L1" s="1" t="s">
        <v>644</v>
      </c>
      <c r="M1" s="1" t="s">
        <v>645</v>
      </c>
    </row>
    <row r="2">
      <c r="A2" s="3" t="s">
        <v>33</v>
      </c>
      <c r="B2" s="4" t="str">
        <f t="array" ref="B2">CONCATENATE(INDEX('Nordschleife Data'!$A$2:$E$403,MATCH(1,('Nordschleife Data'!$E$2:$E$403=D2)*('Nordschleife Data'!$C$2:$C$403=A2),0),1)," ",INDEX('Nordschleife Data'!$A$2:$E$403,MATCH(1,('Nordschleife Data'!$E$2:$E$403=D2)*('Nordschleife Data'!$C$2:$C$403=A2),0),2))</f>
        <v>Porsche 917/10</v>
      </c>
      <c r="C2" s="4" t="str">
        <f t="array" ref="C2">INDEX('Nordschleife Data'!$A$2:$E$403,MATCH(1,('Nordschleife Data'!$E$2:$E$403=D2)*('Nordschleife Data'!$C$2:$C$403=A2),0),4)</f>
        <v>5:50.076</v>
      </c>
      <c r="D2" s="4">
        <f>MINIFS('Nordschleife Data'!$E$2:$E$403,'Nordschleife Data'!$C$2:$C$403,A2)</f>
        <v>350.076</v>
      </c>
      <c r="E2" s="23">
        <f>(AVERAGEIFS('Nordschleife Data'!$E$2:$E$403,'Nordschleife Data'!$C$2:$C$403,A2))/1439.78</f>
        <v>0.2431454806</v>
      </c>
      <c r="F2" s="24">
        <f>ROUND(AVERAGEIFS('Nordschleife Data'!$E$2:$E$403,'Nordschleife Data'!$C$2:$C$403,A2),3)</f>
        <v>350.076</v>
      </c>
      <c r="G2" s="24">
        <f t="shared" ref="G2:G61" si="1">F2-D2</f>
        <v>0</v>
      </c>
      <c r="H2" s="24" t="str">
        <f t="shared" ref="H2:H61" si="2">CONCATENATE(ROUND((G2/F2)*100,3),"%")</f>
        <v>0%</v>
      </c>
      <c r="I2" s="24" t="str">
        <f t="array" ref="I2">CONCATENATE(INDEX('Nordschleife Data'!$A$2:$E$403,MATCH(1,('Nordschleife Data'!$E$2:$E$403=K2)*('Nordschleife Data'!$C$2:$C$403=A2),0),1)," ",INDEX('Nordschleife Data'!$A$2:$E$403,MATCH(1,('Nordschleife Data'!$E$2:$E$403=K2)*('Nordschleife Data'!$C$2:$C$403=A2),0),2))</f>
        <v>Porsche 917/10</v>
      </c>
      <c r="J2" s="24" t="str">
        <f t="array" ref="J2">INDEX('Nordschleife Data'!$A$2:$E$403,MATCH(1,('Nordschleife Data'!$E$2:$E$403=K2)*('Nordschleife Data'!$C$2:$C$403=A2),0),4)</f>
        <v>5:50.076</v>
      </c>
      <c r="K2" s="24">
        <f>MAXIFS('Nordschleife Data'!$E$2:$E$403,'Nordschleife Data'!$C$2:$C$403,A2)</f>
        <v>350.076</v>
      </c>
      <c r="L2" s="24">
        <f t="shared" ref="L2:L61" si="3">K2-F2</f>
        <v>0</v>
      </c>
      <c r="M2" s="24" t="str">
        <f t="shared" ref="M2:M61" si="4">CONCATENATE(ROUND((L2/F2)*100,3),"%")</f>
        <v>0%</v>
      </c>
    </row>
    <row r="3">
      <c r="A3" s="6" t="s">
        <v>78</v>
      </c>
      <c r="B3" s="7" t="str">
        <f t="array" ref="B3">CONCATENATE(INDEX('Nordschleife Data'!$A$2:$E$403,MATCH(1,('Nordschleife Data'!$E$2:$E$403=D3)*('Nordschleife Data'!$C$2:$C$403=A3),0),1)," ",INDEX('Nordschleife Data'!$A$2:$E$403,MATCH(1,('Nordschleife Data'!$E$2:$E$403=D3)*('Nordschleife Data'!$C$2:$C$403=A3),0),2))</f>
        <v>Ford Mustang RTR Spec - 5D</v>
      </c>
      <c r="C3" s="7" t="str">
        <f t="array" ref="C3">INDEX('Nordschleife Data'!$A$2:$E$403,MATCH(1,('Nordschleife Data'!$E$2:$E$403=D3)*('Nordschleife Data'!$C$2:$C$403=A3),0),4)</f>
        <v>7:04.779</v>
      </c>
      <c r="D3" s="7">
        <f>MINIFS('Nordschleife Data'!$E$2:$E$403,'Nordschleife Data'!$C$2:$C$403,A3)</f>
        <v>424.779</v>
      </c>
      <c r="E3" s="25">
        <f>(AVERAGEIFS('Nordschleife Data'!$E$2:$E$403,'Nordschleife Data'!$C$2:$C$403,A3))/1439.78</f>
        <v>0.2967109558</v>
      </c>
      <c r="F3" s="26">
        <f>ROUND(AVERAGEIFS('Nordschleife Data'!$E$2:$E$403,'Nordschleife Data'!$C$2:$C$403,A3),3)</f>
        <v>427.199</v>
      </c>
      <c r="G3" s="26">
        <f t="shared" si="1"/>
        <v>2.42</v>
      </c>
      <c r="H3" s="26" t="str">
        <f t="shared" si="2"/>
        <v>0.566%</v>
      </c>
      <c r="I3" s="26" t="str">
        <f t="array" ref="I3">CONCATENATE(INDEX('Nordschleife Data'!$A$2:$E$403,MATCH(1,('Nordschleife Data'!$E$2:$E$403=K3)*('Nordschleife Data'!$C$2:$C$403=A3),0),1)," ",INDEX('Nordschleife Data'!$A$2:$E$403,MATCH(1,('Nordschleife Data'!$E$2:$E$403=K3)*('Nordschleife Data'!$C$2:$C$403=A3),0),2))</f>
        <v>Mazda MX-5 Radbul</v>
      </c>
      <c r="J3" s="26" t="str">
        <f t="array" ref="J3">INDEX('Nordschleife Data'!$A$2:$E$403,MATCH(1,('Nordschleife Data'!$E$2:$E$403=K3)*('Nordschleife Data'!$C$2:$C$403=A3),0),4)</f>
        <v>7:09.618</v>
      </c>
      <c r="K3" s="26">
        <f>MAXIFS('Nordschleife Data'!$E$2:$E$403,'Nordschleife Data'!$C$2:$C$403,A3)</f>
        <v>429.618</v>
      </c>
      <c r="L3" s="26">
        <f t="shared" si="3"/>
        <v>2.419</v>
      </c>
      <c r="M3" s="26" t="str">
        <f t="shared" si="4"/>
        <v>0.566%</v>
      </c>
    </row>
    <row r="4">
      <c r="A4" s="3" t="s">
        <v>224</v>
      </c>
      <c r="B4" s="4" t="str">
        <f t="array" ref="B4">CONCATENATE(INDEX('Nordschleife Data'!$A$2:$E$403,MATCH(1,('Nordschleife Data'!$E$2:$E$403=D4)*('Nordschleife Data'!$C$2:$C$403=A4),0),1)," ",INDEX('Nordschleife Data'!$A$2:$E$403,MATCH(1,('Nordschleife Data'!$E$2:$E$403=D4)*('Nordschleife Data'!$C$2:$C$403=A4),0),2))</f>
        <v>Ferrari F355 Challenge</v>
      </c>
      <c r="C4" s="4" t="str">
        <f t="array" ref="C4">INDEX('Nordschleife Data'!$A$2:$E$403,MATCH(1,('Nordschleife Data'!$E$2:$E$403=D4)*('Nordschleife Data'!$C$2:$C$403=A4),0),4)</f>
        <v>7:02.580</v>
      </c>
      <c r="D4" s="4">
        <f>MINIFS('Nordschleife Data'!$E$2:$E$403,'Nordschleife Data'!$C$2:$C$403,A4)</f>
        <v>422.58</v>
      </c>
      <c r="E4" s="23">
        <f>(AVERAGEIFS('Nordschleife Data'!$E$2:$E$403,'Nordschleife Data'!$C$2:$C$403,A4))/1439.78</f>
        <v>0.2935031741</v>
      </c>
      <c r="F4" s="24">
        <f>ROUND(AVERAGEIFS('Nordschleife Data'!$E$2:$E$403,'Nordschleife Data'!$C$2:$C$403,A4),3)</f>
        <v>422.58</v>
      </c>
      <c r="G4" s="24">
        <f t="shared" si="1"/>
        <v>0</v>
      </c>
      <c r="H4" s="24" t="str">
        <f t="shared" si="2"/>
        <v>0%</v>
      </c>
      <c r="I4" s="24" t="str">
        <f t="array" ref="I4">CONCATENATE(INDEX('Nordschleife Data'!$A$2:$E$403,MATCH(1,('Nordschleife Data'!$E$2:$E$403=K4)*('Nordschleife Data'!$C$2:$C$403=A4),0),1)," ",INDEX('Nordschleife Data'!$A$2:$E$403,MATCH(1,('Nordschleife Data'!$E$2:$E$403=K4)*('Nordschleife Data'!$C$2:$C$403=A4),0),2))</f>
        <v>Ferrari F355 Challenge</v>
      </c>
      <c r="J4" s="24" t="str">
        <f t="array" ref="J4">INDEX('Nordschleife Data'!$A$2:$E$403,MATCH(1,('Nordschleife Data'!$E$2:$E$403=K4)*('Nordschleife Data'!$C$2:$C$403=A4),0),4)</f>
        <v>7:02.580</v>
      </c>
      <c r="K4" s="24">
        <f>MAXIFS('Nordschleife Data'!$E$2:$E$403,'Nordschleife Data'!$C$2:$C$403,A4)</f>
        <v>422.58</v>
      </c>
      <c r="L4" s="24">
        <f t="shared" si="3"/>
        <v>0</v>
      </c>
      <c r="M4" s="24" t="str">
        <f t="shared" si="4"/>
        <v>0%</v>
      </c>
    </row>
    <row r="5">
      <c r="A5" s="6" t="s">
        <v>288</v>
      </c>
      <c r="B5" s="7" t="str">
        <f t="array" ref="B5">CONCATENATE(INDEX('Nordschleife Data'!$A$2:$E$403,MATCH(1,('Nordschleife Data'!$E$2:$E$403=D5)*('Nordschleife Data'!$C$2:$C$403=A5),0),1)," ",INDEX('Nordschleife Data'!$A$2:$E$403,MATCH(1,('Nordschleife Data'!$E$2:$E$403=D5)*('Nordschleife Data'!$C$2:$C$403=A5),0),2))</f>
        <v>Ferrari 458 Challenge (APAC)</v>
      </c>
      <c r="C5" s="7" t="str">
        <f t="array" ref="C5">INDEX('Nordschleife Data'!$A$2:$E$403,MATCH(1,('Nordschleife Data'!$E$2:$E$403=D5)*('Nordschleife Data'!$C$2:$C$403=A5),0),4)</f>
        <v>6:35.401</v>
      </c>
      <c r="D5" s="7">
        <f>MINIFS('Nordschleife Data'!$E$2:$E$403,'Nordschleife Data'!$C$2:$C$403,A5)</f>
        <v>395.401</v>
      </c>
      <c r="E5" s="25">
        <f>(AVERAGEIFS('Nordschleife Data'!$E$2:$E$403,'Nordschleife Data'!$C$2:$C$403,A5))/1439.78</f>
        <v>0.2749582112</v>
      </c>
      <c r="F5" s="26">
        <f>ROUND(AVERAGEIFS('Nordschleife Data'!$E$2:$E$403,'Nordschleife Data'!$C$2:$C$403,A5),3)</f>
        <v>395.879</v>
      </c>
      <c r="G5" s="26">
        <f t="shared" si="1"/>
        <v>0.478</v>
      </c>
      <c r="H5" s="26" t="str">
        <f t="shared" si="2"/>
        <v>0.121%</v>
      </c>
      <c r="I5" s="26" t="str">
        <f t="array" ref="I5">CONCATENATE(INDEX('Nordschleife Data'!$A$2:$E$403,MATCH(1,('Nordschleife Data'!$E$2:$E$403=K5)*('Nordschleife Data'!$C$2:$C$403=A5),0),1)," ",INDEX('Nordschleife Data'!$A$2:$E$403,MATCH(1,('Nordschleife Data'!$E$2:$E$403=K5)*('Nordschleife Data'!$C$2:$C$403=A5),0),2))</f>
        <v>Ferrari 458 Challenge (NA)</v>
      </c>
      <c r="J5" s="26" t="str">
        <f t="array" ref="J5">INDEX('Nordschleife Data'!$A$2:$E$403,MATCH(1,('Nordschleife Data'!$E$2:$E$403=K5)*('Nordschleife Data'!$C$2:$C$403=A5),0),4)</f>
        <v>6:36.459</v>
      </c>
      <c r="K5" s="26">
        <f>MAXIFS('Nordschleife Data'!$E$2:$E$403,'Nordschleife Data'!$C$2:$C$403,A5)</f>
        <v>396.459</v>
      </c>
      <c r="L5" s="26">
        <f t="shared" si="3"/>
        <v>0.58</v>
      </c>
      <c r="M5" s="26" t="str">
        <f t="shared" si="4"/>
        <v>0.147%</v>
      </c>
    </row>
    <row r="6">
      <c r="A6" s="3" t="s">
        <v>34</v>
      </c>
      <c r="B6" s="4" t="str">
        <f t="array" ref="B6">CONCATENATE(INDEX('Nordschleife Data'!$A$2:$E$403,MATCH(1,('Nordschleife Data'!$E$2:$E$403=D6)*('Nordschleife Data'!$C$2:$C$403=A6),0),1)," ",INDEX('Nordschleife Data'!$A$2:$E$403,MATCH(1,('Nordschleife Data'!$E$2:$E$403=D6)*('Nordschleife Data'!$C$2:$C$403=A6),0),2))</f>
        <v>SMS Formula A</v>
      </c>
      <c r="C6" s="4" t="str">
        <f t="array" ref="C6">INDEX('Nordschleife Data'!$A$2:$E$403,MATCH(1,('Nordschleife Data'!$E$2:$E$403=D6)*('Nordschleife Data'!$C$2:$C$403=A6),0),4)</f>
        <v>5:04.059</v>
      </c>
      <c r="D6" s="4">
        <f>MINIFS('Nordschleife Data'!$E$2:$E$403,'Nordschleife Data'!$C$2:$C$403,A6)</f>
        <v>304.059</v>
      </c>
      <c r="E6" s="23">
        <f>(AVERAGEIFS('Nordschleife Data'!$E$2:$E$403,'Nordschleife Data'!$C$2:$C$403,A6))/1439.78</f>
        <v>0.2111843476</v>
      </c>
      <c r="F6" s="24">
        <f>ROUND(AVERAGEIFS('Nordschleife Data'!$E$2:$E$403,'Nordschleife Data'!$C$2:$C$403,A6),3)</f>
        <v>304.059</v>
      </c>
      <c r="G6" s="24">
        <f t="shared" si="1"/>
        <v>0</v>
      </c>
      <c r="H6" s="24" t="str">
        <f t="shared" si="2"/>
        <v>0%</v>
      </c>
      <c r="I6" s="24" t="str">
        <f t="array" ref="I6">CONCATENATE(INDEX('Nordschleife Data'!$A$2:$E$403,MATCH(1,('Nordschleife Data'!$E$2:$E$403=K6)*('Nordschleife Data'!$C$2:$C$403=A6),0),1)," ",INDEX('Nordschleife Data'!$A$2:$E$403,MATCH(1,('Nordschleife Data'!$E$2:$E$403=K6)*('Nordschleife Data'!$C$2:$C$403=A6),0),2))</f>
        <v>SMS Formula A</v>
      </c>
      <c r="J6" s="24" t="str">
        <f t="array" ref="J6">INDEX('Nordschleife Data'!$A$2:$E$403,MATCH(1,('Nordschleife Data'!$E$2:$E$403=K6)*('Nordschleife Data'!$C$2:$C$403=A6),0),4)</f>
        <v>5:04.059</v>
      </c>
      <c r="K6" s="24">
        <f>MAXIFS('Nordschleife Data'!$E$2:$E$403,'Nordschleife Data'!$C$2:$C$403,A6)</f>
        <v>304.059</v>
      </c>
      <c r="L6" s="24">
        <f t="shared" si="3"/>
        <v>0</v>
      </c>
      <c r="M6" s="24" t="str">
        <f t="shared" si="4"/>
        <v>0%</v>
      </c>
    </row>
    <row r="7">
      <c r="A7" s="6" t="s">
        <v>397</v>
      </c>
      <c r="B7" s="7" t="str">
        <f t="array" ref="B7">CONCATENATE(INDEX('Nordschleife Data'!$A$2:$E$403,MATCH(1,('Nordschleife Data'!$E$2:$E$403=D7)*('Nordschleife Data'!$C$2:$C$403=A7),0),1)," ",INDEX('Nordschleife Data'!$A$2:$E$403,MATCH(1,('Nordschleife Data'!$E$2:$E$403=D7)*('Nordschleife Data'!$C$2:$C$403=A7),0),2))</f>
        <v>SMS Formula C</v>
      </c>
      <c r="C7" s="7" t="str">
        <f t="array" ref="C7">INDEX('Nordschleife Data'!$A$2:$E$403,MATCH(1,('Nordschleife Data'!$E$2:$E$403=D7)*('Nordschleife Data'!$C$2:$C$403=A7),0),4)</f>
        <v>6:48.119</v>
      </c>
      <c r="D7" s="7">
        <f>MINIFS('Nordschleife Data'!$E$2:$E$403,'Nordschleife Data'!$C$2:$C$403,A7)</f>
        <v>408.119</v>
      </c>
      <c r="E7" s="25">
        <f>(AVERAGEIFS('Nordschleife Data'!$E$2:$E$403,'Nordschleife Data'!$C$2:$C$403,A7))/1439.78</f>
        <v>0.2834592785</v>
      </c>
      <c r="F7" s="26">
        <f>ROUND(AVERAGEIFS('Nordschleife Data'!$E$2:$E$403,'Nordschleife Data'!$C$2:$C$403,A7),3)</f>
        <v>408.119</v>
      </c>
      <c r="G7" s="26">
        <f t="shared" si="1"/>
        <v>0</v>
      </c>
      <c r="H7" s="26" t="str">
        <f t="shared" si="2"/>
        <v>0%</v>
      </c>
      <c r="I7" s="26" t="str">
        <f t="array" ref="I7">CONCATENATE(INDEX('Nordschleife Data'!$A$2:$E$403,MATCH(1,('Nordschleife Data'!$E$2:$E$403=K7)*('Nordschleife Data'!$C$2:$C$403=A7),0),1)," ",INDEX('Nordschleife Data'!$A$2:$E$403,MATCH(1,('Nordschleife Data'!$E$2:$E$403=K7)*('Nordschleife Data'!$C$2:$C$403=A7),0),2))</f>
        <v>SMS Formula C</v>
      </c>
      <c r="J7" s="26" t="str">
        <f t="array" ref="J7">INDEX('Nordschleife Data'!$A$2:$E$403,MATCH(1,('Nordschleife Data'!$E$2:$E$403=K7)*('Nordschleife Data'!$C$2:$C$403=A7),0),4)</f>
        <v>6:48.119</v>
      </c>
      <c r="K7" s="26">
        <f>MAXIFS('Nordschleife Data'!$E$2:$E$403,'Nordschleife Data'!$C$2:$C$403,A7)</f>
        <v>408.119</v>
      </c>
      <c r="L7" s="26">
        <f t="shared" si="3"/>
        <v>0</v>
      </c>
      <c r="M7" s="26" t="str">
        <f t="shared" si="4"/>
        <v>0%</v>
      </c>
    </row>
    <row r="8">
      <c r="A8" s="3" t="s">
        <v>94</v>
      </c>
      <c r="B8" s="4" t="str">
        <f t="array" ref="B8">CONCATENATE(INDEX('Nordschleife Data'!$A$2:$E$403,MATCH(1,('Nordschleife Data'!$E$2:$E$403=D8)*('Nordschleife Data'!$C$2:$C$403=A8),0),1)," ",INDEX('Nordschleife Data'!$A$2:$E$403,MATCH(1,('Nordschleife Data'!$E$2:$E$403=D8)*('Nordschleife Data'!$C$2:$C$403=A8),0),2))</f>
        <v>Renault Formula Renault 3.5</v>
      </c>
      <c r="C8" s="4" t="str">
        <f t="array" ref="C8">INDEX('Nordschleife Data'!$A$2:$E$403,MATCH(1,('Nordschleife Data'!$E$2:$E$403=D8)*('Nordschleife Data'!$C$2:$C$403=A8),0),4)</f>
        <v>5:34.217</v>
      </c>
      <c r="D8" s="4">
        <f>MINIFS('Nordschleife Data'!$E$2:$E$403,'Nordschleife Data'!$C$2:$C$403,A8)</f>
        <v>334.217</v>
      </c>
      <c r="E8" s="23">
        <f>(AVERAGEIFS('Nordschleife Data'!$E$2:$E$403,'Nordschleife Data'!$C$2:$C$403,A8))/1439.78</f>
        <v>0.2321306033</v>
      </c>
      <c r="F8" s="24">
        <f>ROUND(AVERAGEIFS('Nordschleife Data'!$E$2:$E$403,'Nordschleife Data'!$C$2:$C$403,A8),3)</f>
        <v>334.217</v>
      </c>
      <c r="G8" s="24">
        <f t="shared" si="1"/>
        <v>0</v>
      </c>
      <c r="H8" s="24" t="str">
        <f t="shared" si="2"/>
        <v>0%</v>
      </c>
      <c r="I8" s="24" t="str">
        <f t="array" ref="I8">CONCATENATE(INDEX('Nordschleife Data'!$A$2:$E$403,MATCH(1,('Nordschleife Data'!$E$2:$E$403=K8)*('Nordschleife Data'!$C$2:$C$403=A8),0),1)," ",INDEX('Nordschleife Data'!$A$2:$E$403,MATCH(1,('Nordschleife Data'!$E$2:$E$403=K8)*('Nordschleife Data'!$C$2:$C$403=A8),0),2))</f>
        <v>Renault Formula Renault 3.5</v>
      </c>
      <c r="J8" s="24" t="str">
        <f t="array" ref="J8">INDEX('Nordschleife Data'!$A$2:$E$403,MATCH(1,('Nordschleife Data'!$E$2:$E$403=K8)*('Nordschleife Data'!$C$2:$C$403=A8),0),4)</f>
        <v>5:34.217</v>
      </c>
      <c r="K8" s="24">
        <f>MAXIFS('Nordschleife Data'!$E$2:$E$403,'Nordschleife Data'!$C$2:$C$403,A8)</f>
        <v>334.217</v>
      </c>
      <c r="L8" s="24">
        <f t="shared" si="3"/>
        <v>0</v>
      </c>
      <c r="M8" s="24" t="str">
        <f t="shared" si="4"/>
        <v>0%</v>
      </c>
    </row>
    <row r="9">
      <c r="A9" s="6" t="s">
        <v>527</v>
      </c>
      <c r="B9" s="7" t="str">
        <f t="array" ref="B9">CONCATENATE(INDEX('Nordschleife Data'!$A$2:$E$403,MATCH(1,('Nordschleife Data'!$E$2:$E$403=D9)*('Nordschleife Data'!$C$2:$C$403=A9),0),1)," ",INDEX('Nordschleife Data'!$A$2:$E$403,MATCH(1,('Nordschleife Data'!$E$2:$E$403=D9)*('Nordschleife Data'!$C$2:$C$403=A9),0),2))</f>
        <v>SMS Formula Rookie</v>
      </c>
      <c r="C9" s="7" t="str">
        <f t="array" ref="C9">INDEX('Nordschleife Data'!$A$2:$E$403,MATCH(1,('Nordschleife Data'!$E$2:$E$403=D9)*('Nordschleife Data'!$C$2:$C$403=A9),0),4)</f>
        <v>7:51.122</v>
      </c>
      <c r="D9" s="7">
        <f>MINIFS('Nordschleife Data'!$E$2:$E$403,'Nordschleife Data'!$C$2:$C$403,A9)</f>
        <v>471.122</v>
      </c>
      <c r="E9" s="25">
        <f>(AVERAGEIFS('Nordschleife Data'!$E$2:$E$403,'Nordschleife Data'!$C$2:$C$403,A9))/1439.78</f>
        <v>0.3272180472</v>
      </c>
      <c r="F9" s="26">
        <f>ROUND(AVERAGEIFS('Nordschleife Data'!$E$2:$E$403,'Nordschleife Data'!$C$2:$C$403,A9),3)</f>
        <v>471.122</v>
      </c>
      <c r="G9" s="26">
        <f t="shared" si="1"/>
        <v>0</v>
      </c>
      <c r="H9" s="26" t="str">
        <f t="shared" si="2"/>
        <v>0%</v>
      </c>
      <c r="I9" s="26" t="str">
        <f t="array" ref="I9">CONCATENATE(INDEX('Nordschleife Data'!$A$2:$E$403,MATCH(1,('Nordschleife Data'!$E$2:$E$403=K9)*('Nordschleife Data'!$C$2:$C$403=A9),0),1)," ",INDEX('Nordschleife Data'!$A$2:$E$403,MATCH(1,('Nordschleife Data'!$E$2:$E$403=K9)*('Nordschleife Data'!$C$2:$C$403=A9),0),2))</f>
        <v>SMS Formula Rookie</v>
      </c>
      <c r="J9" s="26" t="str">
        <f t="array" ref="J9">INDEX('Nordschleife Data'!$A$2:$E$403,MATCH(1,('Nordschleife Data'!$E$2:$E$403=K9)*('Nordschleife Data'!$C$2:$C$403=A9),0),4)</f>
        <v>7:51.122</v>
      </c>
      <c r="K9" s="26">
        <f>MAXIFS('Nordschleife Data'!$E$2:$E$403,'Nordschleife Data'!$C$2:$C$403,A9)</f>
        <v>471.122</v>
      </c>
      <c r="L9" s="26">
        <f t="shared" si="3"/>
        <v>0</v>
      </c>
      <c r="M9" s="26" t="str">
        <f t="shared" si="4"/>
        <v>0%</v>
      </c>
    </row>
    <row r="10">
      <c r="A10" s="3" t="s">
        <v>18</v>
      </c>
      <c r="B10" s="4" t="str">
        <f t="array" ref="B10">CONCATENATE(INDEX('Nordschleife Data'!$A$2:$E$403,MATCH(1,('Nordschleife Data'!$E$2:$E$403=D10)*('Nordschleife Data'!$C$2:$C$403=A10),0),1)," ",INDEX('Nordschleife Data'!$A$2:$E$403,MATCH(1,('Nordschleife Data'!$E$2:$E$403=D10)*('Nordschleife Data'!$C$2:$C$403=A10),0),2))</f>
        <v>SMS Formula X</v>
      </c>
      <c r="C10" s="4" t="str">
        <f t="array" ref="C10">INDEX('Nordschleife Data'!$A$2:$E$403,MATCH(1,('Nordschleife Data'!$E$2:$E$403=D10)*('Nordschleife Data'!$C$2:$C$403=A10),0),4)</f>
        <v>4:51.642</v>
      </c>
      <c r="D10" s="4">
        <f>MINIFS('Nordschleife Data'!$E$2:$E$403,'Nordschleife Data'!$C$2:$C$403,A10)</f>
        <v>291.642</v>
      </c>
      <c r="E10" s="23">
        <f>(AVERAGEIFS('Nordschleife Data'!$E$2:$E$403,'Nordschleife Data'!$C$2:$C$403,A10))/1439.78</f>
        <v>0.2025601134</v>
      </c>
      <c r="F10" s="24">
        <f>ROUND(AVERAGEIFS('Nordschleife Data'!$E$2:$E$403,'Nordschleife Data'!$C$2:$C$403,A10),3)</f>
        <v>291.642</v>
      </c>
      <c r="G10" s="24">
        <f t="shared" si="1"/>
        <v>0</v>
      </c>
      <c r="H10" s="24" t="str">
        <f t="shared" si="2"/>
        <v>0%</v>
      </c>
      <c r="I10" s="24" t="str">
        <f t="array" ref="I10">CONCATENATE(INDEX('Nordschleife Data'!$A$2:$E$403,MATCH(1,('Nordschleife Data'!$E$2:$E$403=K10)*('Nordschleife Data'!$C$2:$C$403=A10),0),1)," ",INDEX('Nordschleife Data'!$A$2:$E$403,MATCH(1,('Nordschleife Data'!$E$2:$E$403=K10)*('Nordschleife Data'!$C$2:$C$403=A10),0),2))</f>
        <v>SMS Formula X</v>
      </c>
      <c r="J10" s="24" t="str">
        <f t="array" ref="J10">INDEX('Nordschleife Data'!$A$2:$E$403,MATCH(1,('Nordschleife Data'!$E$2:$E$403=K10)*('Nordschleife Data'!$C$2:$C$403=A10),0),4)</f>
        <v>4:51.642</v>
      </c>
      <c r="K10" s="24">
        <f>MAXIFS('Nordschleife Data'!$E$2:$E$403,'Nordschleife Data'!$C$2:$C$403,A10)</f>
        <v>291.642</v>
      </c>
      <c r="L10" s="24">
        <f t="shared" si="3"/>
        <v>0</v>
      </c>
      <c r="M10" s="24" t="str">
        <f t="shared" si="4"/>
        <v>0%</v>
      </c>
    </row>
    <row r="11">
      <c r="A11" s="6" t="s">
        <v>635</v>
      </c>
      <c r="B11" s="7" t="str">
        <f t="array" ref="B11">CONCATENATE(INDEX('Nordschleife Data'!$A$2:$E$403,MATCH(1,('Nordschleife Data'!$E$2:$E$403=D11)*('Nordschleife Data'!$C$2:$C$403=A11),0),1)," ",INDEX('Nordschleife Data'!$A$2:$E$403,MATCH(1,('Nordschleife Data'!$E$2:$E$403=D11)*('Nordschleife Data'!$C$2:$C$403=A11),0),2))</f>
        <v>Ginetta G40 Junior</v>
      </c>
      <c r="C11" s="7" t="str">
        <f t="array" ref="C11">INDEX('Nordschleife Data'!$A$2:$E$403,MATCH(1,('Nordschleife Data'!$E$2:$E$403=D11)*('Nordschleife Data'!$C$2:$C$403=A11),0),4)</f>
        <v>8:46.563</v>
      </c>
      <c r="D11" s="7">
        <f>MINIFS('Nordschleife Data'!$E$2:$E$403,'Nordschleife Data'!$C$2:$C$403,A11)</f>
        <v>526.563</v>
      </c>
      <c r="E11" s="25">
        <f>(AVERAGEIFS('Nordschleife Data'!$E$2:$E$403,'Nordschleife Data'!$C$2:$C$403,A11))/1439.78</f>
        <v>0.3657246246</v>
      </c>
      <c r="F11" s="26">
        <f>ROUND(AVERAGEIFS('Nordschleife Data'!$E$2:$E$403,'Nordschleife Data'!$C$2:$C$403,A11),3)</f>
        <v>526.563</v>
      </c>
      <c r="G11" s="26">
        <f t="shared" si="1"/>
        <v>0</v>
      </c>
      <c r="H11" s="26" t="str">
        <f t="shared" si="2"/>
        <v>0%</v>
      </c>
      <c r="I11" s="26" t="str">
        <f t="array" ref="I11">CONCATENATE(INDEX('Nordschleife Data'!$A$2:$E$403,MATCH(1,('Nordschleife Data'!$E$2:$E$403=K11)*('Nordschleife Data'!$C$2:$C$403=A11),0),1)," ",INDEX('Nordschleife Data'!$A$2:$E$403,MATCH(1,('Nordschleife Data'!$E$2:$E$403=K11)*('Nordschleife Data'!$C$2:$C$403=A11),0),2))</f>
        <v>Ginetta G40 Junior</v>
      </c>
      <c r="J11" s="26" t="str">
        <f t="array" ref="J11">INDEX('Nordschleife Data'!$A$2:$E$403,MATCH(1,('Nordschleife Data'!$E$2:$E$403=K11)*('Nordschleife Data'!$C$2:$C$403=A11),0),4)</f>
        <v>8:46.563</v>
      </c>
      <c r="K11" s="26">
        <f>MAXIFS('Nordschleife Data'!$E$2:$E$403,'Nordschleife Data'!$C$2:$C$403,A11)</f>
        <v>526.563</v>
      </c>
      <c r="L11" s="26">
        <f t="shared" si="3"/>
        <v>0</v>
      </c>
      <c r="M11" s="26" t="str">
        <f t="shared" si="4"/>
        <v>0%</v>
      </c>
    </row>
    <row r="12">
      <c r="A12" s="3" t="s">
        <v>384</v>
      </c>
      <c r="B12" s="4" t="str">
        <f t="array" ref="B12">CONCATENATE(INDEX('Nordschleife Data'!$A$2:$E$403,MATCH(1,('Nordschleife Data'!$E$2:$E$403=D12)*('Nordschleife Data'!$C$2:$C$403=A12),0),1)," ",INDEX('Nordschleife Data'!$A$2:$E$403,MATCH(1,('Nordschleife Data'!$E$2:$E$403=D12)*('Nordschleife Data'!$C$2:$C$403=A12),0),2))</f>
        <v>BMW M1 Procar</v>
      </c>
      <c r="C12" s="4" t="str">
        <f t="array" ref="C12">INDEX('Nordschleife Data'!$A$2:$E$403,MATCH(1,('Nordschleife Data'!$E$2:$E$403=D12)*('Nordschleife Data'!$C$2:$C$403=A12),0),4)</f>
        <v>6:43.599</v>
      </c>
      <c r="D12" s="4">
        <f>MINIFS('Nordschleife Data'!$E$2:$E$403,'Nordschleife Data'!$C$2:$C$403,A12)</f>
        <v>403.599</v>
      </c>
      <c r="E12" s="23">
        <f>(AVERAGEIFS('Nordschleife Data'!$E$2:$E$403,'Nordschleife Data'!$C$2:$C$403,A12))/1439.78</f>
        <v>0.2864224627</v>
      </c>
      <c r="F12" s="24">
        <f>ROUND(AVERAGEIFS('Nordschleife Data'!$E$2:$E$403,'Nordschleife Data'!$C$2:$C$403,A12),3)</f>
        <v>412.385</v>
      </c>
      <c r="G12" s="24">
        <f t="shared" si="1"/>
        <v>8.786</v>
      </c>
      <c r="H12" s="24" t="str">
        <f t="shared" si="2"/>
        <v>2.131%</v>
      </c>
      <c r="I12" s="24" t="str">
        <f t="array" ref="I12">CONCATENATE(INDEX('Nordschleife Data'!$A$2:$E$403,MATCH(1,('Nordschleife Data'!$E$2:$E$403=K12)*('Nordschleife Data'!$C$2:$C$403=A12),0),1)," ",INDEX('Nordschleife Data'!$A$2:$E$403,MATCH(1,('Nordschleife Data'!$E$2:$E$403=K12)*('Nordschleife Data'!$C$2:$C$403=A12),0),2))</f>
        <v>Porsche 924 Carrera GTP</v>
      </c>
      <c r="J12" s="24" t="str">
        <f t="array" ref="J12">INDEX('Nordschleife Data'!$A$2:$E$403,MATCH(1,('Nordschleife Data'!$E$2:$E$403=K12)*('Nordschleife Data'!$C$2:$C$403=A12),0),4)</f>
        <v>7:00.977</v>
      </c>
      <c r="K12" s="24">
        <f>MAXIFS('Nordschleife Data'!$E$2:$E$403,'Nordschleife Data'!$C$2:$C$403,A12)</f>
        <v>420.977</v>
      </c>
      <c r="L12" s="24">
        <f t="shared" si="3"/>
        <v>8.592</v>
      </c>
      <c r="M12" s="24" t="str">
        <f t="shared" si="4"/>
        <v>2.083%</v>
      </c>
    </row>
    <row r="13">
      <c r="A13" s="6" t="s">
        <v>105</v>
      </c>
      <c r="B13" s="7" t="str">
        <f t="array" ref="B13">CONCATENATE(INDEX('Nordschleife Data'!$A$2:$E$403,MATCH(1,('Nordschleife Data'!$E$2:$E$403=D13)*('Nordschleife Data'!$C$2:$C$403=A13),0),1)," ",INDEX('Nordschleife Data'!$A$2:$E$403,MATCH(1,('Nordschleife Data'!$E$2:$E$403=D13)*('Nordschleife Data'!$C$2:$C$403=A13),0),2))</f>
        <v>Porsche 935/78</v>
      </c>
      <c r="C13" s="7" t="str">
        <f t="array" ref="C13">INDEX('Nordschleife Data'!$A$2:$E$403,MATCH(1,('Nordschleife Data'!$E$2:$E$403=D13)*('Nordschleife Data'!$C$2:$C$403=A13),0),4)</f>
        <v>6:19.301</v>
      </c>
      <c r="D13" s="7">
        <f>MINIFS('Nordschleife Data'!$E$2:$E$403,'Nordschleife Data'!$C$2:$C$403,A13)</f>
        <v>379.301</v>
      </c>
      <c r="E13" s="25">
        <f>(AVERAGEIFS('Nordschleife Data'!$E$2:$E$403,'Nordschleife Data'!$C$2:$C$403,A13))/1439.78</f>
        <v>0.2691660358</v>
      </c>
      <c r="F13" s="26">
        <f>ROUND(AVERAGEIFS('Nordschleife Data'!$E$2:$E$403,'Nordschleife Data'!$C$2:$C$403,A13),3)</f>
        <v>387.54</v>
      </c>
      <c r="G13" s="26">
        <f t="shared" si="1"/>
        <v>8.239</v>
      </c>
      <c r="H13" s="26" t="str">
        <f t="shared" si="2"/>
        <v>2.126%</v>
      </c>
      <c r="I13" s="26" t="str">
        <f t="array" ref="I13">CONCATENATE(INDEX('Nordschleife Data'!$A$2:$E$403,MATCH(1,('Nordschleife Data'!$E$2:$E$403=K13)*('Nordschleife Data'!$C$2:$C$403=A13),0),1)," ",INDEX('Nordschleife Data'!$A$2:$E$403,MATCH(1,('Nordschleife Data'!$E$2:$E$403=K13)*('Nordschleife Data'!$C$2:$C$403=A13),0),2))</f>
        <v>Nissan Skyline Super Silhouette</v>
      </c>
      <c r="J13" s="26" t="str">
        <f t="array" ref="J13">INDEX('Nordschleife Data'!$A$2:$E$403,MATCH(1,('Nordschleife Data'!$E$2:$E$403=K13)*('Nordschleife Data'!$C$2:$C$403=A13),0),4)</f>
        <v>6:40.220</v>
      </c>
      <c r="K13" s="26">
        <f>MAXIFS('Nordschleife Data'!$E$2:$E$403,'Nordschleife Data'!$C$2:$C$403,A13)</f>
        <v>400.22</v>
      </c>
      <c r="L13" s="26">
        <f t="shared" si="3"/>
        <v>12.68</v>
      </c>
      <c r="M13" s="26" t="str">
        <f t="shared" si="4"/>
        <v>3.272%</v>
      </c>
    </row>
    <row r="14">
      <c r="A14" s="3" t="s">
        <v>166</v>
      </c>
      <c r="B14" s="4" t="str">
        <f t="array" ref="B14">CONCATENATE(INDEX('Nordschleife Data'!$A$2:$E$403,MATCH(1,('Nordschleife Data'!$E$2:$E$403=D14)*('Nordschleife Data'!$C$2:$C$403=A14),0),1)," ",INDEX('Nordschleife Data'!$A$2:$E$403,MATCH(1,('Nordschleife Data'!$E$2:$E$403=D14)*('Nordschleife Data'!$C$2:$C$403=A14),0),2))</f>
        <v>Porsche 936 Spyder</v>
      </c>
      <c r="C14" s="4" t="str">
        <f t="array" ref="C14">INDEX('Nordschleife Data'!$A$2:$E$403,MATCH(1,('Nordschleife Data'!$E$2:$E$403=D14)*('Nordschleife Data'!$C$2:$C$403=A14),0),4)</f>
        <v>6:22.301</v>
      </c>
      <c r="D14" s="4">
        <f>MINIFS('Nordschleife Data'!$E$2:$E$403,'Nordschleife Data'!$C$2:$C$403,A14)</f>
        <v>382.301</v>
      </c>
      <c r="E14" s="23">
        <f>(AVERAGEIFS('Nordschleife Data'!$E$2:$E$403,'Nordschleife Data'!$C$2:$C$403,A14))/1439.78</f>
        <v>0.2671248385</v>
      </c>
      <c r="F14" s="24">
        <f>ROUND(AVERAGEIFS('Nordschleife Data'!$E$2:$E$403,'Nordschleife Data'!$C$2:$C$403,A14),3)</f>
        <v>384.601</v>
      </c>
      <c r="G14" s="24">
        <f t="shared" si="1"/>
        <v>2.3</v>
      </c>
      <c r="H14" s="24" t="str">
        <f t="shared" si="2"/>
        <v>0.598%</v>
      </c>
      <c r="I14" s="24" t="str">
        <f t="array" ref="I14">CONCATENATE(INDEX('Nordschleife Data'!$A$2:$E$403,MATCH(1,('Nordschleife Data'!$E$2:$E$403=K14)*('Nordschleife Data'!$C$2:$C$403=A14),0),1)," ",INDEX('Nordschleife Data'!$A$2:$E$403,MATCH(1,('Nordschleife Data'!$E$2:$E$403=K14)*('Nordschleife Data'!$C$2:$C$403=A14),0),2))</f>
        <v>Renault Alpine A442B</v>
      </c>
      <c r="J14" s="24" t="str">
        <f t="array" ref="J14">INDEX('Nordschleife Data'!$A$2:$E$403,MATCH(1,('Nordschleife Data'!$E$2:$E$403=K14)*('Nordschleife Data'!$C$2:$C$403=A14),0),4)</f>
        <v>6:26.901</v>
      </c>
      <c r="K14" s="24">
        <f>MAXIFS('Nordschleife Data'!$E$2:$E$403,'Nordschleife Data'!$C$2:$C$403,A14)</f>
        <v>386.901</v>
      </c>
      <c r="L14" s="24">
        <f t="shared" si="3"/>
        <v>2.3</v>
      </c>
      <c r="M14" s="24" t="str">
        <f t="shared" si="4"/>
        <v>0.598%</v>
      </c>
    </row>
    <row r="15">
      <c r="A15" s="6" t="s">
        <v>432</v>
      </c>
      <c r="B15" s="7" t="str">
        <f t="array" ref="B15">CONCATENATE(INDEX('Nordschleife Data'!$A$2:$E$403,MATCH(1,('Nordschleife Data'!$E$2:$E$403=D15)*('Nordschleife Data'!$C$2:$C$403=A15),0),1)," ",INDEX('Nordschleife Data'!$A$2:$E$403,MATCH(1,('Nordschleife Data'!$E$2:$E$403=D15)*('Nordschleife Data'!$C$2:$C$403=A15),0),2))</f>
        <v>Nissan Skyline GT-R (BNR32) Group A</v>
      </c>
      <c r="C15" s="7" t="str">
        <f t="array" ref="C15">INDEX('Nordschleife Data'!$A$2:$E$403,MATCH(1,('Nordschleife Data'!$E$2:$E$403=D15)*('Nordschleife Data'!$C$2:$C$403=A15),0),4)</f>
        <v>7:03.103</v>
      </c>
      <c r="D15" s="7">
        <f>MINIFS('Nordschleife Data'!$E$2:$E$403,'Nordschleife Data'!$C$2:$C$403,A15)</f>
        <v>423.103</v>
      </c>
      <c r="E15" s="25">
        <f>(AVERAGEIFS('Nordschleife Data'!$E$2:$E$403,'Nordschleife Data'!$C$2:$C$403,A15))/1439.78</f>
        <v>0.3003763075</v>
      </c>
      <c r="F15" s="26">
        <f>ROUND(AVERAGEIFS('Nordschleife Data'!$E$2:$E$403,'Nordschleife Data'!$C$2:$C$403,A15),3)</f>
        <v>432.476</v>
      </c>
      <c r="G15" s="26">
        <f t="shared" si="1"/>
        <v>9.373</v>
      </c>
      <c r="H15" s="26" t="str">
        <f t="shared" si="2"/>
        <v>2.167%</v>
      </c>
      <c r="I15" s="26" t="str">
        <f t="array" ref="I15">CONCATENATE(INDEX('Nordschleife Data'!$A$2:$E$403,MATCH(1,('Nordschleife Data'!$E$2:$E$403=K15)*('Nordschleife Data'!$C$2:$C$403=A15),0),1)," ",INDEX('Nordschleife Data'!$A$2:$E$403,MATCH(1,('Nordschleife Data'!$E$2:$E$403=K15)*('Nordschleife Data'!$C$2:$C$403=A15),0),2))</f>
        <v>BMW M3 Sport Evo Group A</v>
      </c>
      <c r="J15" s="26" t="str">
        <f t="array" ref="J15">INDEX('Nordschleife Data'!$A$2:$E$403,MATCH(1,('Nordschleife Data'!$E$2:$E$403=K15)*('Nordschleife Data'!$C$2:$C$403=A15),0),4)</f>
        <v>7:21.779</v>
      </c>
      <c r="K15" s="26">
        <f>MAXIFS('Nordschleife Data'!$E$2:$E$403,'Nordschleife Data'!$C$2:$C$403,A15)</f>
        <v>441.779</v>
      </c>
      <c r="L15" s="26">
        <f t="shared" si="3"/>
        <v>9.303</v>
      </c>
      <c r="M15" s="26" t="str">
        <f t="shared" si="4"/>
        <v>2.151%</v>
      </c>
    </row>
    <row r="16">
      <c r="A16" s="3" t="s">
        <v>516</v>
      </c>
      <c r="B16" s="4" t="str">
        <f t="array" ref="B16">CONCATENATE(INDEX('Nordschleife Data'!$A$2:$E$403,MATCH(1,('Nordschleife Data'!$E$2:$E$403=D16)*('Nordschleife Data'!$C$2:$C$403=A16),0),1)," ",INDEX('Nordschleife Data'!$A$2:$E$403,MATCH(1,('Nordschleife Data'!$E$2:$E$403=D16)*('Nordschleife Data'!$C$2:$C$403=A16),0),2))</f>
        <v>Ford RS200 Evolution Group B</v>
      </c>
      <c r="C16" s="4" t="str">
        <f t="array" ref="C16">INDEX('Nordschleife Data'!$A$2:$E$403,MATCH(1,('Nordschleife Data'!$E$2:$E$403=D16)*('Nordschleife Data'!$C$2:$C$403=A16),0),4)</f>
        <v>7:11.560</v>
      </c>
      <c r="D16" s="4">
        <f>MINIFS('Nordschleife Data'!$E$2:$E$403,'Nordschleife Data'!$C$2:$C$403,A16)</f>
        <v>431.56</v>
      </c>
      <c r="E16" s="23">
        <f>(AVERAGEIFS('Nordschleife Data'!$E$2:$E$403,'Nordschleife Data'!$C$2:$C$403,A16))/1439.78</f>
        <v>0.3024445864</v>
      </c>
      <c r="F16" s="24">
        <f>ROUND(AVERAGEIFS('Nordschleife Data'!$E$2:$E$403,'Nordschleife Data'!$C$2:$C$403,A16),3)</f>
        <v>435.454</v>
      </c>
      <c r="G16" s="24">
        <f t="shared" si="1"/>
        <v>3.894</v>
      </c>
      <c r="H16" s="24" t="str">
        <f t="shared" si="2"/>
        <v>0.894%</v>
      </c>
      <c r="I16" s="24" t="str">
        <f t="array" ref="I16">CONCATENATE(INDEX('Nordschleife Data'!$A$2:$E$403,MATCH(1,('Nordschleife Data'!$E$2:$E$403=K16)*('Nordschleife Data'!$C$2:$C$403=A16),0),1)," ",INDEX('Nordschleife Data'!$A$2:$E$403,MATCH(1,('Nordschleife Data'!$E$2:$E$403=K16)*('Nordschleife Data'!$C$2:$C$403=A16),0),2))</f>
        <v>Audi Sport quattro S1</v>
      </c>
      <c r="J16" s="24" t="str">
        <f t="array" ref="J16">INDEX('Nordschleife Data'!$A$2:$E$403,MATCH(1,('Nordschleife Data'!$E$2:$E$403=K16)*('Nordschleife Data'!$C$2:$C$403=A16),0),4)</f>
        <v>7:18.260</v>
      </c>
      <c r="K16" s="24">
        <f>MAXIFS('Nordschleife Data'!$E$2:$E$403,'Nordschleife Data'!$C$2:$C$403,A16)</f>
        <v>438.26</v>
      </c>
      <c r="L16" s="24">
        <f t="shared" si="3"/>
        <v>2.806</v>
      </c>
      <c r="M16" s="24" t="str">
        <f t="shared" si="4"/>
        <v>0.644%</v>
      </c>
    </row>
    <row r="17">
      <c r="A17" s="6" t="s">
        <v>44</v>
      </c>
      <c r="B17" s="7" t="str">
        <f t="array" ref="B17">CONCATENATE(INDEX('Nordschleife Data'!$A$2:$E$403,MATCH(1,('Nordschleife Data'!$E$2:$E$403=D17)*('Nordschleife Data'!$C$2:$C$403=A17),0),1)," ",INDEX('Nordschleife Data'!$A$2:$E$403,MATCH(1,('Nordschleife Data'!$E$2:$E$403=D17)*('Nordschleife Data'!$C$2:$C$403=A17),0),2))</f>
        <v>Mercedes-Benz Sauber C9</v>
      </c>
      <c r="C17" s="7" t="str">
        <f t="array" ref="C17">INDEX('Nordschleife Data'!$A$2:$E$403,MATCH(1,('Nordschleife Data'!$E$2:$E$403=D17)*('Nordschleife Data'!$C$2:$C$403=A17),0),4)</f>
        <v>5:19.400</v>
      </c>
      <c r="D17" s="7">
        <f>MINIFS('Nordschleife Data'!$E$2:$E$403,'Nordschleife Data'!$C$2:$C$403,A17)</f>
        <v>319.4</v>
      </c>
      <c r="E17" s="25">
        <f>(AVERAGEIFS('Nordschleife Data'!$E$2:$E$403,'Nordschleife Data'!$C$2:$C$403,A17))/1439.78</f>
        <v>0.2308412396</v>
      </c>
      <c r="F17" s="26">
        <f>ROUND(AVERAGEIFS('Nordschleife Data'!$E$2:$E$403,'Nordschleife Data'!$C$2:$C$403,A17),3)</f>
        <v>332.361</v>
      </c>
      <c r="G17" s="26">
        <f t="shared" si="1"/>
        <v>12.961</v>
      </c>
      <c r="H17" s="26" t="str">
        <f t="shared" si="2"/>
        <v>3.9%</v>
      </c>
      <c r="I17" s="26" t="str">
        <f t="array" ref="I17">CONCATENATE(INDEX('Nordschleife Data'!$A$2:$E$403,MATCH(1,('Nordschleife Data'!$E$2:$E$403=K17)*('Nordschleife Data'!$C$2:$C$403=A17),0),1)," ",INDEX('Nordschleife Data'!$A$2:$E$403,MATCH(1,('Nordschleife Data'!$E$2:$E$403=K17)*('Nordschleife Data'!$C$2:$C$403=A17),0),2))</f>
        <v>Jaguar XJR-9</v>
      </c>
      <c r="J17" s="26" t="str">
        <f t="array" ref="J17">INDEX('Nordschleife Data'!$A$2:$E$403,MATCH(1,('Nordschleife Data'!$E$2:$E$403=K17)*('Nordschleife Data'!$C$2:$C$403=A17),0),4)</f>
        <v>5:43.740</v>
      </c>
      <c r="K17" s="26">
        <f>MAXIFS('Nordschleife Data'!$E$2:$E$403,'Nordschleife Data'!$C$2:$C$403,A17)</f>
        <v>343.74</v>
      </c>
      <c r="L17" s="26">
        <f t="shared" si="3"/>
        <v>11.379</v>
      </c>
      <c r="M17" s="26" t="str">
        <f t="shared" si="4"/>
        <v>3.424%</v>
      </c>
    </row>
    <row r="18">
      <c r="A18" s="3" t="s">
        <v>171</v>
      </c>
      <c r="B18" s="4" t="str">
        <f t="array" ref="B18">CONCATENATE(INDEX('Nordschleife Data'!$A$2:$E$403,MATCH(1,('Nordschleife Data'!$E$2:$E$403=D18)*('Nordschleife Data'!$C$2:$C$403=A18),0),1)," ",INDEX('Nordschleife Data'!$A$2:$E$403,MATCH(1,('Nordschleife Data'!$E$2:$E$403=D18)*('Nordschleife Data'!$C$2:$C$403=A18),0),2))</f>
        <v>Mercedes-Benz CLK-LM</v>
      </c>
      <c r="C18" s="4" t="str">
        <f t="array" ref="C18">INDEX('Nordschleife Data'!$A$2:$E$403,MATCH(1,('Nordschleife Data'!$E$2:$E$403=D18)*('Nordschleife Data'!$C$2:$C$403=A18),0),4)</f>
        <v>6:02.238</v>
      </c>
      <c r="D18" s="4">
        <f>MINIFS('Nordschleife Data'!$E$2:$E$403,'Nordschleife Data'!$C$2:$C$403,A18)</f>
        <v>362.238</v>
      </c>
      <c r="E18" s="23">
        <f>(AVERAGEIFS('Nordschleife Data'!$E$2:$E$403,'Nordschleife Data'!$C$2:$C$403,A18))/1439.78</f>
        <v>0.2554674028</v>
      </c>
      <c r="F18" s="24">
        <f>ROUND(AVERAGEIFS('Nordschleife Data'!$E$2:$E$403,'Nordschleife Data'!$C$2:$C$403,A18),3)</f>
        <v>367.817</v>
      </c>
      <c r="G18" s="24">
        <f t="shared" si="1"/>
        <v>5.579</v>
      </c>
      <c r="H18" s="24" t="str">
        <f t="shared" si="2"/>
        <v>1.517%</v>
      </c>
      <c r="I18" s="24" t="str">
        <f t="array" ref="I18">CONCATENATE(INDEX('Nordschleife Data'!$A$2:$E$403,MATCH(1,('Nordschleife Data'!$E$2:$E$403=K18)*('Nordschleife Data'!$C$2:$C$403=A18),0),1)," ",INDEX('Nordschleife Data'!$A$2:$E$403,MATCH(1,('Nordschleife Data'!$E$2:$E$403=K18)*('Nordschleife Data'!$C$2:$C$403=A18),0),2))</f>
        <v>Nissan R390 GT1</v>
      </c>
      <c r="J18" s="24" t="str">
        <f t="array" ref="J18">INDEX('Nordschleife Data'!$A$2:$E$403,MATCH(1,('Nordschleife Data'!$E$2:$E$403=K18)*('Nordschleife Data'!$C$2:$C$403=A18),0),4)</f>
        <v>6:22.460</v>
      </c>
      <c r="K18" s="24">
        <f>MAXIFS('Nordschleife Data'!$E$2:$E$403,'Nordschleife Data'!$C$2:$C$403,A18)</f>
        <v>382.46</v>
      </c>
      <c r="L18" s="24">
        <f t="shared" si="3"/>
        <v>14.643</v>
      </c>
      <c r="M18" s="24" t="str">
        <f t="shared" si="4"/>
        <v>3.981%</v>
      </c>
    </row>
    <row r="19">
      <c r="A19" s="6" t="s">
        <v>269</v>
      </c>
      <c r="B19" s="7" t="str">
        <f t="array" ref="B19">CONCATENATE(INDEX('Nordschleife Data'!$A$2:$E$403,MATCH(1,('Nordschleife Data'!$E$2:$E$403=D19)*('Nordschleife Data'!$C$2:$C$403=A19),0),1)," ",INDEX('Nordschleife Data'!$A$2:$E$403,MATCH(1,('Nordschleife Data'!$E$2:$E$403=D19)*('Nordschleife Data'!$C$2:$C$403=A19),0),2))</f>
        <v>Ferrari 488 GT3</v>
      </c>
      <c r="C19" s="7" t="str">
        <f t="array" ref="C19">INDEX('Nordschleife Data'!$A$2:$E$403,MATCH(1,('Nordschleife Data'!$E$2:$E$403=D19)*('Nordschleife Data'!$C$2:$C$403=A19),0),4)</f>
        <v>6:28.518</v>
      </c>
      <c r="D19" s="7">
        <f>MINIFS('Nordschleife Data'!$E$2:$E$403,'Nordschleife Data'!$C$2:$C$403,A19)</f>
        <v>388.518</v>
      </c>
      <c r="E19" s="25">
        <f>(AVERAGEIFS('Nordschleife Data'!$E$2:$E$403,'Nordschleife Data'!$C$2:$C$403,A19))/1439.78</f>
        <v>0.2732536568</v>
      </c>
      <c r="F19" s="26">
        <f>ROUND(AVERAGEIFS('Nordschleife Data'!$E$2:$E$403,'Nordschleife Data'!$C$2:$C$403,A19),3)</f>
        <v>393.425</v>
      </c>
      <c r="G19" s="26">
        <f t="shared" si="1"/>
        <v>4.907</v>
      </c>
      <c r="H19" s="26" t="str">
        <f t="shared" si="2"/>
        <v>1.247%</v>
      </c>
      <c r="I19" s="26" t="str">
        <f t="array" ref="I19">CONCATENATE(INDEX('Nordschleife Data'!$A$2:$E$403,MATCH(1,('Nordschleife Data'!$E$2:$E$403=K19)*('Nordschleife Data'!$C$2:$C$403=A19),0),1)," ",INDEX('Nordschleife Data'!$A$2:$E$403,MATCH(1,('Nordschleife Data'!$E$2:$E$403=K19)*('Nordschleife Data'!$C$2:$C$403=A19),0),2))</f>
        <v>Cadillac ATS-V.R GT3</v>
      </c>
      <c r="J19" s="26" t="str">
        <f t="array" ref="J19">INDEX('Nordschleife Data'!$A$2:$E$403,MATCH(1,('Nordschleife Data'!$E$2:$E$403=K19)*('Nordschleife Data'!$C$2:$C$403=A19),0),4)</f>
        <v>6:40.820</v>
      </c>
      <c r="K19" s="26">
        <f>MAXIFS('Nordschleife Data'!$E$2:$E$403,'Nordschleife Data'!$C$2:$C$403,A19)</f>
        <v>400.82</v>
      </c>
      <c r="L19" s="26">
        <f t="shared" si="3"/>
        <v>7.395</v>
      </c>
      <c r="M19" s="26" t="str">
        <f t="shared" si="4"/>
        <v>1.88%</v>
      </c>
    </row>
    <row r="20">
      <c r="A20" s="3" t="s">
        <v>475</v>
      </c>
      <c r="B20" s="4" t="str">
        <f t="array" ref="B20">CONCATENATE(INDEX('Nordschleife Data'!$A$2:$E$403,MATCH(1,('Nordschleife Data'!$E$2:$E$403=D20)*('Nordschleife Data'!$C$2:$C$403=A20),0),1)," ",INDEX('Nordschleife Data'!$A$2:$E$403,MATCH(1,('Nordschleife Data'!$E$2:$E$403=D20)*('Nordschleife Data'!$C$2:$C$403=A20),0),2))</f>
        <v>Ginetta G55 GT4</v>
      </c>
      <c r="C20" s="4" t="str">
        <f t="array" ref="C20">INDEX('Nordschleife Data'!$A$2:$E$403,MATCH(1,('Nordschleife Data'!$E$2:$E$403=D20)*('Nordschleife Data'!$C$2:$C$403=A20),0),4)</f>
        <v>7:02.959</v>
      </c>
      <c r="D20" s="4">
        <f>MINIFS('Nordschleife Data'!$E$2:$E$403,'Nordschleife Data'!$C$2:$C$403,A20)</f>
        <v>422.959</v>
      </c>
      <c r="E20" s="23">
        <f>(AVERAGEIFS('Nordschleife Data'!$E$2:$E$403,'Nordschleife Data'!$C$2:$C$403,A20))/1439.78</f>
        <v>0.2983019107</v>
      </c>
      <c r="F20" s="24">
        <f>ROUND(AVERAGEIFS('Nordschleife Data'!$E$2:$E$403,'Nordschleife Data'!$C$2:$C$403,A20),3)</f>
        <v>429.489</v>
      </c>
      <c r="G20" s="24">
        <f t="shared" si="1"/>
        <v>6.53</v>
      </c>
      <c r="H20" s="24" t="str">
        <f t="shared" si="2"/>
        <v>1.52%</v>
      </c>
      <c r="I20" s="24" t="str">
        <f t="array" ref="I20">CONCATENATE(INDEX('Nordschleife Data'!$A$2:$E$403,MATCH(1,('Nordschleife Data'!$E$2:$E$403=K20)*('Nordschleife Data'!$C$2:$C$403=A20),0),1)," ",INDEX('Nordschleife Data'!$A$2:$E$403,MATCH(1,('Nordschleife Data'!$E$2:$E$403=K20)*('Nordschleife Data'!$C$2:$C$403=A20),0),2))</f>
        <v>Toyota GT-86 Rocket Bunny GT4</v>
      </c>
      <c r="J20" s="24" t="str">
        <f t="array" ref="J20">INDEX('Nordschleife Data'!$A$2:$E$403,MATCH(1,('Nordschleife Data'!$E$2:$E$403=K20)*('Nordschleife Data'!$C$2:$C$403=A20),0),4)</f>
        <v>7:16.519</v>
      </c>
      <c r="K20" s="24">
        <f>MAXIFS('Nordschleife Data'!$E$2:$E$403,'Nordschleife Data'!$C$2:$C$403,A20)</f>
        <v>436.519</v>
      </c>
      <c r="L20" s="24">
        <f t="shared" si="3"/>
        <v>7.03</v>
      </c>
      <c r="M20" s="24" t="str">
        <f t="shared" si="4"/>
        <v>1.637%</v>
      </c>
    </row>
    <row r="21">
      <c r="A21" s="6" t="s">
        <v>587</v>
      </c>
      <c r="B21" s="7" t="str">
        <f t="array" ref="B21">CONCATENATE(INDEX('Nordschleife Data'!$A$2:$E$403,MATCH(1,('Nordschleife Data'!$E$2:$E$403=D21)*('Nordschleife Data'!$C$2:$C$403=A21),0),1)," ",INDEX('Nordschleife Data'!$A$2:$E$403,MATCH(1,('Nordschleife Data'!$E$2:$E$403=D21)*('Nordschleife Data'!$C$2:$C$403=A21),0),2))</f>
        <v>Ginetta G40 GT5</v>
      </c>
      <c r="C21" s="7" t="str">
        <f t="array" ref="C21">INDEX('Nordschleife Data'!$A$2:$E$403,MATCH(1,('Nordschleife Data'!$E$2:$E$403=D21)*('Nordschleife Data'!$C$2:$C$403=A21),0),4)</f>
        <v>7:39.961</v>
      </c>
      <c r="D21" s="7">
        <f>MINIFS('Nordschleife Data'!$E$2:$E$403,'Nordschleife Data'!$C$2:$C$403,A21)</f>
        <v>459.961</v>
      </c>
      <c r="E21" s="25">
        <f>(AVERAGEIFS('Nordschleife Data'!$E$2:$E$403,'Nordschleife Data'!$C$2:$C$403,A21))/1439.78</f>
        <v>0.3194661684</v>
      </c>
      <c r="F21" s="26">
        <f>ROUND(AVERAGEIFS('Nordschleife Data'!$E$2:$E$403,'Nordschleife Data'!$C$2:$C$403,A21),3)</f>
        <v>459.961</v>
      </c>
      <c r="G21" s="26">
        <f t="shared" si="1"/>
        <v>0</v>
      </c>
      <c r="H21" s="26" t="str">
        <f t="shared" si="2"/>
        <v>0%</v>
      </c>
      <c r="I21" s="26" t="str">
        <f t="array" ref="I21">CONCATENATE(INDEX('Nordschleife Data'!$A$2:$E$403,MATCH(1,('Nordschleife Data'!$E$2:$E$403=K21)*('Nordschleife Data'!$C$2:$C$403=A21),0),1)," ",INDEX('Nordschleife Data'!$A$2:$E$403,MATCH(1,('Nordschleife Data'!$E$2:$E$403=K21)*('Nordschleife Data'!$C$2:$C$403=A21),0),2))</f>
        <v>Ginetta G40 GT5</v>
      </c>
      <c r="J21" s="26" t="str">
        <f t="array" ref="J21">INDEX('Nordschleife Data'!$A$2:$E$403,MATCH(1,('Nordschleife Data'!$E$2:$E$403=K21)*('Nordschleife Data'!$C$2:$C$403=A21),0),4)</f>
        <v>7:39.961</v>
      </c>
      <c r="K21" s="26">
        <f>MAXIFS('Nordschleife Data'!$E$2:$E$403,'Nordschleife Data'!$C$2:$C$403,A21)</f>
        <v>459.961</v>
      </c>
      <c r="L21" s="26">
        <f t="shared" si="3"/>
        <v>0</v>
      </c>
      <c r="M21" s="26" t="str">
        <f t="shared" si="4"/>
        <v>0%</v>
      </c>
    </row>
    <row r="22">
      <c r="A22" s="3" t="s">
        <v>212</v>
      </c>
      <c r="B22" s="4" t="str">
        <f t="array" ref="B22">CONCATENATE(INDEX('Nordschleife Data'!$A$2:$E$403,MATCH(1,('Nordschleife Data'!$E$2:$E$403=D22)*('Nordschleife Data'!$C$2:$C$403=A22),0),1)," ",INDEX('Nordschleife Data'!$A$2:$E$403,MATCH(1,('Nordschleife Data'!$E$2:$E$403=D22)*('Nordschleife Data'!$C$2:$C$403=A22),0),2))</f>
        <v>Chevrolet Corvette C7.R</v>
      </c>
      <c r="C22" s="4" t="str">
        <f t="array" ref="C22">INDEX('Nordschleife Data'!$A$2:$E$403,MATCH(1,('Nordschleife Data'!$E$2:$E$403=D22)*('Nordschleife Data'!$C$2:$C$403=A22),0),4)</f>
        <v>6:17.999</v>
      </c>
      <c r="D22" s="4">
        <f>MINIFS('Nordschleife Data'!$E$2:$E$403,'Nordschleife Data'!$C$2:$C$403,A22)</f>
        <v>377.999</v>
      </c>
      <c r="E22" s="23">
        <f>(AVERAGEIFS('Nordschleife Data'!$E$2:$E$403,'Nordschleife Data'!$C$2:$C$403,A22))/1439.78</f>
        <v>0.2638129899</v>
      </c>
      <c r="F22" s="24">
        <f>ROUND(AVERAGEIFS('Nordschleife Data'!$E$2:$E$403,'Nordschleife Data'!$C$2:$C$403,A22),3)</f>
        <v>379.833</v>
      </c>
      <c r="G22" s="24">
        <f t="shared" si="1"/>
        <v>1.834</v>
      </c>
      <c r="H22" s="24" t="str">
        <f t="shared" si="2"/>
        <v>0.483%</v>
      </c>
      <c r="I22" s="24" t="str">
        <f t="array" ref="I22">CONCATENATE(INDEX('Nordschleife Data'!$A$2:$E$403,MATCH(1,('Nordschleife Data'!$E$2:$E$403=K22)*('Nordschleife Data'!$C$2:$C$403=A22),0),1)," ",INDEX('Nordschleife Data'!$A$2:$E$403,MATCH(1,('Nordschleife Data'!$E$2:$E$403=K22)*('Nordschleife Data'!$C$2:$C$403=A22),0),2))</f>
        <v>Aston Martin Vantage GTE</v>
      </c>
      <c r="J22" s="24" t="str">
        <f t="array" ref="J22">INDEX('Nordschleife Data'!$A$2:$E$403,MATCH(1,('Nordschleife Data'!$E$2:$E$403=K22)*('Nordschleife Data'!$C$2:$C$403=A22),0),4)</f>
        <v>6:22.920</v>
      </c>
      <c r="K22" s="24">
        <f>MAXIFS('Nordschleife Data'!$E$2:$E$403,'Nordschleife Data'!$C$2:$C$403,A22)</f>
        <v>382.92</v>
      </c>
      <c r="L22" s="24">
        <f t="shared" si="3"/>
        <v>3.087</v>
      </c>
      <c r="M22" s="24" t="str">
        <f t="shared" si="4"/>
        <v>0.813%</v>
      </c>
    </row>
    <row r="23">
      <c r="A23" s="6" t="s">
        <v>141</v>
      </c>
      <c r="B23" s="7" t="str">
        <f t="array" ref="B23">CONCATENATE(INDEX('Nordschleife Data'!$A$2:$E$403,MATCH(1,('Nordschleife Data'!$E$2:$E$403=D23)*('Nordschleife Data'!$C$2:$C$403=A23),0),1)," ",INDEX('Nordschleife Data'!$A$2:$E$403,MATCH(1,('Nordschleife Data'!$E$2:$E$403=D23)*('Nordschleife Data'!$C$2:$C$403=A23),0),2))</f>
        <v>Ferrari F40 LM</v>
      </c>
      <c r="C23" s="7" t="str">
        <f t="array" ref="C23">INDEX('Nordschleife Data'!$A$2:$E$403,MATCH(1,('Nordschleife Data'!$E$2:$E$403=D23)*('Nordschleife Data'!$C$2:$C$403=A23),0),4)</f>
        <v>6:19.140</v>
      </c>
      <c r="D23" s="7">
        <f>MINIFS('Nordschleife Data'!$E$2:$E$403,'Nordschleife Data'!$C$2:$C$403,A23)</f>
        <v>379.14</v>
      </c>
      <c r="E23" s="25">
        <f>(AVERAGEIFS('Nordschleife Data'!$E$2:$E$403,'Nordschleife Data'!$C$2:$C$403,A23))/1439.78</f>
        <v>0.2695203434</v>
      </c>
      <c r="F23" s="26">
        <f>ROUND(AVERAGEIFS('Nordschleife Data'!$E$2:$E$403,'Nordschleife Data'!$C$2:$C$403,A23),3)</f>
        <v>388.05</v>
      </c>
      <c r="G23" s="26">
        <f t="shared" si="1"/>
        <v>8.91</v>
      </c>
      <c r="H23" s="26" t="str">
        <f t="shared" si="2"/>
        <v>2.296%</v>
      </c>
      <c r="I23" s="26" t="str">
        <f t="array" ref="I23">CONCATENATE(INDEX('Nordschleife Data'!$A$2:$E$403,MATCH(1,('Nordschleife Data'!$E$2:$E$403=K23)*('Nordschleife Data'!$C$2:$C$403=A23),0),1)," ",INDEX('Nordschleife Data'!$A$2:$E$403,MATCH(1,('Nordschleife Data'!$E$2:$E$403=K23)*('Nordschleife Data'!$C$2:$C$403=A23),0),2))</f>
        <v>Lamborghini Diablo GTR</v>
      </c>
      <c r="J23" s="26" t="str">
        <f t="array" ref="J23">INDEX('Nordschleife Data'!$A$2:$E$403,MATCH(1,('Nordschleife Data'!$E$2:$E$403=K23)*('Nordschleife Data'!$C$2:$C$403=A23),0),4)</f>
        <v>6:42.296</v>
      </c>
      <c r="K23" s="26">
        <f>MAXIFS('Nordschleife Data'!$E$2:$E$403,'Nordschleife Data'!$C$2:$C$403,A23)</f>
        <v>402.296</v>
      </c>
      <c r="L23" s="26">
        <f t="shared" si="3"/>
        <v>14.246</v>
      </c>
      <c r="M23" s="26" t="str">
        <f t="shared" si="4"/>
        <v>3.671%</v>
      </c>
    </row>
    <row r="24">
      <c r="A24" s="3" t="s">
        <v>50</v>
      </c>
      <c r="B24" s="4" t="str">
        <f t="array" ref="B24">CONCATENATE(INDEX('Nordschleife Data'!$A$2:$E$403,MATCH(1,('Nordschleife Data'!$E$2:$E$403=D24)*('Nordschleife Data'!$C$2:$C$403=A24),0),1)," ",INDEX('Nordschleife Data'!$A$2:$E$403,MATCH(1,('Nordschleife Data'!$E$2:$E$403=D24)*('Nordschleife Data'!$C$2:$C$403=A24),0),2))</f>
        <v>Chevrolet Dallara IR-12 Chevrolet (Road Course)</v>
      </c>
      <c r="C24" s="4" t="str">
        <f t="array" ref="C24">INDEX('Nordschleife Data'!$A$2:$E$403,MATCH(1,('Nordschleife Data'!$E$2:$E$403=D24)*('Nordschleife Data'!$C$2:$C$403=A24),0),4)</f>
        <v>5:20.059</v>
      </c>
      <c r="D24" s="4">
        <f>MINIFS('Nordschleife Data'!$E$2:$E$403,'Nordschleife Data'!$C$2:$C$403,A24)</f>
        <v>320.059</v>
      </c>
      <c r="E24" s="23">
        <f>(AVERAGEIFS('Nordschleife Data'!$E$2:$E$403,'Nordschleife Data'!$C$2:$C$403,A24))/1439.78</f>
        <v>0.2328444276</v>
      </c>
      <c r="F24" s="24">
        <f>ROUND(AVERAGEIFS('Nordschleife Data'!$E$2:$E$403,'Nordschleife Data'!$C$2:$C$403,A24),3)</f>
        <v>335.245</v>
      </c>
      <c r="G24" s="24">
        <f t="shared" si="1"/>
        <v>15.186</v>
      </c>
      <c r="H24" s="24" t="str">
        <f t="shared" si="2"/>
        <v>4.53%</v>
      </c>
      <c r="I24" s="24" t="str">
        <f t="array" ref="I24">CONCATENATE(INDEX('Nordschleife Data'!$A$2:$E$403,MATCH(1,('Nordschleife Data'!$E$2:$E$403=K24)*('Nordschleife Data'!$C$2:$C$403=A24),0),1)," ",INDEX('Nordschleife Data'!$A$2:$E$403,MATCH(1,('Nordschleife Data'!$E$2:$E$403=K24)*('Nordschleife Data'!$C$2:$C$403=A24),0),2))</f>
        <v>Chevrolet Dallara IR-12 Chevrolet (Speedway)</v>
      </c>
      <c r="J24" s="24" t="str">
        <f t="array" ref="J24">INDEX('Nordschleife Data'!$A$2:$E$403,MATCH(1,('Nordschleife Data'!$E$2:$E$403=K24)*('Nordschleife Data'!$C$2:$C$403=A24),0),4)</f>
        <v>5:46.102</v>
      </c>
      <c r="K24" s="24">
        <f>MAXIFS('Nordschleife Data'!$E$2:$E$403,'Nordschleife Data'!$C$2:$C$403,A24)</f>
        <v>346.102</v>
      </c>
      <c r="L24" s="24">
        <f t="shared" si="3"/>
        <v>10.857</v>
      </c>
      <c r="M24" s="24" t="str">
        <f t="shared" si="4"/>
        <v>3.239%</v>
      </c>
    </row>
    <row r="25">
      <c r="A25" s="6" t="s">
        <v>58</v>
      </c>
      <c r="B25" s="7" t="str">
        <f t="array" ref="B25">CONCATENATE(INDEX('Nordschleife Data'!$A$2:$E$403,MATCH(1,('Nordschleife Data'!$E$2:$E$403=D25)*('Nordschleife Data'!$C$2:$C$403=A25),0),1)," ",INDEX('Nordschleife Data'!$A$2:$E$403,MATCH(1,('Nordschleife Data'!$E$2:$E$403=D25)*('Nordschleife Data'!$C$2:$C$403=A25),0),2))</f>
        <v>Audi R18 e-tron quattro (2014)</v>
      </c>
      <c r="C25" s="7" t="str">
        <f t="array" ref="C25">INDEX('Nordschleife Data'!$A$2:$E$403,MATCH(1,('Nordschleife Data'!$E$2:$E$403=D25)*('Nordschleife Data'!$C$2:$C$403=A25),0),4)</f>
        <v>5:23.120</v>
      </c>
      <c r="D25" s="7">
        <f>MINIFS('Nordschleife Data'!$E$2:$E$403,'Nordschleife Data'!$C$2:$C$403,A25)</f>
        <v>323.12</v>
      </c>
      <c r="E25" s="25">
        <f>(AVERAGEIFS('Nordschleife Data'!$E$2:$E$403,'Nordschleife Data'!$C$2:$C$403,A25))/1439.78</f>
        <v>0.228816208</v>
      </c>
      <c r="F25" s="26">
        <f>ROUND(AVERAGEIFS('Nordschleife Data'!$E$2:$E$403,'Nordschleife Data'!$C$2:$C$403,A25),3)</f>
        <v>329.445</v>
      </c>
      <c r="G25" s="26">
        <f t="shared" si="1"/>
        <v>6.325</v>
      </c>
      <c r="H25" s="26" t="str">
        <f t="shared" si="2"/>
        <v>1.92%</v>
      </c>
      <c r="I25" s="26" t="str">
        <f t="array" ref="I25">CONCATENATE(INDEX('Nordschleife Data'!$A$2:$E$403,MATCH(1,('Nordschleife Data'!$E$2:$E$403=K25)*('Nordschleife Data'!$C$2:$C$403=A25),0),1)," ",INDEX('Nordschleife Data'!$A$2:$E$403,MATCH(1,('Nordschleife Data'!$E$2:$E$403=K25)*('Nordschleife Data'!$C$2:$C$403=A25),0),2))</f>
        <v>Marek RP 339H LMP1</v>
      </c>
      <c r="J25" s="26" t="str">
        <f t="array" ref="J25">INDEX('Nordschleife Data'!$A$2:$E$403,MATCH(1,('Nordschleife Data'!$E$2:$E$403=K25)*('Nordschleife Data'!$C$2:$C$403=A25),0),4)</f>
        <v>5:34.600</v>
      </c>
      <c r="K25" s="26">
        <f>MAXIFS('Nordschleife Data'!$E$2:$E$403,'Nordschleife Data'!$C$2:$C$403,A25)</f>
        <v>334.6</v>
      </c>
      <c r="L25" s="26">
        <f t="shared" si="3"/>
        <v>5.155</v>
      </c>
      <c r="M25" s="26" t="str">
        <f t="shared" si="4"/>
        <v>1.565%</v>
      </c>
    </row>
    <row r="26">
      <c r="A26" s="3" t="s">
        <v>39</v>
      </c>
      <c r="B26" s="4" t="str">
        <f t="array" ref="B26">CONCATENATE(INDEX('Nordschleife Data'!$A$2:$E$403,MATCH(1,('Nordschleife Data'!$E$2:$E$403=D26)*('Nordschleife Data'!$C$2:$C$403=A26),0),1)," ",INDEX('Nordschleife Data'!$A$2:$E$403,MATCH(1,('Nordschleife Data'!$E$2:$E$403=D26)*('Nordschleife Data'!$C$2:$C$403=A26),0),2))</f>
        <v>Audi R18 (Le Mans 2016)</v>
      </c>
      <c r="C26" s="4" t="str">
        <f t="array" ref="C26">INDEX('Nordschleife Data'!$A$2:$E$403,MATCH(1,('Nordschleife Data'!$E$2:$E$403=D26)*('Nordschleife Data'!$C$2:$C$403=A26),0),4)</f>
        <v>5:18.419</v>
      </c>
      <c r="D26" s="4">
        <f>MINIFS('Nordschleife Data'!$E$2:$E$403,'Nordschleife Data'!$C$2:$C$403,A26)</f>
        <v>318.419</v>
      </c>
      <c r="E26" s="23">
        <f>(AVERAGEIFS('Nordschleife Data'!$E$2:$E$403,'Nordschleife Data'!$C$2:$C$403,A26))/1439.78</f>
        <v>0.223468516</v>
      </c>
      <c r="F26" s="24">
        <f>ROUND(AVERAGEIFS('Nordschleife Data'!$E$2:$E$403,'Nordschleife Data'!$C$2:$C$403,A26),3)</f>
        <v>321.746</v>
      </c>
      <c r="G26" s="24">
        <f t="shared" si="1"/>
        <v>3.327</v>
      </c>
      <c r="H26" s="24" t="str">
        <f t="shared" si="2"/>
        <v>1.034%</v>
      </c>
      <c r="I26" s="24" t="str">
        <f t="array" ref="I26">CONCATENATE(INDEX('Nordschleife Data'!$A$2:$E$403,MATCH(1,('Nordschleife Data'!$E$2:$E$403=K26)*('Nordschleife Data'!$C$2:$C$403=A26),0),1)," ",INDEX('Nordschleife Data'!$A$2:$E$403,MATCH(1,('Nordschleife Data'!$E$2:$E$403=K26)*('Nordschleife Data'!$C$2:$C$403=A26),0),2))</f>
        <v>Toyota TS050 Hybrid</v>
      </c>
      <c r="J26" s="24" t="str">
        <f t="array" ref="J26">INDEX('Nordschleife Data'!$A$2:$E$403,MATCH(1,('Nordschleife Data'!$E$2:$E$403=K26)*('Nordschleife Data'!$C$2:$C$403=A26),0),4)</f>
        <v>5:25.422</v>
      </c>
      <c r="K26" s="24">
        <f>MAXIFS('Nordschleife Data'!$E$2:$E$403,'Nordschleife Data'!$C$2:$C$403,A26)</f>
        <v>325.422</v>
      </c>
      <c r="L26" s="24">
        <f t="shared" si="3"/>
        <v>3.676</v>
      </c>
      <c r="M26" s="24" t="str">
        <f t="shared" si="4"/>
        <v>1.143%</v>
      </c>
    </row>
    <row r="27">
      <c r="A27" s="6" t="s">
        <v>130</v>
      </c>
      <c r="B27" s="7" t="str">
        <f t="array" ref="B27">CONCATENATE(INDEX('Nordschleife Data'!$A$2:$E$403,MATCH(1,('Nordschleife Data'!$E$2:$E$403=D27)*('Nordschleife Data'!$C$2:$C$403=A27),0),1)," ",INDEX('Nordschleife Data'!$A$2:$E$403,MATCH(1,('Nordschleife Data'!$E$2:$E$403=D27)*('Nordschleife Data'!$C$2:$C$403=A27),0),2))</f>
        <v>Ligier JS P2 Nissan</v>
      </c>
      <c r="C27" s="7" t="str">
        <f t="array" ref="C27">INDEX('Nordschleife Data'!$A$2:$E$403,MATCH(1,('Nordschleife Data'!$E$2:$E$403=D27)*('Nordschleife Data'!$C$2:$C$403=A27),0),4)</f>
        <v>5:49.560</v>
      </c>
      <c r="D27" s="7">
        <f>MINIFS('Nordschleife Data'!$E$2:$E$403,'Nordschleife Data'!$C$2:$C$403,A27)</f>
        <v>349.56</v>
      </c>
      <c r="E27" s="25">
        <f>(AVERAGEIFS('Nordschleife Data'!$E$2:$E$403,'Nordschleife Data'!$C$2:$C$403,A27))/1439.78</f>
        <v>0.2461225558</v>
      </c>
      <c r="F27" s="26">
        <f>ROUND(AVERAGEIFS('Nordschleife Data'!$E$2:$E$403,'Nordschleife Data'!$C$2:$C$403,A27),3)</f>
        <v>354.362</v>
      </c>
      <c r="G27" s="26">
        <f t="shared" si="1"/>
        <v>4.802</v>
      </c>
      <c r="H27" s="26" t="str">
        <f t="shared" si="2"/>
        <v>1.355%</v>
      </c>
      <c r="I27" s="26" t="str">
        <f t="array" ref="I27">CONCATENATE(INDEX('Nordschleife Data'!$A$2:$E$403,MATCH(1,('Nordschleife Data'!$E$2:$E$403=K27)*('Nordschleife Data'!$C$2:$C$403=A27),0),1)," ",INDEX('Nordschleife Data'!$A$2:$E$403,MATCH(1,('Nordschleife Data'!$E$2:$E$403=K27)*('Nordschleife Data'!$C$2:$C$403=A27),0),2))</f>
        <v>RWD P20 LMP2</v>
      </c>
      <c r="J27" s="26" t="str">
        <f t="array" ref="J27">INDEX('Nordschleife Data'!$A$2:$E$403,MATCH(1,('Nordschleife Data'!$E$2:$E$403=K27)*('Nordschleife Data'!$C$2:$C$403=A27),0),4)</f>
        <v>5:59.060</v>
      </c>
      <c r="K27" s="26">
        <f>MAXIFS('Nordschleife Data'!$E$2:$E$403,'Nordschleife Data'!$C$2:$C$403,A27)</f>
        <v>359.06</v>
      </c>
      <c r="L27" s="26">
        <f t="shared" si="3"/>
        <v>4.698</v>
      </c>
      <c r="M27" s="26" t="str">
        <f t="shared" si="4"/>
        <v>1.326%</v>
      </c>
    </row>
    <row r="28">
      <c r="A28" s="3" t="s">
        <v>192</v>
      </c>
      <c r="B28" s="4" t="str">
        <f t="array" ref="B28">CONCATENATE(INDEX('Nordschleife Data'!$A$2:$E$403,MATCH(1,('Nordschleife Data'!$E$2:$E$403=D28)*('Nordschleife Data'!$C$2:$C$403=A28),0),1)," ",INDEX('Nordschleife Data'!$A$2:$E$403,MATCH(1,('Nordschleife Data'!$E$2:$E$403=D28)*('Nordschleife Data'!$C$2:$C$403=A28),0),2))</f>
        <v>Ligier JS P3</v>
      </c>
      <c r="C28" s="4" t="str">
        <f t="array" ref="C28">INDEX('Nordschleife Data'!$A$2:$E$403,MATCH(1,('Nordschleife Data'!$E$2:$E$403=D28)*('Nordschleife Data'!$C$2:$C$403=A28),0),4)</f>
        <v>6:09.902</v>
      </c>
      <c r="D28" s="4">
        <f>MINIFS('Nordschleife Data'!$E$2:$E$403,'Nordschleife Data'!$C$2:$C$403,A28)</f>
        <v>369.902</v>
      </c>
      <c r="E28" s="23">
        <f>(AVERAGEIFS('Nordschleife Data'!$E$2:$E$403,'Nordschleife Data'!$C$2:$C$403,A28))/1439.78</f>
        <v>0.2570187806</v>
      </c>
      <c r="F28" s="24">
        <f>ROUND(AVERAGEIFS('Nordschleife Data'!$E$2:$E$403,'Nordschleife Data'!$C$2:$C$403,A28),3)</f>
        <v>370.051</v>
      </c>
      <c r="G28" s="24">
        <f t="shared" si="1"/>
        <v>0.149</v>
      </c>
      <c r="H28" s="24" t="str">
        <f t="shared" si="2"/>
        <v>0.04%</v>
      </c>
      <c r="I28" s="24" t="str">
        <f t="array" ref="I28">CONCATENATE(INDEX('Nordschleife Data'!$A$2:$E$403,MATCH(1,('Nordschleife Data'!$E$2:$E$403=K28)*('Nordschleife Data'!$C$2:$C$403=A28),0),1)," ",INDEX('Nordschleife Data'!$A$2:$E$403,MATCH(1,('Nordschleife Data'!$E$2:$E$403=K28)*('Nordschleife Data'!$C$2:$C$403=A28),0),2))</f>
        <v>Ginetta LMP3</v>
      </c>
      <c r="J28" s="24" t="str">
        <f t="array" ref="J28">INDEX('Nordschleife Data'!$A$2:$E$403,MATCH(1,('Nordschleife Data'!$E$2:$E$403=K28)*('Nordschleife Data'!$C$2:$C$403=A28),0),4)</f>
        <v>6:10.199</v>
      </c>
      <c r="K28" s="24">
        <f>MAXIFS('Nordschleife Data'!$E$2:$E$403,'Nordschleife Data'!$C$2:$C$403,A28)</f>
        <v>370.199</v>
      </c>
      <c r="L28" s="24">
        <f t="shared" si="3"/>
        <v>0.148</v>
      </c>
      <c r="M28" s="24" t="str">
        <f t="shared" si="4"/>
        <v>0.04%</v>
      </c>
    </row>
    <row r="29">
      <c r="A29" s="6" t="s">
        <v>107</v>
      </c>
      <c r="B29" s="7" t="str">
        <f t="array" ref="B29">CONCATENATE(INDEX('Nordschleife Data'!$A$2:$E$403,MATCH(1,('Nordschleife Data'!$E$2:$E$403=D29)*('Nordschleife Data'!$C$2:$C$403=A29),0),1)," ",INDEX('Nordschleife Data'!$A$2:$E$403,MATCH(1,('Nordschleife Data'!$E$2:$E$403=D29)*('Nordschleife Data'!$C$2:$C$403=A29),0),2))</f>
        <v>Audi R8 (LMP900)</v>
      </c>
      <c r="C29" s="7" t="str">
        <f t="array" ref="C29">INDEX('Nordschleife Data'!$A$2:$E$403,MATCH(1,('Nordschleife Data'!$E$2:$E$403=D29)*('Nordschleife Data'!$C$2:$C$403=A29),0),4)</f>
        <v>5:42.000</v>
      </c>
      <c r="D29" s="7">
        <f>MINIFS('Nordschleife Data'!$E$2:$E$403,'Nordschleife Data'!$C$2:$C$403,A29)</f>
        <v>342</v>
      </c>
      <c r="E29" s="25">
        <f>(AVERAGEIFS('Nordschleife Data'!$E$2:$E$403,'Nordschleife Data'!$C$2:$C$403,A29))/1439.78</f>
        <v>0.2436094403</v>
      </c>
      <c r="F29" s="26">
        <f>ROUND(AVERAGEIFS('Nordschleife Data'!$E$2:$E$403,'Nordschleife Data'!$C$2:$C$403,A29),3)</f>
        <v>350.744</v>
      </c>
      <c r="G29" s="26">
        <f t="shared" si="1"/>
        <v>8.744</v>
      </c>
      <c r="H29" s="26" t="str">
        <f t="shared" si="2"/>
        <v>2.493%</v>
      </c>
      <c r="I29" s="26" t="str">
        <f t="array" ref="I29">CONCATENATE(INDEX('Nordschleife Data'!$A$2:$E$403,MATCH(1,('Nordschleife Data'!$E$2:$E$403=K29)*('Nordschleife Data'!$C$2:$C$403=A29),0),1)," ",INDEX('Nordschleife Data'!$A$2:$E$403,MATCH(1,('Nordschleife Data'!$E$2:$E$403=K29)*('Nordschleife Data'!$C$2:$C$403=A29),0),2))</f>
        <v>BMW V12 LMR</v>
      </c>
      <c r="J29" s="26" t="str">
        <f t="array" ref="J29">INDEX('Nordschleife Data'!$A$2:$E$403,MATCH(1,('Nordschleife Data'!$E$2:$E$403=K29)*('Nordschleife Data'!$C$2:$C$403=A29),0),4)</f>
        <v>5:57.180</v>
      </c>
      <c r="K29" s="26">
        <f>MAXIFS('Nordschleife Data'!$E$2:$E$403,'Nordschleife Data'!$C$2:$C$403,A29)</f>
        <v>357.18</v>
      </c>
      <c r="L29" s="26">
        <f t="shared" si="3"/>
        <v>6.436</v>
      </c>
      <c r="M29" s="26" t="str">
        <f t="shared" si="4"/>
        <v>1.835%</v>
      </c>
    </row>
    <row r="30">
      <c r="A30" s="3" t="s">
        <v>389</v>
      </c>
      <c r="B30" s="4" t="str">
        <f t="array" ref="B30">CONCATENATE(INDEX('Nordschleife Data'!$A$2:$E$403,MATCH(1,('Nordschleife Data'!$E$2:$E$403=D30)*('Nordschleife Data'!$C$2:$C$403=A30),0),1)," ",INDEX('Nordschleife Data'!$A$2:$E$403,MATCH(1,('Nordschleife Data'!$E$2:$E$403=D30)*('Nordschleife Data'!$C$2:$C$403=A30),0),2))</f>
        <v>Renault Mégane Trophy V6</v>
      </c>
      <c r="C30" s="4" t="str">
        <f t="array" ref="C30">INDEX('Nordschleife Data'!$A$2:$E$403,MATCH(1,('Nordschleife Data'!$E$2:$E$403=D30)*('Nordschleife Data'!$C$2:$C$403=A30),0),4)</f>
        <v>6:45.361</v>
      </c>
      <c r="D30" s="4">
        <f>MINIFS('Nordschleife Data'!$E$2:$E$403,'Nordschleife Data'!$C$2:$C$403,A30)</f>
        <v>405.361</v>
      </c>
      <c r="E30" s="23">
        <f>(AVERAGEIFS('Nordschleife Data'!$E$2:$E$403,'Nordschleife Data'!$C$2:$C$403,A30))/1439.78</f>
        <v>0.2815437081</v>
      </c>
      <c r="F30" s="24">
        <f>ROUND(AVERAGEIFS('Nordschleife Data'!$E$2:$E$403,'Nordschleife Data'!$C$2:$C$403,A30),3)</f>
        <v>405.361</v>
      </c>
      <c r="G30" s="24">
        <f t="shared" si="1"/>
        <v>0</v>
      </c>
      <c r="H30" s="24" t="str">
        <f t="shared" si="2"/>
        <v>0%</v>
      </c>
      <c r="I30" s="24" t="str">
        <f t="array" ref="I30">CONCATENATE(INDEX('Nordschleife Data'!$A$2:$E$403,MATCH(1,('Nordschleife Data'!$E$2:$E$403=K30)*('Nordschleife Data'!$C$2:$C$403=A30),0),1)," ",INDEX('Nordschleife Data'!$A$2:$E$403,MATCH(1,('Nordschleife Data'!$E$2:$E$403=K30)*('Nordschleife Data'!$C$2:$C$403=A30),0),2))</f>
        <v>Renault Mégane Trophy V6</v>
      </c>
      <c r="J30" s="24" t="str">
        <f t="array" ref="J30">INDEX('Nordschleife Data'!$A$2:$E$403,MATCH(1,('Nordschleife Data'!$E$2:$E$403=K30)*('Nordschleife Data'!$C$2:$C$403=A30),0),4)</f>
        <v>6:45.361</v>
      </c>
      <c r="K30" s="24">
        <f>MAXIFS('Nordschleife Data'!$E$2:$E$403,'Nordschleife Data'!$C$2:$C$403,A30)</f>
        <v>405.361</v>
      </c>
      <c r="L30" s="24">
        <f t="shared" si="3"/>
        <v>0</v>
      </c>
      <c r="M30" s="24" t="str">
        <f t="shared" si="4"/>
        <v>0%</v>
      </c>
    </row>
    <row r="31">
      <c r="A31" s="6" t="s">
        <v>287</v>
      </c>
      <c r="B31" s="7" t="str">
        <f t="array" ref="B31">CONCATENATE(INDEX('Nordschleife Data'!$A$2:$E$403,MATCH(1,('Nordschleife Data'!$E$2:$E$403=D31)*('Nordschleife Data'!$C$2:$C$403=A31),0),1)," ",INDEX('Nordschleife Data'!$A$2:$E$403,MATCH(1,('Nordschleife Data'!$E$2:$E$403=D31)*('Nordschleife Data'!$C$2:$C$403=A31),0),2))</f>
        <v>Ford Fusion Stockcar</v>
      </c>
      <c r="C31" s="7" t="str">
        <f t="array" ref="C31">INDEX('Nordschleife Data'!$A$2:$E$403,MATCH(1,('Nordschleife Data'!$E$2:$E$403=D31)*('Nordschleife Data'!$C$2:$C$403=A31),0),4)</f>
        <v>6:57.300</v>
      </c>
      <c r="D31" s="7">
        <f>MINIFS('Nordschleife Data'!$E$2:$E$403,'Nordschleife Data'!$C$2:$C$403,A31)</f>
        <v>417.3</v>
      </c>
      <c r="E31" s="25">
        <f>(AVERAGEIFS('Nordschleife Data'!$E$2:$E$403,'Nordschleife Data'!$C$2:$C$403,A31))/1439.78</f>
        <v>0.2898359472</v>
      </c>
      <c r="F31" s="26">
        <f>ROUND(AVERAGEIFS('Nordschleife Data'!$E$2:$E$403,'Nordschleife Data'!$C$2:$C$403,A31),3)</f>
        <v>417.3</v>
      </c>
      <c r="G31" s="26">
        <f t="shared" si="1"/>
        <v>0</v>
      </c>
      <c r="H31" s="26" t="str">
        <f t="shared" si="2"/>
        <v>0%</v>
      </c>
      <c r="I31" s="26" t="str">
        <f t="array" ref="I31">CONCATENATE(INDEX('Nordschleife Data'!$A$2:$E$403,MATCH(1,('Nordschleife Data'!$E$2:$E$403=K31)*('Nordschleife Data'!$C$2:$C$403=A31),0),1)," ",INDEX('Nordschleife Data'!$A$2:$E$403,MATCH(1,('Nordschleife Data'!$E$2:$E$403=K31)*('Nordschleife Data'!$C$2:$C$403=A31),0),2))</f>
        <v>Ford Fusion Stockcar</v>
      </c>
      <c r="J31" s="26" t="str">
        <f t="array" ref="J31">INDEX('Nordschleife Data'!$A$2:$E$403,MATCH(1,('Nordschleife Data'!$E$2:$E$403=K31)*('Nordschleife Data'!$C$2:$C$403=A31),0),4)</f>
        <v>6:57.300</v>
      </c>
      <c r="K31" s="26">
        <f>MAXIFS('Nordschleife Data'!$E$2:$E$403,'Nordschleife Data'!$C$2:$C$403,A31)</f>
        <v>417.3</v>
      </c>
      <c r="L31" s="26">
        <f t="shared" si="3"/>
        <v>0</v>
      </c>
      <c r="M31" s="26" t="str">
        <f t="shared" si="4"/>
        <v>0%</v>
      </c>
    </row>
    <row r="32">
      <c r="A32" s="3" t="s">
        <v>82</v>
      </c>
      <c r="B32" s="4" t="str">
        <f t="array" ref="B32">CONCATENATE(INDEX('Nordschleife Data'!$A$2:$E$403,MATCH(1,('Nordschleife Data'!$E$2:$E$403=D32)*('Nordschleife Data'!$C$2:$C$403=A32),0),1)," ",INDEX('Nordschleife Data'!$A$2:$E$403,MATCH(1,('Nordschleife Data'!$E$2:$E$403=D32)*('Nordschleife Data'!$C$2:$C$403=A32),0),2))</f>
        <v>Ferrari LaFerrari</v>
      </c>
      <c r="C32" s="4" t="str">
        <f t="array" ref="C32">INDEX('Nordschleife Data'!$A$2:$E$403,MATCH(1,('Nordschleife Data'!$E$2:$E$403=D32)*('Nordschleife Data'!$C$2:$C$403=A32),0),4)</f>
        <v>6:28.359</v>
      </c>
      <c r="D32" s="4">
        <f>MINIFS('Nordschleife Data'!$E$2:$E$403,'Nordschleife Data'!$C$2:$C$403,A32)</f>
        <v>388.359</v>
      </c>
      <c r="E32" s="23">
        <f>(AVERAGEIFS('Nordschleife Data'!$E$2:$E$403,'Nordschleife Data'!$C$2:$C$403,A32))/1439.78</f>
        <v>0.2754460503</v>
      </c>
      <c r="F32" s="24">
        <f>ROUND(AVERAGEIFS('Nordschleife Data'!$E$2:$E$403,'Nordschleife Data'!$C$2:$C$403,A32),3)</f>
        <v>396.582</v>
      </c>
      <c r="G32" s="24">
        <f t="shared" si="1"/>
        <v>8.223</v>
      </c>
      <c r="H32" s="24" t="str">
        <f t="shared" si="2"/>
        <v>2.073%</v>
      </c>
      <c r="I32" s="24" t="str">
        <f t="array" ref="I32">CONCATENATE(INDEX('Nordschleife Data'!$A$2:$E$403,MATCH(1,('Nordschleife Data'!$E$2:$E$403=K32)*('Nordschleife Data'!$C$2:$C$403=A32),0),1)," ",INDEX('Nordschleife Data'!$A$2:$E$403,MATCH(1,('Nordschleife Data'!$E$2:$E$403=K32)*('Nordschleife Data'!$C$2:$C$403=A32),0),2))</f>
        <v>Porsche 918 Spyder Weissach</v>
      </c>
      <c r="J32" s="24" t="str">
        <f t="array" ref="J32">INDEX('Nordschleife Data'!$A$2:$E$403,MATCH(1,('Nordschleife Data'!$E$2:$E$403=K32)*('Nordschleife Data'!$C$2:$C$403=A32),0),4)</f>
        <v>6:41.661</v>
      </c>
      <c r="K32" s="24">
        <f>MAXIFS('Nordschleife Data'!$E$2:$E$403,'Nordschleife Data'!$C$2:$C$403,A32)</f>
        <v>401.661</v>
      </c>
      <c r="L32" s="24">
        <f t="shared" si="3"/>
        <v>5.079</v>
      </c>
      <c r="M32" s="24" t="str">
        <f t="shared" si="4"/>
        <v>1.281%</v>
      </c>
    </row>
    <row r="33">
      <c r="A33" s="6" t="s">
        <v>196</v>
      </c>
      <c r="B33" s="7" t="str">
        <f t="array" ref="B33">CONCATENATE(INDEX('Nordschleife Data'!$A$2:$E$403,MATCH(1,('Nordschleife Data'!$E$2:$E$403=D33)*('Nordschleife Data'!$C$2:$C$403=A33),0),1)," ",INDEX('Nordschleife Data'!$A$2:$E$403,MATCH(1,('Nordschleife Data'!$E$2:$E$403=D33)*('Nordschleife Data'!$C$2:$C$403=A33),0),2))</f>
        <v>BAC Mono</v>
      </c>
      <c r="C33" s="7" t="str">
        <f t="array" ref="C33">INDEX('Nordschleife Data'!$A$2:$E$403,MATCH(1,('Nordschleife Data'!$E$2:$E$403=D33)*('Nordschleife Data'!$C$2:$C$403=A33),0),4)</f>
        <v>6:39.840</v>
      </c>
      <c r="D33" s="7">
        <f>MINIFS('Nordschleife Data'!$E$2:$E$403,'Nordschleife Data'!$C$2:$C$403,A33)</f>
        <v>399.84</v>
      </c>
      <c r="E33" s="25">
        <f>(AVERAGEIFS('Nordschleife Data'!$E$2:$E$403,'Nordschleife Data'!$C$2:$C$403,A33))/1439.78</f>
        <v>0.284024797</v>
      </c>
      <c r="F33" s="26">
        <f>ROUND(AVERAGEIFS('Nordschleife Data'!$E$2:$E$403,'Nordschleife Data'!$C$2:$C$403,A33),3)</f>
        <v>408.933</v>
      </c>
      <c r="G33" s="26">
        <f t="shared" si="1"/>
        <v>9.093</v>
      </c>
      <c r="H33" s="26" t="str">
        <f t="shared" si="2"/>
        <v>2.224%</v>
      </c>
      <c r="I33" s="26" t="str">
        <f t="array" ref="I33">CONCATENATE(INDEX('Nordschleife Data'!$A$2:$E$403,MATCH(1,('Nordschleife Data'!$E$2:$E$403=K33)*('Nordschleife Data'!$C$2:$C$403=A33),0),1)," ",INDEX('Nordschleife Data'!$A$2:$E$403,MATCH(1,('Nordschleife Data'!$E$2:$E$403=K33)*('Nordschleife Data'!$C$2:$C$403=A33),0),2))</f>
        <v>Lamborghini Aventador LP700-4</v>
      </c>
      <c r="J33" s="26" t="str">
        <f t="array" ref="J33">INDEX('Nordschleife Data'!$A$2:$E$403,MATCH(1,('Nordschleife Data'!$E$2:$E$403=K33)*('Nordschleife Data'!$C$2:$C$403=A33),0),4)</f>
        <v>6:56.180</v>
      </c>
      <c r="K33" s="26">
        <f>MAXIFS('Nordschleife Data'!$E$2:$E$403,'Nordschleife Data'!$C$2:$C$403,A33)</f>
        <v>416.18</v>
      </c>
      <c r="L33" s="26">
        <f t="shared" si="3"/>
        <v>7.247</v>
      </c>
      <c r="M33" s="26" t="str">
        <f t="shared" si="4"/>
        <v>1.772%</v>
      </c>
    </row>
    <row r="34">
      <c r="A34" s="3" t="s">
        <v>131</v>
      </c>
      <c r="B34" s="4" t="str">
        <f t="array" ref="B34">CONCATENATE(INDEX('Nordschleife Data'!$A$2:$E$403,MATCH(1,('Nordschleife Data'!$E$2:$E$403=D34)*('Nordschleife Data'!$C$2:$C$403=A34),0),1)," ",INDEX('Nordschleife Data'!$A$2:$E$403,MATCH(1,('Nordschleife Data'!$E$2:$E$403=D34)*('Nordschleife Data'!$C$2:$C$403=A34),0),2))</f>
        <v>McLaren F1</v>
      </c>
      <c r="C34" s="4" t="str">
        <f t="array" ref="C34">INDEX('Nordschleife Data'!$A$2:$E$403,MATCH(1,('Nordschleife Data'!$E$2:$E$403=D34)*('Nordschleife Data'!$C$2:$C$403=A34),0),4)</f>
        <v>6:53.540</v>
      </c>
      <c r="D34" s="4">
        <f>MINIFS('Nordschleife Data'!$E$2:$E$403,'Nordschleife Data'!$C$2:$C$403,A34)</f>
        <v>413.54</v>
      </c>
      <c r="E34" s="23">
        <f>(AVERAGEIFS('Nordschleife Data'!$E$2:$E$403,'Nordschleife Data'!$C$2:$C$403,A34))/1439.78</f>
        <v>0.2928906436</v>
      </c>
      <c r="F34" s="24">
        <f>ROUND(AVERAGEIFS('Nordschleife Data'!$E$2:$E$403,'Nordschleife Data'!$C$2:$C$403,A34),3)</f>
        <v>421.698</v>
      </c>
      <c r="G34" s="24">
        <f t="shared" si="1"/>
        <v>8.158</v>
      </c>
      <c r="H34" s="24" t="str">
        <f t="shared" si="2"/>
        <v>1.935%</v>
      </c>
      <c r="I34" s="24" t="str">
        <f t="array" ref="I34">CONCATENATE(INDEX('Nordschleife Data'!$A$2:$E$403,MATCH(1,('Nordschleife Data'!$E$2:$E$403=K34)*('Nordschleife Data'!$C$2:$C$403=A34),0),1)," ",INDEX('Nordschleife Data'!$A$2:$E$403,MATCH(1,('Nordschleife Data'!$E$2:$E$403=K34)*('Nordschleife Data'!$C$2:$C$403=A34),0),2))</f>
        <v>Toyota GT-86 Rocket Bunny Street</v>
      </c>
      <c r="J34" s="24" t="str">
        <f t="array" ref="J34">INDEX('Nordschleife Data'!$A$2:$E$403,MATCH(1,('Nordschleife Data'!$E$2:$E$403=K34)*('Nordschleife Data'!$C$2:$C$403=A34),0),4)</f>
        <v>7:12.599</v>
      </c>
      <c r="K34" s="24">
        <f>MAXIFS('Nordschleife Data'!$E$2:$E$403,'Nordschleife Data'!$C$2:$C$403,A34)</f>
        <v>432.599</v>
      </c>
      <c r="L34" s="24">
        <f t="shared" si="3"/>
        <v>10.901</v>
      </c>
      <c r="M34" s="24" t="str">
        <f t="shared" si="4"/>
        <v>2.585%</v>
      </c>
    </row>
    <row r="35">
      <c r="A35" s="6" t="s">
        <v>359</v>
      </c>
      <c r="B35" s="7" t="str">
        <f t="array" ref="B35">CONCATENATE(INDEX('Nordschleife Data'!$A$2:$E$403,MATCH(1,('Nordschleife Data'!$E$2:$E$403=D35)*('Nordschleife Data'!$C$2:$C$403=A35),0),1)," ",INDEX('Nordschleife Data'!$A$2:$E$403,MATCH(1,('Nordschleife Data'!$E$2:$E$403=D35)*('Nordschleife Data'!$C$2:$C$403=A35),0),2))</f>
        <v>Caterham Seven 620 R</v>
      </c>
      <c r="C35" s="7" t="str">
        <f t="array" ref="C35">INDEX('Nordschleife Data'!$A$2:$E$403,MATCH(1,('Nordschleife Data'!$E$2:$E$403=D35)*('Nordschleife Data'!$C$2:$C$403=A35),0),4)</f>
        <v>7:02.320</v>
      </c>
      <c r="D35" s="7">
        <f>MINIFS('Nordschleife Data'!$E$2:$E$403,'Nordschleife Data'!$C$2:$C$403,A35)</f>
        <v>422.32</v>
      </c>
      <c r="E35" s="25">
        <f>(AVERAGEIFS('Nordschleife Data'!$E$2:$E$403,'Nordschleife Data'!$C$2:$C$403,A35))/1439.78</f>
        <v>0.2977000454</v>
      </c>
      <c r="F35" s="26">
        <f>ROUND(AVERAGEIFS('Nordschleife Data'!$E$2:$E$403,'Nordschleife Data'!$C$2:$C$403,A35),3)</f>
        <v>428.623</v>
      </c>
      <c r="G35" s="26">
        <f t="shared" si="1"/>
        <v>6.303</v>
      </c>
      <c r="H35" s="26" t="str">
        <f t="shared" si="2"/>
        <v>1.471%</v>
      </c>
      <c r="I35" s="26" t="str">
        <f t="array" ref="I35">CONCATENATE(INDEX('Nordschleife Data'!$A$2:$E$403,MATCH(1,('Nordschleife Data'!$E$2:$E$403=K35)*('Nordschleife Data'!$C$2:$C$403=A35),0),1)," ",INDEX('Nordschleife Data'!$A$2:$E$403,MATCH(1,('Nordschleife Data'!$E$2:$E$403=K35)*('Nordschleife Data'!$C$2:$C$403=A35),0),2))</f>
        <v>BMW 1 Series M Coupé StanceWorks Edition</v>
      </c>
      <c r="J35" s="26" t="str">
        <f t="array" ref="J35">INDEX('Nordschleife Data'!$A$2:$E$403,MATCH(1,('Nordschleife Data'!$E$2:$E$403=K35)*('Nordschleife Data'!$C$2:$C$403=A35),0),4)</f>
        <v>7:13.780</v>
      </c>
      <c r="K35" s="26">
        <f>MAXIFS('Nordschleife Data'!$E$2:$E$403,'Nordschleife Data'!$C$2:$C$403,A35)</f>
        <v>433.78</v>
      </c>
      <c r="L35" s="26">
        <f t="shared" si="3"/>
        <v>5.157</v>
      </c>
      <c r="M35" s="26" t="str">
        <f t="shared" si="4"/>
        <v>1.203%</v>
      </c>
    </row>
    <row r="36">
      <c r="A36" s="3" t="s">
        <v>412</v>
      </c>
      <c r="B36" s="4" t="str">
        <f t="array" ref="B36">CONCATENATE(INDEX('Nordschleife Data'!$A$2:$E$403,MATCH(1,('Nordschleife Data'!$E$2:$E$403=D36)*('Nordschleife Data'!$C$2:$C$403=A36),0),1)," ",INDEX('Nordschleife Data'!$A$2:$E$403,MATCH(1,('Nordschleife Data'!$E$2:$E$403=D36)*('Nordschleife Data'!$C$2:$C$403=A36),0),2))</f>
        <v>Mercedes-AMG C 63 Coupé S</v>
      </c>
      <c r="C36" s="4" t="str">
        <f t="array" ref="C36">INDEX('Nordschleife Data'!$A$2:$E$403,MATCH(1,('Nordschleife Data'!$E$2:$E$403=D36)*('Nordschleife Data'!$C$2:$C$403=A36),0),4)</f>
        <v>7:11.140</v>
      </c>
      <c r="D36" s="4">
        <f>MINIFS('Nordschleife Data'!$E$2:$E$403,'Nordschleife Data'!$C$2:$C$403,A36)</f>
        <v>431.14</v>
      </c>
      <c r="E36" s="23">
        <f>(AVERAGEIFS('Nordschleife Data'!$E$2:$E$403,'Nordschleife Data'!$C$2:$C$403,A36))/1439.78</f>
        <v>0.3059312881</v>
      </c>
      <c r="F36" s="24">
        <f>ROUND(AVERAGEIFS('Nordschleife Data'!$E$2:$E$403,'Nordschleife Data'!$C$2:$C$403,A36),3)</f>
        <v>440.474</v>
      </c>
      <c r="G36" s="24">
        <f t="shared" si="1"/>
        <v>9.334</v>
      </c>
      <c r="H36" s="24" t="str">
        <f t="shared" si="2"/>
        <v>2.119%</v>
      </c>
      <c r="I36" s="24" t="str">
        <f t="array" ref="I36">CONCATENATE(INDEX('Nordschleife Data'!$A$2:$E$403,MATCH(1,('Nordschleife Data'!$E$2:$E$403=K36)*('Nordschleife Data'!$C$2:$C$403=A36),0),1)," ",INDEX('Nordschleife Data'!$A$2:$E$403,MATCH(1,('Nordschleife Data'!$E$2:$E$403=K36)*('Nordschleife Data'!$C$2:$C$403=A36),0),2))</f>
        <v>BMW 1 Series M Coupé</v>
      </c>
      <c r="J36" s="24" t="str">
        <f t="array" ref="J36">INDEX('Nordschleife Data'!$A$2:$E$403,MATCH(1,('Nordschleife Data'!$E$2:$E$403=K36)*('Nordschleife Data'!$C$2:$C$403=A36),0),4)</f>
        <v>7:27.360</v>
      </c>
      <c r="K36" s="24">
        <f>MAXIFS('Nordschleife Data'!$E$2:$E$403,'Nordschleife Data'!$C$2:$C$403,A36)</f>
        <v>447.36</v>
      </c>
      <c r="L36" s="24">
        <f t="shared" si="3"/>
        <v>6.886</v>
      </c>
      <c r="M36" s="24" t="str">
        <f t="shared" si="4"/>
        <v>1.563%</v>
      </c>
    </row>
    <row r="37">
      <c r="A37" s="6" t="s">
        <v>580</v>
      </c>
      <c r="B37" s="7" t="str">
        <f t="array" ref="B37">CONCATENATE(INDEX('Nordschleife Data'!$A$2:$E$403,MATCH(1,('Nordschleife Data'!$E$2:$E$403=D37)*('Nordschleife Data'!$C$2:$C$403=A37),0),1)," ",INDEX('Nordschleife Data'!$A$2:$E$403,MATCH(1,('Nordschleife Data'!$E$2:$E$403=D37)*('Nordschleife Data'!$C$2:$C$403=A37),0),2))</f>
        <v>Honda Civic Type-R</v>
      </c>
      <c r="C37" s="7" t="str">
        <f t="array" ref="C37">INDEX('Nordschleife Data'!$A$2:$E$403,MATCH(1,('Nordschleife Data'!$E$2:$E$403=D37)*('Nordschleife Data'!$C$2:$C$403=A37),0),4)</f>
        <v>7:37.843</v>
      </c>
      <c r="D37" s="7">
        <f>MINIFS('Nordschleife Data'!$E$2:$E$403,'Nordschleife Data'!$C$2:$C$403,A37)</f>
        <v>457.843</v>
      </c>
      <c r="E37" s="25">
        <f>(AVERAGEIFS('Nordschleife Data'!$E$2:$E$403,'Nordschleife Data'!$C$2:$C$403,A37))/1439.78</f>
        <v>0.3251713803</v>
      </c>
      <c r="F37" s="26">
        <f>ROUND(AVERAGEIFS('Nordschleife Data'!$E$2:$E$403,'Nordschleife Data'!$C$2:$C$403,A37),3)</f>
        <v>468.175</v>
      </c>
      <c r="G37" s="26">
        <f t="shared" si="1"/>
        <v>10.332</v>
      </c>
      <c r="H37" s="26" t="str">
        <f t="shared" si="2"/>
        <v>2.207%</v>
      </c>
      <c r="I37" s="26" t="str">
        <f t="array" ref="I37">CONCATENATE(INDEX('Nordschleife Data'!$A$2:$E$403,MATCH(1,('Nordschleife Data'!$E$2:$E$403=K37)*('Nordschleife Data'!$C$2:$C$403=A37),0),1)," ",INDEX('Nordschleife Data'!$A$2:$E$403,MATCH(1,('Nordschleife Data'!$E$2:$E$403=K37)*('Nordschleife Data'!$C$2:$C$403=A37),0),2))</f>
        <v>Audi A1 quattro</v>
      </c>
      <c r="J37" s="26" t="str">
        <f t="array" ref="J37">INDEX('Nordschleife Data'!$A$2:$E$403,MATCH(1,('Nordschleife Data'!$E$2:$E$403=K37)*('Nordschleife Data'!$C$2:$C$403=A37),0),4)</f>
        <v>7:55.620</v>
      </c>
      <c r="K37" s="26">
        <f>MAXIFS('Nordschleife Data'!$E$2:$E$403,'Nordschleife Data'!$C$2:$C$403,A37)</f>
        <v>475.62</v>
      </c>
      <c r="L37" s="26">
        <f t="shared" si="3"/>
        <v>7.445</v>
      </c>
      <c r="M37" s="26" t="str">
        <f t="shared" si="4"/>
        <v>1.59%</v>
      </c>
    </row>
    <row r="38">
      <c r="A38" s="3" t="s">
        <v>612</v>
      </c>
      <c r="B38" s="4" t="str">
        <f t="array" ref="B38">CONCATENATE(INDEX('Nordschleife Data'!$A$2:$E$403,MATCH(1,('Nordschleife Data'!$E$2:$E$403=D38)*('Nordschleife Data'!$C$2:$C$403=A38),0),1)," ",INDEX('Nordschleife Data'!$A$2:$E$403,MATCH(1,('Nordschleife Data'!$E$2:$E$403=D38)*('Nordschleife Data'!$C$2:$C$403=A38),0),2))</f>
        <v>Ford Mustang 2+2 Fastback</v>
      </c>
      <c r="C38" s="4" t="str">
        <f t="array" ref="C38">INDEX('Nordschleife Data'!$A$2:$E$403,MATCH(1,('Nordschleife Data'!$E$2:$E$403=D38)*('Nordschleife Data'!$C$2:$C$403=A38),0),4)</f>
        <v>8:13.859</v>
      </c>
      <c r="D38" s="4">
        <f>MINIFS('Nordschleife Data'!$E$2:$E$403,'Nordschleife Data'!$C$2:$C$403,A38)</f>
        <v>493.859</v>
      </c>
      <c r="E38" s="23">
        <f>(AVERAGEIFS('Nordschleife Data'!$E$2:$E$403,'Nordschleife Data'!$C$2:$C$403,A38))/1439.78</f>
        <v>0.3488028264</v>
      </c>
      <c r="F38" s="24">
        <f>ROUND(AVERAGEIFS('Nordschleife Data'!$E$2:$E$403,'Nordschleife Data'!$C$2:$C$403,A38),3)</f>
        <v>502.199</v>
      </c>
      <c r="G38" s="24">
        <f t="shared" si="1"/>
        <v>8.34</v>
      </c>
      <c r="H38" s="24" t="str">
        <f t="shared" si="2"/>
        <v>1.661%</v>
      </c>
      <c r="I38" s="24" t="str">
        <f t="array" ref="I38">CONCATENATE(INDEX('Nordschleife Data'!$A$2:$E$403,MATCH(1,('Nordschleife Data'!$E$2:$E$403=K38)*('Nordschleife Data'!$C$2:$C$403=A38),0),1)," ",INDEX('Nordschleife Data'!$A$2:$E$403,MATCH(1,('Nordschleife Data'!$E$2:$E$403=K38)*('Nordschleife Data'!$C$2:$C$403=A38),0),2))</f>
        <v>Ford Escort RS1600</v>
      </c>
      <c r="J38" s="24" t="str">
        <f t="array" ref="J38">INDEX('Nordschleife Data'!$A$2:$E$403,MATCH(1,('Nordschleife Data'!$E$2:$E$403=K38)*('Nordschleife Data'!$C$2:$C$403=A38),0),4)</f>
        <v>8:36.360</v>
      </c>
      <c r="K38" s="24">
        <f>MAXIFS('Nordschleife Data'!$E$2:$E$403,'Nordschleife Data'!$C$2:$C$403,A38)</f>
        <v>516.36</v>
      </c>
      <c r="L38" s="24">
        <f t="shared" si="3"/>
        <v>14.161</v>
      </c>
      <c r="M38" s="24" t="str">
        <f t="shared" si="4"/>
        <v>2.82%</v>
      </c>
    </row>
    <row r="39">
      <c r="A39" s="6" t="s">
        <v>201</v>
      </c>
      <c r="B39" s="7" t="str">
        <f t="array" ref="B39">CONCATENATE(INDEX('Nordschleife Data'!$A$2:$E$403,MATCH(1,('Nordschleife Data'!$E$2:$E$403=D39)*('Nordschleife Data'!$C$2:$C$403=A39),0),1)," ",INDEX('Nordschleife Data'!$A$2:$E$403,MATCH(1,('Nordschleife Data'!$E$2:$E$403=D39)*('Nordschleife Data'!$C$2:$C$403=A39),0),2))</f>
        <v>Renault Sport R.S. 01</v>
      </c>
      <c r="C39" s="7" t="str">
        <f t="array" ref="C39">INDEX('Nordschleife Data'!$A$2:$E$403,MATCH(1,('Nordschleife Data'!$E$2:$E$403=D39)*('Nordschleife Data'!$C$2:$C$403=A39),0),4)</f>
        <v>6:12.238</v>
      </c>
      <c r="D39" s="7">
        <f>MINIFS('Nordschleife Data'!$E$2:$E$403,'Nordschleife Data'!$C$2:$C$403,A39)</f>
        <v>372.238</v>
      </c>
      <c r="E39" s="25">
        <f>(AVERAGEIFS('Nordschleife Data'!$E$2:$E$403,'Nordschleife Data'!$C$2:$C$403,A39))/1439.78</f>
        <v>0.25853811</v>
      </c>
      <c r="F39" s="26">
        <f>ROUND(AVERAGEIFS('Nordschleife Data'!$E$2:$E$403,'Nordschleife Data'!$C$2:$C$403,A39),3)</f>
        <v>372.238</v>
      </c>
      <c r="G39" s="26">
        <f t="shared" si="1"/>
        <v>0</v>
      </c>
      <c r="H39" s="26" t="str">
        <f t="shared" si="2"/>
        <v>0%</v>
      </c>
      <c r="I39" s="26" t="str">
        <f t="array" ref="I39">CONCATENATE(INDEX('Nordschleife Data'!$A$2:$E$403,MATCH(1,('Nordschleife Data'!$E$2:$E$403=K39)*('Nordschleife Data'!$C$2:$C$403=A39),0),1)," ",INDEX('Nordschleife Data'!$A$2:$E$403,MATCH(1,('Nordschleife Data'!$E$2:$E$403=K39)*('Nordschleife Data'!$C$2:$C$403=A39),0),2))</f>
        <v>Renault Sport R.S. 01</v>
      </c>
      <c r="J39" s="26" t="str">
        <f t="array" ref="J39">INDEX('Nordschleife Data'!$A$2:$E$403,MATCH(1,('Nordschleife Data'!$E$2:$E$403=K39)*('Nordschleife Data'!$C$2:$C$403=A39),0),4)</f>
        <v>6:12.238</v>
      </c>
      <c r="K39" s="26">
        <f>MAXIFS('Nordschleife Data'!$E$2:$E$403,'Nordschleife Data'!$C$2:$C$403,A39)</f>
        <v>372.238</v>
      </c>
      <c r="L39" s="26">
        <f t="shared" si="3"/>
        <v>0</v>
      </c>
      <c r="M39" s="26" t="str">
        <f t="shared" si="4"/>
        <v>0%</v>
      </c>
    </row>
    <row r="40">
      <c r="A40" s="3" t="s">
        <v>591</v>
      </c>
      <c r="B40" s="4" t="str">
        <f t="array" ref="B40">CONCATENATE(INDEX('Nordschleife Data'!$A$2:$E$403,MATCH(1,('Nordschleife Data'!$E$2:$E$403=D40)*('Nordschleife Data'!$C$2:$C$403=A40),0),1)," ",INDEX('Nordschleife Data'!$A$2:$E$403,MATCH(1,('Nordschleife Data'!$E$2:$E$403=D40)*('Nordschleife Data'!$C$2:$C$403=A40),0),2))</f>
        <v>Olsbergs MSE RX Supercar Lite</v>
      </c>
      <c r="C40" s="4" t="str">
        <f t="array" ref="C40">INDEX('Nordschleife Data'!$A$2:$E$403,MATCH(1,('Nordschleife Data'!$E$2:$E$403=D40)*('Nordschleife Data'!$C$2:$C$403=A40),0),4)</f>
        <v>7:42.280</v>
      </c>
      <c r="D40" s="4">
        <f>MINIFS('Nordschleife Data'!$E$2:$E$403,'Nordschleife Data'!$C$2:$C$403,A40)</f>
        <v>462.28</v>
      </c>
      <c r="E40" s="23">
        <f>(AVERAGEIFS('Nordschleife Data'!$E$2:$E$403,'Nordschleife Data'!$C$2:$C$403,A40))/1439.78</f>
        <v>0.3210768312</v>
      </c>
      <c r="F40" s="24">
        <f>ROUND(AVERAGEIFS('Nordschleife Data'!$E$2:$E$403,'Nordschleife Data'!$C$2:$C$403,A40),3)</f>
        <v>462.28</v>
      </c>
      <c r="G40" s="24">
        <f t="shared" si="1"/>
        <v>0</v>
      </c>
      <c r="H40" s="24" t="str">
        <f t="shared" si="2"/>
        <v>0%</v>
      </c>
      <c r="I40" s="24" t="str">
        <f t="array" ref="I40">CONCATENATE(INDEX('Nordschleife Data'!$A$2:$E$403,MATCH(1,('Nordschleife Data'!$E$2:$E$403=K40)*('Nordschleife Data'!$C$2:$C$403=A40),0),1)," ",INDEX('Nordschleife Data'!$A$2:$E$403,MATCH(1,('Nordschleife Data'!$E$2:$E$403=K40)*('Nordschleife Data'!$C$2:$C$403=A40),0),2))</f>
        <v>Olsbergs MSE RX Supercar Lite</v>
      </c>
      <c r="J40" s="24" t="str">
        <f t="array" ref="J40">INDEX('Nordschleife Data'!$A$2:$E$403,MATCH(1,('Nordschleife Data'!$E$2:$E$403=K40)*('Nordschleife Data'!$C$2:$C$403=A40),0),4)</f>
        <v>7:42.280</v>
      </c>
      <c r="K40" s="24">
        <f>MAXIFS('Nordschleife Data'!$E$2:$E$403,'Nordschleife Data'!$C$2:$C$403,A40)</f>
        <v>462.28</v>
      </c>
      <c r="L40" s="24">
        <f t="shared" si="3"/>
        <v>0</v>
      </c>
      <c r="M40" s="24" t="str">
        <f t="shared" si="4"/>
        <v>0%</v>
      </c>
    </row>
    <row r="41">
      <c r="A41" s="6" t="s">
        <v>370</v>
      </c>
      <c r="B41" s="7" t="str">
        <f t="array" ref="B41">CONCATENATE(INDEX('Nordschleife Data'!$A$2:$E$403,MATCH(1,('Nordschleife Data'!$E$2:$E$403=D41)*('Nordschleife Data'!$C$2:$C$403=A41),0),1)," ",INDEX('Nordschleife Data'!$A$2:$E$403,MATCH(1,('Nordschleife Data'!$E$2:$E$403=D41)*('Nordschleife Data'!$C$2:$C$403=A41),0),2))</f>
        <v>Lamborghini Huracán LP620-2 Super Trofeo</v>
      </c>
      <c r="C41" s="7" t="str">
        <f t="array" ref="C41">INDEX('Nordschleife Data'!$A$2:$E$403,MATCH(1,('Nordschleife Data'!$E$2:$E$403=D41)*('Nordschleife Data'!$C$2:$C$403=A41),0),4)</f>
        <v>6:41.461</v>
      </c>
      <c r="D41" s="7">
        <f>MINIFS('Nordschleife Data'!$E$2:$E$403,'Nordschleife Data'!$C$2:$C$403,A41)</f>
        <v>401.461</v>
      </c>
      <c r="E41" s="25">
        <f>(AVERAGEIFS('Nordschleife Data'!$E$2:$E$403,'Nordschleife Data'!$C$2:$C$403,A41))/1439.78</f>
        <v>0.2788349609</v>
      </c>
      <c r="F41" s="26">
        <f>ROUND(AVERAGEIFS('Nordschleife Data'!$E$2:$E$403,'Nordschleife Data'!$C$2:$C$403,A41),3)</f>
        <v>401.461</v>
      </c>
      <c r="G41" s="26">
        <f t="shared" si="1"/>
        <v>0</v>
      </c>
      <c r="H41" s="26" t="str">
        <f t="shared" si="2"/>
        <v>0%</v>
      </c>
      <c r="I41" s="26" t="str">
        <f t="array" ref="I41">CONCATENATE(INDEX('Nordschleife Data'!$A$2:$E$403,MATCH(1,('Nordschleife Data'!$E$2:$E$403=K41)*('Nordschleife Data'!$C$2:$C$403=A41),0),1)," ",INDEX('Nordschleife Data'!$A$2:$E$403,MATCH(1,('Nordschleife Data'!$E$2:$E$403=K41)*('Nordschleife Data'!$C$2:$C$403=A41),0),2))</f>
        <v>Lamborghini Huracán LP620-2 Super Trofeo</v>
      </c>
      <c r="J41" s="26" t="str">
        <f t="array" ref="J41">INDEX('Nordschleife Data'!$A$2:$E$403,MATCH(1,('Nordschleife Data'!$E$2:$E$403=K41)*('Nordschleife Data'!$C$2:$C$403=A41),0),4)</f>
        <v>6:41.461</v>
      </c>
      <c r="K41" s="26">
        <f>MAXIFS('Nordschleife Data'!$E$2:$E$403,'Nordschleife Data'!$C$2:$C$403,A41)</f>
        <v>401.461</v>
      </c>
      <c r="L41" s="26">
        <f t="shared" si="3"/>
        <v>0</v>
      </c>
      <c r="M41" s="26" t="str">
        <f t="shared" si="4"/>
        <v>0%</v>
      </c>
    </row>
    <row r="42">
      <c r="A42" s="3" t="s">
        <v>485</v>
      </c>
      <c r="B42" s="4" t="str">
        <f t="array" ref="B42">CONCATENATE(INDEX('Nordschleife Data'!$A$2:$E$403,MATCH(1,('Nordschleife Data'!$E$2:$E$403=D42)*('Nordschleife Data'!$C$2:$C$403=A42),0),1)," ",INDEX('Nordschleife Data'!$A$2:$E$403,MATCH(1,('Nordschleife Data'!$E$2:$E$403=D42)*('Nordschleife Data'!$C$2:$C$403=A42),0),2))</f>
        <v>Renault Mégane R.S. SMS-R Touring</v>
      </c>
      <c r="C42" s="4" t="str">
        <f t="array" ref="C42">INDEX('Nordschleife Data'!$A$2:$E$403,MATCH(1,('Nordschleife Data'!$E$2:$E$403=D42)*('Nordschleife Data'!$C$2:$C$403=A42),0),4)</f>
        <v>7:04.258</v>
      </c>
      <c r="D42" s="4">
        <f>MINIFS('Nordschleife Data'!$E$2:$E$403,'Nordschleife Data'!$C$2:$C$403,A42)</f>
        <v>424.258</v>
      </c>
      <c r="E42" s="23">
        <f>(AVERAGEIFS('Nordschleife Data'!$E$2:$E$403,'Nordschleife Data'!$C$2:$C$403,A42))/1439.78</f>
        <v>0.2970203781</v>
      </c>
      <c r="F42" s="24">
        <f>ROUND(AVERAGEIFS('Nordschleife Data'!$E$2:$E$403,'Nordschleife Data'!$C$2:$C$403,A42),3)</f>
        <v>427.644</v>
      </c>
      <c r="G42" s="24">
        <f t="shared" si="1"/>
        <v>3.386</v>
      </c>
      <c r="H42" s="24" t="str">
        <f t="shared" si="2"/>
        <v>0.792%</v>
      </c>
      <c r="I42" s="24" t="str">
        <f t="array" ref="I42">CONCATENATE(INDEX('Nordschleife Data'!$A$2:$E$403,MATCH(1,('Nordschleife Data'!$E$2:$E$403=K42)*('Nordschleife Data'!$C$2:$C$403=A42),0),1)," ",INDEX('Nordschleife Data'!$A$2:$E$403,MATCH(1,('Nordschleife Data'!$E$2:$E$403=K42)*('Nordschleife Data'!$C$2:$C$403=A42),0),2))</f>
        <v>Mercedes-AMG A 45 SMS-R Touring</v>
      </c>
      <c r="J42" s="24" t="str">
        <f t="array" ref="J42">INDEX('Nordschleife Data'!$A$2:$E$403,MATCH(1,('Nordschleife Data'!$E$2:$E$403=K42)*('Nordschleife Data'!$C$2:$C$403=A42),0),4)</f>
        <v>7:09.780</v>
      </c>
      <c r="K42" s="24">
        <f>MAXIFS('Nordschleife Data'!$E$2:$E$403,'Nordschleife Data'!$C$2:$C$403,A42)</f>
        <v>429.78</v>
      </c>
      <c r="L42" s="24">
        <f t="shared" si="3"/>
        <v>2.136</v>
      </c>
      <c r="M42" s="24" t="str">
        <f t="shared" si="4"/>
        <v>0.499%</v>
      </c>
    </row>
    <row r="43">
      <c r="A43" s="6" t="s">
        <v>599</v>
      </c>
      <c r="B43" s="7" t="str">
        <f t="array" ref="B43">CONCATENATE(INDEX('Nordschleife Data'!$A$2:$E$403,MATCH(1,('Nordschleife Data'!$E$2:$E$403=D43)*('Nordschleife Data'!$C$2:$C$403=A43),0),1)," ",INDEX('Nordschleife Data'!$A$2:$E$403,MATCH(1,('Nordschleife Data'!$E$2:$E$403=D43)*('Nordschleife Data'!$C$2:$C$403=A43),0),2))</f>
        <v>Renault Clio Cup</v>
      </c>
      <c r="C43" s="7" t="str">
        <f t="array" ref="C43">INDEX('Nordschleife Data'!$A$2:$E$403,MATCH(1,('Nordschleife Data'!$E$2:$E$403=D43)*('Nordschleife Data'!$C$2:$C$403=A43),0),4)</f>
        <v>7:45.979</v>
      </c>
      <c r="D43" s="7">
        <f>MINIFS('Nordschleife Data'!$E$2:$E$403,'Nordschleife Data'!$C$2:$C$403,A43)</f>
        <v>465.979</v>
      </c>
      <c r="E43" s="25">
        <f>(AVERAGEIFS('Nordschleife Data'!$E$2:$E$403,'Nordschleife Data'!$C$2:$C$403,A43))/1439.78</f>
        <v>0.3236459737</v>
      </c>
      <c r="F43" s="26">
        <f>ROUND(AVERAGEIFS('Nordschleife Data'!$E$2:$E$403,'Nordschleife Data'!$C$2:$C$403,A43),3)</f>
        <v>465.979</v>
      </c>
      <c r="G43" s="26">
        <f t="shared" si="1"/>
        <v>0</v>
      </c>
      <c r="H43" s="26" t="str">
        <f t="shared" si="2"/>
        <v>0%</v>
      </c>
      <c r="I43" s="26" t="str">
        <f t="array" ref="I43">CONCATENATE(INDEX('Nordschleife Data'!$A$2:$E$403,MATCH(1,('Nordschleife Data'!$E$2:$E$403=K43)*('Nordschleife Data'!$C$2:$C$403=A43),0),1)," ",INDEX('Nordschleife Data'!$A$2:$E$403,MATCH(1,('Nordschleife Data'!$E$2:$E$403=K43)*('Nordschleife Data'!$C$2:$C$403=A43),0),2))</f>
        <v>Renault Clio Cup</v>
      </c>
      <c r="J43" s="26" t="str">
        <f t="array" ref="J43">INDEX('Nordschleife Data'!$A$2:$E$403,MATCH(1,('Nordschleife Data'!$E$2:$E$403=K43)*('Nordschleife Data'!$C$2:$C$403=A43),0),4)</f>
        <v>7:45.979</v>
      </c>
      <c r="K43" s="26">
        <f>MAXIFS('Nordschleife Data'!$E$2:$E$403,'Nordschleife Data'!$C$2:$C$403,A43)</f>
        <v>465.979</v>
      </c>
      <c r="L43" s="26">
        <f t="shared" si="3"/>
        <v>0</v>
      </c>
      <c r="M43" s="26" t="str">
        <f t="shared" si="4"/>
        <v>0%</v>
      </c>
    </row>
    <row r="44">
      <c r="A44" s="3" t="s">
        <v>124</v>
      </c>
      <c r="B44" s="4" t="str">
        <f t="array" ref="B44">CONCATENATE(INDEX('Nordschleife Data'!$A$2:$E$403,MATCH(1,('Nordschleife Data'!$E$2:$E$403=D44)*('Nordschleife Data'!$C$2:$C$403=A44),0),1)," ",INDEX('Nordschleife Data'!$A$2:$E$403,MATCH(1,('Nordschleife Data'!$E$2:$E$403=D44)*('Nordschleife Data'!$C$2:$C$403=A44),0),2))</f>
        <v>Ginetta G57</v>
      </c>
      <c r="C44" s="4" t="str">
        <f t="array" ref="C44">INDEX('Nordschleife Data'!$A$2:$E$403,MATCH(1,('Nordschleife Data'!$E$2:$E$403=D44)*('Nordschleife Data'!$C$2:$C$403=A44),0),4)</f>
        <v>5:48.601</v>
      </c>
      <c r="D44" s="4">
        <f>MINIFS('Nordschleife Data'!$E$2:$E$403,'Nordschleife Data'!$C$2:$C$403,A44)</f>
        <v>348.601</v>
      </c>
      <c r="E44" s="23">
        <f>(AVERAGEIFS('Nordschleife Data'!$E$2:$E$403,'Nordschleife Data'!$C$2:$C$403,A44))/1439.78</f>
        <v>0.2554295994</v>
      </c>
      <c r="F44" s="24">
        <f>ROUND(AVERAGEIFS('Nordschleife Data'!$E$2:$E$403,'Nordschleife Data'!$C$2:$C$403,A44),3)</f>
        <v>367.762</v>
      </c>
      <c r="G44" s="24">
        <f t="shared" si="1"/>
        <v>19.161</v>
      </c>
      <c r="H44" s="24" t="str">
        <f t="shared" si="2"/>
        <v>5.21%</v>
      </c>
      <c r="I44" s="24" t="str">
        <f t="array" ref="I44">CONCATENATE(INDEX('Nordschleife Data'!$A$2:$E$403,MATCH(1,('Nordschleife Data'!$E$2:$E$403=K44)*('Nordschleife Data'!$C$2:$C$403=A44),0),1)," ",INDEX('Nordschleife Data'!$A$2:$E$403,MATCH(1,('Nordschleife Data'!$E$2:$E$403=K44)*('Nordschleife Data'!$C$2:$C$403=A44),0),2))</f>
        <v>Radical SR8-RS</v>
      </c>
      <c r="J44" s="24" t="str">
        <f t="array" ref="J44">INDEX('Nordschleife Data'!$A$2:$E$403,MATCH(1,('Nordschleife Data'!$E$2:$E$403=K44)*('Nordschleife Data'!$C$2:$C$403=A44),0),4)</f>
        <v>6:20.060</v>
      </c>
      <c r="K44" s="24">
        <f>MAXIFS('Nordschleife Data'!$E$2:$E$403,'Nordschleife Data'!$C$2:$C$403,A44)</f>
        <v>380.06</v>
      </c>
      <c r="L44" s="24">
        <f t="shared" si="3"/>
        <v>12.298</v>
      </c>
      <c r="M44" s="24" t="str">
        <f t="shared" si="4"/>
        <v>3.344%</v>
      </c>
    </row>
    <row r="45">
      <c r="A45" s="6" t="s">
        <v>278</v>
      </c>
      <c r="B45" s="7" t="str">
        <f t="array" ref="B45">CONCATENATE(INDEX('Nordschleife Data'!$A$2:$E$403,MATCH(1,('Nordschleife Data'!$E$2:$E$403=D45)*('Nordschleife Data'!$C$2:$C$403=A45),0),1)," ",INDEX('Nordschleife Data'!$A$2:$E$403,MATCH(1,('Nordschleife Data'!$E$2:$E$403=D45)*('Nordschleife Data'!$C$2:$C$403=A45),0),2))</f>
        <v>Caterham SP/300.R</v>
      </c>
      <c r="C45" s="7" t="str">
        <f t="array" ref="C45">INDEX('Nordschleife Data'!$A$2:$E$403,MATCH(1,('Nordschleife Data'!$E$2:$E$403=D45)*('Nordschleife Data'!$C$2:$C$403=A45),0),4)</f>
        <v>6:29.660</v>
      </c>
      <c r="D45" s="7">
        <f>MINIFS('Nordschleife Data'!$E$2:$E$403,'Nordschleife Data'!$C$2:$C$403,A45)</f>
        <v>389.66</v>
      </c>
      <c r="E45" s="25">
        <f>(AVERAGEIFS('Nordschleife Data'!$E$2:$E$403,'Nordschleife Data'!$C$2:$C$403,A45))/1439.78</f>
        <v>0.2822013085</v>
      </c>
      <c r="F45" s="26">
        <f>ROUND(AVERAGEIFS('Nordschleife Data'!$E$2:$E$403,'Nordschleife Data'!$C$2:$C$403,A45),3)</f>
        <v>406.308</v>
      </c>
      <c r="G45" s="26">
        <f t="shared" si="1"/>
        <v>16.648</v>
      </c>
      <c r="H45" s="26" t="str">
        <f t="shared" si="2"/>
        <v>4.097%</v>
      </c>
      <c r="I45" s="26" t="str">
        <f t="array" ref="I45">CONCATENATE(INDEX('Nordschleife Data'!$A$2:$E$403,MATCH(1,('Nordschleife Data'!$E$2:$E$403=K45)*('Nordschleife Data'!$C$2:$C$403=A45),0),1)," ",INDEX('Nordschleife Data'!$A$2:$E$403,MATCH(1,('Nordschleife Data'!$E$2:$E$403=K45)*('Nordschleife Data'!$C$2:$C$403=A45),0),2))</f>
        <v>Lamborghini Sesto Elemento</v>
      </c>
      <c r="J45" s="26" t="str">
        <f t="array" ref="J45">INDEX('Nordschleife Data'!$A$2:$E$403,MATCH(1,('Nordschleife Data'!$E$2:$E$403=K45)*('Nordschleife Data'!$C$2:$C$403=A45),0),4)</f>
        <v>6:52.239</v>
      </c>
      <c r="K45" s="26">
        <f>MAXIFS('Nordschleife Data'!$E$2:$E$403,'Nordschleife Data'!$C$2:$C$403,A45)</f>
        <v>412.239</v>
      </c>
      <c r="L45" s="26">
        <f t="shared" si="3"/>
        <v>5.931</v>
      </c>
      <c r="M45" s="26" t="str">
        <f t="shared" si="4"/>
        <v>1.46%</v>
      </c>
    </row>
    <row r="46">
      <c r="A46" s="3" t="s">
        <v>631</v>
      </c>
      <c r="B46" s="4" t="str">
        <f t="array" ref="B46">CONCATENATE(INDEX('Nordschleife Data'!$A$2:$E$403,MATCH(1,('Nordschleife Data'!$E$2:$E$403=D46)*('Nordschleife Data'!$C$2:$C$403=A46),0),1)," ",INDEX('Nordschleife Data'!$A$2:$E$403,MATCH(1,('Nordschleife Data'!$E$2:$E$403=D46)*('Nordschleife Data'!$C$2:$C$403=A46),0),2))</f>
        <v>Ford Bronco Brocky</v>
      </c>
      <c r="C46" s="4" t="str">
        <f t="array" ref="C46">INDEX('Nordschleife Data'!$A$2:$E$403,MATCH(1,('Nordschleife Data'!$E$2:$E$403=D46)*('Nordschleife Data'!$C$2:$C$403=A46),0),4)</f>
        <v>8:28.219</v>
      </c>
      <c r="D46" s="4">
        <f>MINIFS('Nordschleife Data'!$E$2:$E$403,'Nordschleife Data'!$C$2:$C$403,A46)</f>
        <v>508.219</v>
      </c>
      <c r="E46" s="23">
        <f>(AVERAGEIFS('Nordschleife Data'!$E$2:$E$403,'Nordschleife Data'!$C$2:$C$403,A46))/1439.78</f>
        <v>0.3529837892</v>
      </c>
      <c r="F46" s="24">
        <f>ROUND(AVERAGEIFS('Nordschleife Data'!$E$2:$E$403,'Nordschleife Data'!$C$2:$C$403,A46),3)</f>
        <v>508.219</v>
      </c>
      <c r="G46" s="24">
        <f t="shared" si="1"/>
        <v>0</v>
      </c>
      <c r="H46" s="24" t="str">
        <f t="shared" si="2"/>
        <v>0%</v>
      </c>
      <c r="I46" s="24" t="str">
        <f t="array" ref="I46">CONCATENATE(INDEX('Nordschleife Data'!$A$2:$E$403,MATCH(1,('Nordschleife Data'!$E$2:$E$403=K46)*('Nordschleife Data'!$C$2:$C$403=A46),0),1)," ",INDEX('Nordschleife Data'!$A$2:$E$403,MATCH(1,('Nordschleife Data'!$E$2:$E$403=K46)*('Nordschleife Data'!$C$2:$C$403=A46),0),2))</f>
        <v>Ford Bronco Brocky</v>
      </c>
      <c r="J46" s="24" t="str">
        <f t="array" ref="J46">INDEX('Nordschleife Data'!$A$2:$E$403,MATCH(1,('Nordschleife Data'!$E$2:$E$403=K46)*('Nordschleife Data'!$C$2:$C$403=A46),0),4)</f>
        <v>8:28.219</v>
      </c>
      <c r="K46" s="24">
        <f>MAXIFS('Nordschleife Data'!$E$2:$E$403,'Nordschleife Data'!$C$2:$C$403,A46)</f>
        <v>508.219</v>
      </c>
      <c r="L46" s="24">
        <f t="shared" si="3"/>
        <v>0</v>
      </c>
      <c r="M46" s="24" t="str">
        <f t="shared" si="4"/>
        <v>0%</v>
      </c>
    </row>
    <row r="47">
      <c r="A47" s="6" t="s">
        <v>220</v>
      </c>
      <c r="B47" s="7" t="str">
        <f t="array" ref="B47">CONCATENATE(INDEX('Nordschleife Data'!$A$2:$E$403,MATCH(1,('Nordschleife Data'!$E$2:$E$403=D47)*('Nordschleife Data'!$C$2:$C$403=A47),0),1)," ",INDEX('Nordschleife Data'!$A$2:$E$403,MATCH(1,('Nordschleife Data'!$E$2:$E$403=D47)*('Nordschleife Data'!$C$2:$C$403=A47),0),2))</f>
        <v>Ford Falcon FG V8 Supercar</v>
      </c>
      <c r="C47" s="7" t="str">
        <f t="array" ref="C47">INDEX('Nordschleife Data'!$A$2:$E$403,MATCH(1,('Nordschleife Data'!$E$2:$E$403=D47)*('Nordschleife Data'!$C$2:$C$403=A47),0),4)</f>
        <v>6:18.561</v>
      </c>
      <c r="D47" s="7">
        <f>MINIFS('Nordschleife Data'!$E$2:$E$403,'Nordschleife Data'!$C$2:$C$403,A47)</f>
        <v>378.561</v>
      </c>
      <c r="E47" s="25">
        <f>(AVERAGEIFS('Nordschleife Data'!$E$2:$E$403,'Nordschleife Data'!$C$2:$C$403,A47))/1439.78</f>
        <v>0.2629297532</v>
      </c>
      <c r="F47" s="26">
        <f>ROUND(AVERAGEIFS('Nordschleife Data'!$E$2:$E$403,'Nordschleife Data'!$C$2:$C$403,A47),3)</f>
        <v>378.561</v>
      </c>
      <c r="G47" s="26">
        <f t="shared" si="1"/>
        <v>0</v>
      </c>
      <c r="H47" s="26" t="str">
        <f t="shared" si="2"/>
        <v>0%</v>
      </c>
      <c r="I47" s="26" t="str">
        <f t="array" ref="I47">CONCATENATE(INDEX('Nordschleife Data'!$A$2:$E$403,MATCH(1,('Nordschleife Data'!$E$2:$E$403=K47)*('Nordschleife Data'!$C$2:$C$403=A47),0),1)," ",INDEX('Nordschleife Data'!$A$2:$E$403,MATCH(1,('Nordschleife Data'!$E$2:$E$403=K47)*('Nordschleife Data'!$C$2:$C$403=A47),0),2))</f>
        <v>Ford Falcon FG V8 Supercar</v>
      </c>
      <c r="J47" s="26" t="str">
        <f t="array" ref="J47">INDEX('Nordschleife Data'!$A$2:$E$403,MATCH(1,('Nordschleife Data'!$E$2:$E$403=K47)*('Nordschleife Data'!$C$2:$C$403=A47),0),4)</f>
        <v>6:18.561</v>
      </c>
      <c r="K47" s="26">
        <f>MAXIFS('Nordschleife Data'!$E$2:$E$403,'Nordschleife Data'!$C$2:$C$403,A47)</f>
        <v>378.561</v>
      </c>
      <c r="L47" s="26">
        <f t="shared" si="3"/>
        <v>0</v>
      </c>
      <c r="M47" s="26" t="str">
        <f t="shared" si="4"/>
        <v>0%</v>
      </c>
    </row>
    <row r="48">
      <c r="A48" s="3" t="s">
        <v>628</v>
      </c>
      <c r="B48" s="4" t="str">
        <f t="array" ref="B48">CONCATENATE(INDEX('Nordschleife Data'!$A$2:$E$403,MATCH(1,('Nordschleife Data'!$E$2:$E$403=D48)*('Nordschleife Data'!$C$2:$C$403=A48),0),1)," ",INDEX('Nordschleife Data'!$A$2:$E$403,MATCH(1,('Nordschleife Data'!$E$2:$E$403=D48)*('Nordschleife Data'!$C$2:$C$403=A48),0),2))</f>
        <v>Lotus Type 51</v>
      </c>
      <c r="C48" s="4" t="str">
        <f t="array" ref="C48">INDEX('Nordschleife Data'!$A$2:$E$403,MATCH(1,('Nordschleife Data'!$E$2:$E$403=D48)*('Nordschleife Data'!$C$2:$C$403=A48),0),4)</f>
        <v>8:25.860</v>
      </c>
      <c r="D48" s="4">
        <f>MINIFS('Nordschleife Data'!$E$2:$E$403,'Nordschleife Data'!$C$2:$C$403,A48)</f>
        <v>505.86</v>
      </c>
      <c r="E48" s="23">
        <f>(AVERAGEIFS('Nordschleife Data'!$E$2:$E$403,'Nordschleife Data'!$C$2:$C$403,A48))/1439.78</f>
        <v>0.3513453444</v>
      </c>
      <c r="F48" s="24">
        <f>ROUND(AVERAGEIFS('Nordschleife Data'!$E$2:$E$403,'Nordschleife Data'!$C$2:$C$403,A48),3)</f>
        <v>505.86</v>
      </c>
      <c r="G48" s="24">
        <f t="shared" si="1"/>
        <v>0</v>
      </c>
      <c r="H48" s="24" t="str">
        <f t="shared" si="2"/>
        <v>0%</v>
      </c>
      <c r="I48" s="24" t="str">
        <f t="array" ref="I48">CONCATENATE(INDEX('Nordschleife Data'!$A$2:$E$403,MATCH(1,('Nordschleife Data'!$E$2:$E$403=K48)*('Nordschleife Data'!$C$2:$C$403=A48),0),1)," ",INDEX('Nordschleife Data'!$A$2:$E$403,MATCH(1,('Nordschleife Data'!$E$2:$E$403=K48)*('Nordschleife Data'!$C$2:$C$403=A48),0),2))</f>
        <v>Lotus Type 51</v>
      </c>
      <c r="J48" s="24" t="str">
        <f t="array" ref="J48">INDEX('Nordschleife Data'!$A$2:$E$403,MATCH(1,('Nordschleife Data'!$E$2:$E$403=K48)*('Nordschleife Data'!$C$2:$C$403=A48),0),4)</f>
        <v>8:25.860</v>
      </c>
      <c r="K48" s="24">
        <f>MAXIFS('Nordschleife Data'!$E$2:$E$403,'Nordschleife Data'!$C$2:$C$403,A48)</f>
        <v>505.86</v>
      </c>
      <c r="L48" s="24">
        <f t="shared" si="3"/>
        <v>0</v>
      </c>
      <c r="M48" s="24" t="str">
        <f t="shared" si="4"/>
        <v>0%</v>
      </c>
    </row>
    <row r="49">
      <c r="A49" s="6" t="s">
        <v>66</v>
      </c>
      <c r="B49" s="7" t="str">
        <f t="array" ref="B49">CONCATENATE(INDEX('Nordschleife Data'!$A$2:$E$403,MATCH(1,('Nordschleife Data'!$E$2:$E$403=D49)*('Nordschleife Data'!$C$2:$C$403=A49),0),1)," ",INDEX('Nordschleife Data'!$A$2:$E$403,MATCH(1,('Nordschleife Data'!$E$2:$E$403=D49)*('Nordschleife Data'!$C$2:$C$403=A49),0),2))</f>
        <v>Lotus Type 98T Renault Turbo</v>
      </c>
      <c r="C49" s="7" t="str">
        <f t="array" ref="C49">INDEX('Nordschleife Data'!$A$2:$E$403,MATCH(1,('Nordschleife Data'!$E$2:$E$403=D49)*('Nordschleife Data'!$C$2:$C$403=A49),0),4)</f>
        <v>5:24.021</v>
      </c>
      <c r="D49" s="7">
        <f>MINIFS('Nordschleife Data'!$E$2:$E$403,'Nordschleife Data'!$C$2:$C$403,A49)</f>
        <v>324.021</v>
      </c>
      <c r="E49" s="25">
        <f>(AVERAGEIFS('Nordschleife Data'!$E$2:$E$403,'Nordschleife Data'!$C$2:$C$403,A49))/1439.78</f>
        <v>0.2250489658</v>
      </c>
      <c r="F49" s="26">
        <f>ROUND(AVERAGEIFS('Nordschleife Data'!$E$2:$E$403,'Nordschleife Data'!$C$2:$C$403,A49),3)</f>
        <v>324.021</v>
      </c>
      <c r="G49" s="26">
        <f t="shared" si="1"/>
        <v>0</v>
      </c>
      <c r="H49" s="26" t="str">
        <f t="shared" si="2"/>
        <v>0%</v>
      </c>
      <c r="I49" s="26" t="str">
        <f t="array" ref="I49">CONCATENATE(INDEX('Nordschleife Data'!$A$2:$E$403,MATCH(1,('Nordschleife Data'!$E$2:$E$403=K49)*('Nordschleife Data'!$C$2:$C$403=A49),0),1)," ",INDEX('Nordschleife Data'!$A$2:$E$403,MATCH(1,('Nordschleife Data'!$E$2:$E$403=K49)*('Nordschleife Data'!$C$2:$C$403=A49),0),2))</f>
        <v>Lotus Type 98T Renault Turbo</v>
      </c>
      <c r="J49" s="26" t="str">
        <f t="array" ref="J49">INDEX('Nordschleife Data'!$A$2:$E$403,MATCH(1,('Nordschleife Data'!$E$2:$E$403=K49)*('Nordschleife Data'!$C$2:$C$403=A49),0),4)</f>
        <v>5:24.021</v>
      </c>
      <c r="K49" s="26">
        <f>MAXIFS('Nordschleife Data'!$E$2:$E$403,'Nordschleife Data'!$C$2:$C$403,A49)</f>
        <v>324.021</v>
      </c>
      <c r="L49" s="26">
        <f t="shared" si="3"/>
        <v>0</v>
      </c>
      <c r="M49" s="26" t="str">
        <f t="shared" si="4"/>
        <v>0%</v>
      </c>
    </row>
    <row r="50">
      <c r="A50" s="3" t="s">
        <v>178</v>
      </c>
      <c r="B50" s="4" t="str">
        <f t="array" ref="B50">CONCATENATE(INDEX('Nordschleife Data'!$A$2:$E$403,MATCH(1,('Nordschleife Data'!$E$2:$E$403=D50)*('Nordschleife Data'!$C$2:$C$403=A50),0),1)," ",INDEX('Nordschleife Data'!$A$2:$E$403,MATCH(1,('Nordschleife Data'!$E$2:$E$403=D50)*('Nordschleife Data'!$C$2:$C$403=A50),0),2))</f>
        <v>Lotus Type 78 Cosworth</v>
      </c>
      <c r="C50" s="4" t="str">
        <f t="array" ref="C50">INDEX('Nordschleife Data'!$A$2:$E$403,MATCH(1,('Nordschleife Data'!$E$2:$E$403=D50)*('Nordschleife Data'!$C$2:$C$403=A50),0),4)</f>
        <v>6:03.419</v>
      </c>
      <c r="D50" s="4">
        <f>MINIFS('Nordschleife Data'!$E$2:$E$403,'Nordschleife Data'!$C$2:$C$403,A50)</f>
        <v>363.419</v>
      </c>
      <c r="E50" s="23">
        <f>(AVERAGEIFS('Nordschleife Data'!$E$2:$E$403,'Nordschleife Data'!$C$2:$C$403,A50))/1439.78</f>
        <v>0.2524128686</v>
      </c>
      <c r="F50" s="24">
        <f>ROUND(AVERAGEIFS('Nordschleife Data'!$E$2:$E$403,'Nordschleife Data'!$C$2:$C$403,A50),3)</f>
        <v>363.419</v>
      </c>
      <c r="G50" s="24">
        <f t="shared" si="1"/>
        <v>0</v>
      </c>
      <c r="H50" s="24" t="str">
        <f t="shared" si="2"/>
        <v>0%</v>
      </c>
      <c r="I50" s="24" t="str">
        <f t="array" ref="I50">CONCATENATE(INDEX('Nordschleife Data'!$A$2:$E$403,MATCH(1,('Nordschleife Data'!$E$2:$E$403=K50)*('Nordschleife Data'!$C$2:$C$403=A50),0),1)," ",INDEX('Nordschleife Data'!$A$2:$E$403,MATCH(1,('Nordschleife Data'!$E$2:$E$403=K50)*('Nordschleife Data'!$C$2:$C$403=A50),0),2))</f>
        <v>Lotus Type 78 Cosworth</v>
      </c>
      <c r="J50" s="24" t="str">
        <f t="array" ref="J50">INDEX('Nordschleife Data'!$A$2:$E$403,MATCH(1,('Nordschleife Data'!$E$2:$E$403=K50)*('Nordschleife Data'!$C$2:$C$403=A50),0),4)</f>
        <v>6:03.419</v>
      </c>
      <c r="K50" s="24">
        <f>MAXIFS('Nordschleife Data'!$E$2:$E$403,'Nordschleife Data'!$C$2:$C$403,A50)</f>
        <v>363.419</v>
      </c>
      <c r="L50" s="24">
        <f t="shared" si="3"/>
        <v>0</v>
      </c>
      <c r="M50" s="24" t="str">
        <f t="shared" si="4"/>
        <v>0%</v>
      </c>
    </row>
    <row r="51">
      <c r="A51" s="6" t="s">
        <v>263</v>
      </c>
      <c r="B51" s="7" t="str">
        <f t="array" ref="B51">CONCATENATE(INDEX('Nordschleife Data'!$A$2:$E$403,MATCH(1,('Nordschleife Data'!$E$2:$E$403=D51)*('Nordschleife Data'!$C$2:$C$403=A51),0),1)," ",INDEX('Nordschleife Data'!$A$2:$E$403,MATCH(1,('Nordschleife Data'!$E$2:$E$403=D51)*('Nordschleife Data'!$C$2:$C$403=A51),0),2))</f>
        <v>Lotus Type 72D Cosworth</v>
      </c>
      <c r="C51" s="7" t="str">
        <f t="array" ref="C51">INDEX('Nordschleife Data'!$A$2:$E$403,MATCH(1,('Nordschleife Data'!$E$2:$E$403=D51)*('Nordschleife Data'!$C$2:$C$403=A51),0),4)</f>
        <v>6:28.057</v>
      </c>
      <c r="D51" s="7">
        <f>MINIFS('Nordschleife Data'!$E$2:$E$403,'Nordschleife Data'!$C$2:$C$403,A51)</f>
        <v>388.057</v>
      </c>
      <c r="E51" s="25">
        <f>(AVERAGEIFS('Nordschleife Data'!$E$2:$E$403,'Nordschleife Data'!$C$2:$C$403,A51))/1439.78</f>
        <v>0.2757027694</v>
      </c>
      <c r="F51" s="26">
        <f>ROUND(AVERAGEIFS('Nordschleife Data'!$E$2:$E$403,'Nordschleife Data'!$C$2:$C$403,A51),3)</f>
        <v>396.951</v>
      </c>
      <c r="G51" s="26">
        <f t="shared" si="1"/>
        <v>8.894</v>
      </c>
      <c r="H51" s="26" t="str">
        <f t="shared" si="2"/>
        <v>2.241%</v>
      </c>
      <c r="I51" s="26" t="str">
        <f t="array" ref="I51">CONCATENATE(INDEX('Nordschleife Data'!$A$2:$E$403,MATCH(1,('Nordschleife Data'!$E$2:$E$403=K51)*('Nordschleife Data'!$C$2:$C$403=A51),0),1)," ",INDEX('Nordschleife Data'!$A$2:$E$403,MATCH(1,('Nordschleife Data'!$E$2:$E$403=K51)*('Nordschleife Data'!$C$2:$C$403=A51),0),2))</f>
        <v>Lotus Type 49 Cosworth</v>
      </c>
      <c r="J51" s="26" t="str">
        <f t="array" ref="J51">INDEX('Nordschleife Data'!$A$2:$E$403,MATCH(1,('Nordschleife Data'!$E$2:$E$403=K51)*('Nordschleife Data'!$C$2:$C$403=A51),0),4)</f>
        <v>6:42.021</v>
      </c>
      <c r="K51" s="26">
        <f>MAXIFS('Nordschleife Data'!$E$2:$E$403,'Nordschleife Data'!$C$2:$C$403,A51)</f>
        <v>402.021</v>
      </c>
      <c r="L51" s="26">
        <f t="shared" si="3"/>
        <v>5.07</v>
      </c>
      <c r="M51" s="26" t="str">
        <f t="shared" si="4"/>
        <v>1.277%</v>
      </c>
    </row>
    <row r="52">
      <c r="A52" s="3" t="s">
        <v>424</v>
      </c>
      <c r="B52" s="4" t="str">
        <f t="array" ref="B52">CONCATENATE(INDEX('Nordschleife Data'!$A$2:$E$403,MATCH(1,('Nordschleife Data'!$E$2:$E$403=D52)*('Nordschleife Data'!$C$2:$C$403=A52),0),1)," ",INDEX('Nordschleife Data'!$A$2:$E$403,MATCH(1,('Nordschleife Data'!$E$2:$E$403=D52)*('Nordschleife Data'!$C$2:$C$403=A52),0),2))</f>
        <v>Lotus Type 38 Ford</v>
      </c>
      <c r="C52" s="4" t="str">
        <f t="array" ref="C52">INDEX('Nordschleife Data'!$A$2:$E$403,MATCH(1,('Nordschleife Data'!$E$2:$E$403=D52)*('Nordschleife Data'!$C$2:$C$403=A52),0),4)</f>
        <v>7:09.220</v>
      </c>
      <c r="D52" s="4">
        <f>MINIFS('Nordschleife Data'!$E$2:$E$403,'Nordschleife Data'!$C$2:$C$403,A52)</f>
        <v>429.22</v>
      </c>
      <c r="E52" s="23">
        <f>(AVERAGEIFS('Nordschleife Data'!$E$2:$E$403,'Nordschleife Data'!$C$2:$C$403,A52))/1439.78</f>
        <v>0.3023170207</v>
      </c>
      <c r="F52" s="24">
        <f>ROUND(AVERAGEIFS('Nordschleife Data'!$E$2:$E$403,'Nordschleife Data'!$C$2:$C$403,A52),3)</f>
        <v>435.27</v>
      </c>
      <c r="G52" s="24">
        <f t="shared" si="1"/>
        <v>6.05</v>
      </c>
      <c r="H52" s="24" t="str">
        <f t="shared" si="2"/>
        <v>1.39%</v>
      </c>
      <c r="I52" s="24" t="str">
        <f t="array" ref="I52">CONCATENATE(INDEX('Nordschleife Data'!$A$2:$E$403,MATCH(1,('Nordschleife Data'!$E$2:$E$403=K52)*('Nordschleife Data'!$C$2:$C$403=A52),0),1)," ",INDEX('Nordschleife Data'!$A$2:$E$403,MATCH(1,('Nordschleife Data'!$E$2:$E$403=K52)*('Nordschleife Data'!$C$2:$C$403=A52),0),2))</f>
        <v>Lotus Type 25 Climax</v>
      </c>
      <c r="J52" s="24" t="str">
        <f t="array" ref="J52">INDEX('Nordschleife Data'!$A$2:$E$403,MATCH(1,('Nordschleife Data'!$E$2:$E$403=K52)*('Nordschleife Data'!$C$2:$C$403=A52),0),4)</f>
        <v>7:21.320</v>
      </c>
      <c r="K52" s="24">
        <f>MAXIFS('Nordschleife Data'!$E$2:$E$403,'Nordschleife Data'!$C$2:$C$403,A52)</f>
        <v>441.32</v>
      </c>
      <c r="L52" s="24">
        <f t="shared" si="3"/>
        <v>6.05</v>
      </c>
      <c r="M52" s="24" t="str">
        <f t="shared" si="4"/>
        <v>1.39%</v>
      </c>
    </row>
    <row r="53">
      <c r="A53" s="6" t="s">
        <v>532</v>
      </c>
      <c r="B53" s="7" t="str">
        <f t="array" ref="B53">CONCATENATE(INDEX('Nordschleife Data'!$A$2:$E$403,MATCH(1,('Nordschleife Data'!$E$2:$E$403=D53)*('Nordschleife Data'!$C$2:$C$403=A53),0),1)," ",INDEX('Nordschleife Data'!$A$2:$E$403,MATCH(1,('Nordschleife Data'!$E$2:$E$403=D53)*('Nordschleife Data'!$C$2:$C$403=A53),0),2))</f>
        <v>Chevrolet Camaro Z/28 '69 TransAm</v>
      </c>
      <c r="C53" s="7" t="str">
        <f t="array" ref="C53">INDEX('Nordschleife Data'!$A$2:$E$403,MATCH(1,('Nordschleife Data'!$E$2:$E$403=D53)*('Nordschleife Data'!$C$2:$C$403=A53),0),4)</f>
        <v>7:14.637</v>
      </c>
      <c r="D53" s="7">
        <f>MINIFS('Nordschleife Data'!$E$2:$E$403,'Nordschleife Data'!$C$2:$C$403,A53)</f>
        <v>434.637</v>
      </c>
      <c r="E53" s="25">
        <f>(AVERAGEIFS('Nordschleife Data'!$E$2:$E$403,'Nordschleife Data'!$C$2:$C$403,A53))/1439.78</f>
        <v>0.3044512356</v>
      </c>
      <c r="F53" s="26">
        <f>ROUND(AVERAGEIFS('Nordschleife Data'!$E$2:$E$403,'Nordschleife Data'!$C$2:$C$403,A53),3)</f>
        <v>438.343</v>
      </c>
      <c r="G53" s="26">
        <f t="shared" si="1"/>
        <v>3.706</v>
      </c>
      <c r="H53" s="26" t="str">
        <f t="shared" si="2"/>
        <v>0.845%</v>
      </c>
      <c r="I53" s="26" t="str">
        <f t="array" ref="I53">CONCATENATE(INDEX('Nordschleife Data'!$A$2:$E$403,MATCH(1,('Nordschleife Data'!$E$2:$E$403=K53)*('Nordschleife Data'!$C$2:$C$403=A53),0),1)," ",INDEX('Nordschleife Data'!$A$2:$E$403,MATCH(1,('Nordschleife Data'!$E$2:$E$403=K53)*('Nordschleife Data'!$C$2:$C$403=A53),0),2))</f>
        <v>Porsche 911 Carrera RSR 2.8</v>
      </c>
      <c r="J53" s="26" t="str">
        <f t="array" ref="J53">INDEX('Nordschleife Data'!$A$2:$E$403,MATCH(1,('Nordschleife Data'!$E$2:$E$403=K53)*('Nordschleife Data'!$C$2:$C$403=A53),0),4)</f>
        <v>7:19.959</v>
      </c>
      <c r="K53" s="26">
        <f>MAXIFS('Nordschleife Data'!$E$2:$E$403,'Nordschleife Data'!$C$2:$C$403,A53)</f>
        <v>439.959</v>
      </c>
      <c r="L53" s="26">
        <f t="shared" si="3"/>
        <v>1.616</v>
      </c>
      <c r="M53" s="26" t="str">
        <f t="shared" si="4"/>
        <v>0.369%</v>
      </c>
    </row>
    <row r="54">
      <c r="A54" s="3" t="s">
        <v>572</v>
      </c>
      <c r="B54" s="4" t="str">
        <f t="array" ref="B54">CONCATENATE(INDEX('Nordschleife Data'!$A$2:$E$403,MATCH(1,('Nordschleife Data'!$E$2:$E$403=D54)*('Nordschleife Data'!$C$2:$C$403=A54),0),1)," ",INDEX('Nordschleife Data'!$A$2:$E$403,MATCH(1,('Nordschleife Data'!$E$2:$E$403=D54)*('Nordschleife Data'!$C$2:$C$403=A54),0),2))</f>
        <v>Mercedes-Benz 300 SEL 6.8 AMG</v>
      </c>
      <c r="C54" s="4" t="str">
        <f t="array" ref="C54">INDEX('Nordschleife Data'!$A$2:$E$403,MATCH(1,('Nordschleife Data'!$E$2:$E$403=D54)*('Nordschleife Data'!$C$2:$C$403=A54),0),4)</f>
        <v>7:30.199</v>
      </c>
      <c r="D54" s="4">
        <f>MINIFS('Nordschleife Data'!$E$2:$E$403,'Nordschleife Data'!$C$2:$C$403,A54)</f>
        <v>450.199</v>
      </c>
      <c r="E54" s="23">
        <f>(AVERAGEIFS('Nordschleife Data'!$E$2:$E$403,'Nordschleife Data'!$C$2:$C$403,A54))/1439.78</f>
        <v>0.3181777772</v>
      </c>
      <c r="F54" s="24">
        <f>ROUND(AVERAGEIFS('Nordschleife Data'!$E$2:$E$403,'Nordschleife Data'!$C$2:$C$403,A54),3)</f>
        <v>458.106</v>
      </c>
      <c r="G54" s="24">
        <f t="shared" si="1"/>
        <v>7.907</v>
      </c>
      <c r="H54" s="24" t="str">
        <f t="shared" si="2"/>
        <v>1.726%</v>
      </c>
      <c r="I54" s="24" t="str">
        <f t="array" ref="I54">CONCATENATE(INDEX('Nordschleife Data'!$A$2:$E$403,MATCH(1,('Nordschleife Data'!$E$2:$E$403=K54)*('Nordschleife Data'!$C$2:$C$403=A54),0),1)," ",INDEX('Nordschleife Data'!$A$2:$E$403,MATCH(1,('Nordschleife Data'!$E$2:$E$403=K54)*('Nordschleife Data'!$C$2:$C$403=A54),0),2))</f>
        <v>Ford Escort RS1600 (Racing)</v>
      </c>
      <c r="J54" s="24" t="str">
        <f t="array" ref="J54">INDEX('Nordschleife Data'!$A$2:$E$403,MATCH(1,('Nordschleife Data'!$E$2:$E$403=K54)*('Nordschleife Data'!$C$2:$C$403=A54),0),4)</f>
        <v>7:48.399</v>
      </c>
      <c r="K54" s="24">
        <f>MAXIFS('Nordschleife Data'!$E$2:$E$403,'Nordschleife Data'!$C$2:$C$403,A54)</f>
        <v>468.399</v>
      </c>
      <c r="L54" s="24">
        <f t="shared" si="3"/>
        <v>10.293</v>
      </c>
      <c r="M54" s="24" t="str">
        <f t="shared" si="4"/>
        <v>2.247%</v>
      </c>
    </row>
    <row r="55">
      <c r="A55" s="6" t="s">
        <v>584</v>
      </c>
      <c r="B55" s="7" t="str">
        <f t="array" ref="B55">CONCATENATE(INDEX('Nordschleife Data'!$A$2:$E$403,MATCH(1,('Nordschleife Data'!$E$2:$E$403=D55)*('Nordschleife Data'!$C$2:$C$403=A55),0),1)," ",INDEX('Nordschleife Data'!$A$2:$E$403,MATCH(1,('Nordschleife Data'!$E$2:$E$403=D55)*('Nordschleife Data'!$C$2:$C$403=A55),0),2))</f>
        <v>Ferrari 250 Testa Rossa</v>
      </c>
      <c r="C55" s="7" t="str">
        <f t="array" ref="C55">INDEX('Nordschleife Data'!$A$2:$E$403,MATCH(1,('Nordschleife Data'!$E$2:$E$403=D55)*('Nordschleife Data'!$C$2:$C$403=A55),0),4)</f>
        <v>7:38.320</v>
      </c>
      <c r="D55" s="7">
        <f>MINIFS('Nordschleife Data'!$E$2:$E$403,'Nordschleife Data'!$C$2:$C$403,A55)</f>
        <v>458.32</v>
      </c>
      <c r="E55" s="25">
        <f>(AVERAGEIFS('Nordschleife Data'!$E$2:$E$403,'Nordschleife Data'!$C$2:$C$403,A55))/1439.78</f>
        <v>0.3226379493</v>
      </c>
      <c r="F55" s="26">
        <f>ROUND(AVERAGEIFS('Nordschleife Data'!$E$2:$E$403,'Nordschleife Data'!$C$2:$C$403,A55),3)</f>
        <v>464.528</v>
      </c>
      <c r="G55" s="26">
        <f t="shared" si="1"/>
        <v>6.208</v>
      </c>
      <c r="H55" s="26" t="str">
        <f t="shared" si="2"/>
        <v>1.336%</v>
      </c>
      <c r="I55" s="26" t="str">
        <f t="array" ref="I55">CONCATENATE(INDEX('Nordschleife Data'!$A$2:$E$403,MATCH(1,('Nordschleife Data'!$E$2:$E$403=K55)*('Nordschleife Data'!$C$2:$C$403=A55),0),1)," ",INDEX('Nordschleife Data'!$A$2:$E$403,MATCH(1,('Nordschleife Data'!$E$2:$E$403=K55)*('Nordschleife Data'!$C$2:$C$403=A55),0),2))</f>
        <v>Aston Martin DBR1/300</v>
      </c>
      <c r="J55" s="26" t="str">
        <f t="array" ref="J55">INDEX('Nordschleife Data'!$A$2:$E$403,MATCH(1,('Nordschleife Data'!$E$2:$E$403=K55)*('Nordschleife Data'!$C$2:$C$403=A55),0),4)</f>
        <v>7:50.503</v>
      </c>
      <c r="K55" s="26">
        <f>MAXIFS('Nordschleife Data'!$E$2:$E$403,'Nordschleife Data'!$C$2:$C$403,A55)</f>
        <v>470.503</v>
      </c>
      <c r="L55" s="26">
        <f t="shared" si="3"/>
        <v>5.975</v>
      </c>
      <c r="M55" s="26" t="str">
        <f t="shared" si="4"/>
        <v>1.286%</v>
      </c>
    </row>
    <row r="56">
      <c r="A56" s="3" t="s">
        <v>623</v>
      </c>
      <c r="B56" s="4" t="str">
        <f t="array" ref="B56">CONCATENATE(INDEX('Nordschleife Data'!$A$2:$E$403,MATCH(1,('Nordschleife Data'!$E$2:$E$403=D56)*('Nordschleife Data'!$C$2:$C$403=A56),0),1)," ",INDEX('Nordschleife Data'!$A$2:$E$403,MATCH(1,('Nordschleife Data'!$E$2:$E$403=D56)*('Nordschleife Data'!$C$2:$C$403=A56),0),2))</f>
        <v>Mercedes-Benz 300 SL (W194)</v>
      </c>
      <c r="C56" s="4" t="str">
        <f t="array" ref="C56">INDEX('Nordschleife Data'!$A$2:$E$403,MATCH(1,('Nordschleife Data'!$E$2:$E$403=D56)*('Nordschleife Data'!$C$2:$C$403=A56),0),4)</f>
        <v>8:22.675</v>
      </c>
      <c r="D56" s="4">
        <f>MINIFS('Nordschleife Data'!$E$2:$E$403,'Nordschleife Data'!$C$2:$C$403,A56)</f>
        <v>502.675</v>
      </c>
      <c r="E56" s="23">
        <f>(AVERAGEIFS('Nordschleife Data'!$E$2:$E$403,'Nordschleife Data'!$C$2:$C$403,A56))/1439.78</f>
        <v>0.3491332009</v>
      </c>
      <c r="F56" s="24">
        <f>ROUND(AVERAGEIFS('Nordschleife Data'!$E$2:$E$403,'Nordschleife Data'!$C$2:$C$403,A56),3)</f>
        <v>502.675</v>
      </c>
      <c r="G56" s="24">
        <f t="shared" si="1"/>
        <v>0</v>
      </c>
      <c r="H56" s="24" t="str">
        <f t="shared" si="2"/>
        <v>0%</v>
      </c>
      <c r="I56" s="24" t="str">
        <f t="array" ref="I56">CONCATENATE(INDEX('Nordschleife Data'!$A$2:$E$403,MATCH(1,('Nordschleife Data'!$E$2:$E$403=K56)*('Nordschleife Data'!$C$2:$C$403=A56),0),1)," ",INDEX('Nordschleife Data'!$A$2:$E$403,MATCH(1,('Nordschleife Data'!$E$2:$E$403=K56)*('Nordschleife Data'!$C$2:$C$403=A56),0),2))</f>
        <v>Mercedes-Benz 300 SL (W194)</v>
      </c>
      <c r="J56" s="24" t="str">
        <f t="array" ref="J56">INDEX('Nordschleife Data'!$A$2:$E$403,MATCH(1,('Nordschleife Data'!$E$2:$E$403=K56)*('Nordschleife Data'!$C$2:$C$403=A56),0),4)</f>
        <v>8:22.675</v>
      </c>
      <c r="K56" s="24">
        <f>MAXIFS('Nordschleife Data'!$E$2:$E$403,'Nordschleife Data'!$C$2:$C$403,A56)</f>
        <v>502.675</v>
      </c>
      <c r="L56" s="24">
        <f t="shared" si="3"/>
        <v>0</v>
      </c>
      <c r="M56" s="24" t="str">
        <f t="shared" si="4"/>
        <v>0%</v>
      </c>
    </row>
    <row r="57">
      <c r="A57" s="6" t="s">
        <v>334</v>
      </c>
      <c r="B57" s="7" t="str">
        <f t="array" ref="B57">CONCATENATE(INDEX('Nordschleife Data'!$A$2:$E$403,MATCH(1,('Nordschleife Data'!$E$2:$E$403=D57)*('Nordschleife Data'!$C$2:$C$403=A57),0),1)," ",INDEX('Nordschleife Data'!$A$2:$E$403,MATCH(1,('Nordschleife Data'!$E$2:$E$403=D57)*('Nordschleife Data'!$C$2:$C$403=A57),0),2))</f>
        <v>Lotus Type 56</v>
      </c>
      <c r="C57" s="7" t="str">
        <f t="array" ref="C57">INDEX('Nordschleife Data'!$A$2:$E$403,MATCH(1,('Nordschleife Data'!$E$2:$E$403=D57)*('Nordschleife Data'!$C$2:$C$403=A57),0),4)</f>
        <v>6:54.897</v>
      </c>
      <c r="D57" s="7">
        <f>MINIFS('Nordschleife Data'!$E$2:$E$403,'Nordschleife Data'!$C$2:$C$403,A57)</f>
        <v>414.897</v>
      </c>
      <c r="E57" s="25">
        <f>(AVERAGEIFS('Nordschleife Data'!$E$2:$E$403,'Nordschleife Data'!$C$2:$C$403,A57))/1439.78</f>
        <v>0.2981274917</v>
      </c>
      <c r="F57" s="26">
        <f>ROUND(AVERAGEIFS('Nordschleife Data'!$E$2:$E$403,'Nordschleife Data'!$C$2:$C$403,A57),3)</f>
        <v>429.238</v>
      </c>
      <c r="G57" s="26">
        <f t="shared" si="1"/>
        <v>14.341</v>
      </c>
      <c r="H57" s="26" t="str">
        <f t="shared" si="2"/>
        <v>3.341%</v>
      </c>
      <c r="I57" s="26" t="str">
        <f t="array" ref="I57">CONCATENATE(INDEX('Nordschleife Data'!$A$2:$E$403,MATCH(1,('Nordschleife Data'!$E$2:$E$403=K57)*('Nordschleife Data'!$C$2:$C$403=A57),0),1)," ",INDEX('Nordschleife Data'!$A$2:$E$403,MATCH(1,('Nordschleife Data'!$E$2:$E$403=K57)*('Nordschleife Data'!$C$2:$C$403=A57),0),2))</f>
        <v>Agajanian Watson Roadster</v>
      </c>
      <c r="J57" s="26" t="str">
        <f t="array" ref="J57">INDEX('Nordschleife Data'!$A$2:$E$403,MATCH(1,('Nordschleife Data'!$E$2:$E$403=K57)*('Nordschleife Data'!$C$2:$C$403=A57),0),4)</f>
        <v>7:23.579</v>
      </c>
      <c r="K57" s="26">
        <f>MAXIFS('Nordschleife Data'!$E$2:$E$403,'Nordschleife Data'!$C$2:$C$403,A57)</f>
        <v>443.579</v>
      </c>
      <c r="L57" s="26">
        <f t="shared" si="3"/>
        <v>14.341</v>
      </c>
      <c r="M57" s="26" t="str">
        <f t="shared" si="4"/>
        <v>3.341%</v>
      </c>
    </row>
    <row r="58">
      <c r="A58" s="3" t="s">
        <v>63</v>
      </c>
      <c r="B58" s="4" t="str">
        <f t="array" ref="B58">CONCATENATE(INDEX('Nordschleife Data'!$A$2:$E$403,MATCH(1,('Nordschleife Data'!$E$2:$E$403=D58)*('Nordschleife Data'!$C$2:$C$403=A58),0),1)," ",INDEX('Nordschleife Data'!$A$2:$E$403,MATCH(1,('Nordschleife Data'!$E$2:$E$403=D58)*('Nordschleife Data'!$C$2:$C$403=A58),0),2))</f>
        <v>Porsche 917K</v>
      </c>
      <c r="C58" s="4" t="str">
        <f t="array" ref="C58">INDEX('Nordschleife Data'!$A$2:$E$403,MATCH(1,('Nordschleife Data'!$E$2:$E$403=D58)*('Nordschleife Data'!$C$2:$C$403=A58),0),4)</f>
        <v>6:25.719</v>
      </c>
      <c r="D58" s="4">
        <f>MINIFS('Nordschleife Data'!$E$2:$E$403,'Nordschleife Data'!$C$2:$C$403,A58)</f>
        <v>385.719</v>
      </c>
      <c r="E58" s="23">
        <f>(AVERAGEIFS('Nordschleife Data'!$E$2:$E$403,'Nordschleife Data'!$C$2:$C$403,A58))/1439.78</f>
        <v>0.2720026671</v>
      </c>
      <c r="F58" s="24">
        <f>ROUND(AVERAGEIFS('Nordschleife Data'!$E$2:$E$403,'Nordschleife Data'!$C$2:$C$403,A58),3)</f>
        <v>391.624</v>
      </c>
      <c r="G58" s="24">
        <f t="shared" si="1"/>
        <v>5.905</v>
      </c>
      <c r="H58" s="24" t="str">
        <f t="shared" si="2"/>
        <v>1.508%</v>
      </c>
      <c r="I58" s="24" t="str">
        <f t="array" ref="I58">CONCATENATE(INDEX('Nordschleife Data'!$A$2:$E$403,MATCH(1,('Nordschleife Data'!$E$2:$E$403=K58)*('Nordschleife Data'!$C$2:$C$403=A58),0),1)," ",INDEX('Nordschleife Data'!$A$2:$E$403,MATCH(1,('Nordschleife Data'!$E$2:$E$403=K58)*('Nordschleife Data'!$C$2:$C$403=A58),0),2))</f>
        <v>Ferrari 512 S</v>
      </c>
      <c r="J58" s="24" t="str">
        <f t="array" ref="J58">INDEX('Nordschleife Data'!$A$2:$E$403,MATCH(1,('Nordschleife Data'!$E$2:$E$403=K58)*('Nordschleife Data'!$C$2:$C$403=A58),0),4)</f>
        <v>6:34.877</v>
      </c>
      <c r="K58" s="24">
        <f>MAXIFS('Nordschleife Data'!$E$2:$E$403,'Nordschleife Data'!$C$2:$C$403,A58)</f>
        <v>394.877</v>
      </c>
      <c r="L58" s="24">
        <f t="shared" si="3"/>
        <v>3.253</v>
      </c>
      <c r="M58" s="24" t="str">
        <f t="shared" si="4"/>
        <v>0.831%</v>
      </c>
    </row>
    <row r="59">
      <c r="A59" s="6" t="s">
        <v>256</v>
      </c>
      <c r="B59" s="7" t="str">
        <f t="array" ref="B59">CONCATENATE(INDEX('Nordschleife Data'!$A$2:$E$403,MATCH(1,('Nordschleife Data'!$E$2:$E$403=D59)*('Nordschleife Data'!$C$2:$C$403=A59),0),1)," ",INDEX('Nordschleife Data'!$A$2:$E$403,MATCH(1,('Nordschleife Data'!$E$2:$E$403=D59)*('Nordschleife Data'!$C$2:$C$403=A59),0),2))</f>
        <v>Porsche 908/03 Spyder</v>
      </c>
      <c r="C59" s="7" t="str">
        <f t="array" ref="C59">INDEX('Nordschleife Data'!$A$2:$E$403,MATCH(1,('Nordschleife Data'!$E$2:$E$403=D59)*('Nordschleife Data'!$C$2:$C$403=A59),0),4)</f>
        <v>6:26.379</v>
      </c>
      <c r="D59" s="7">
        <f>MINIFS('Nordschleife Data'!$E$2:$E$403,'Nordschleife Data'!$C$2:$C$403,A59)</f>
        <v>386.379</v>
      </c>
      <c r="E59" s="25">
        <f>(AVERAGEIFS('Nordschleife Data'!$E$2:$E$403,'Nordschleife Data'!$C$2:$C$403,A59))/1439.78</f>
        <v>0.2860674895</v>
      </c>
      <c r="F59" s="26">
        <f>ROUND(AVERAGEIFS('Nordschleife Data'!$E$2:$E$403,'Nordschleife Data'!$C$2:$C$403,A59),3)</f>
        <v>411.874</v>
      </c>
      <c r="G59" s="26">
        <f t="shared" si="1"/>
        <v>25.495</v>
      </c>
      <c r="H59" s="26" t="str">
        <f t="shared" si="2"/>
        <v>6.19%</v>
      </c>
      <c r="I59" s="26" t="str">
        <f t="array" ref="I59">CONCATENATE(INDEX('Nordschleife Data'!$A$2:$E$403,MATCH(1,('Nordschleife Data'!$E$2:$E$403=K59)*('Nordschleife Data'!$C$2:$C$403=A59),0),1)," ",INDEX('Nordschleife Data'!$A$2:$E$403,MATCH(1,('Nordschleife Data'!$E$2:$E$403=K59)*('Nordschleife Data'!$C$2:$C$403=A59),0),2))</f>
        <v>Lotus Type 40 Ford</v>
      </c>
      <c r="J59" s="26" t="str">
        <f t="array" ref="J59">INDEX('Nordschleife Data'!$A$2:$E$403,MATCH(1,('Nordschleife Data'!$E$2:$E$403=K59)*('Nordschleife Data'!$C$2:$C$403=A59),0),4)</f>
        <v>7:04.779</v>
      </c>
      <c r="K59" s="26">
        <f>MAXIFS('Nordschleife Data'!$E$2:$E$403,'Nordschleife Data'!$C$2:$C$403,A59)</f>
        <v>424.779</v>
      </c>
      <c r="L59" s="26">
        <f t="shared" si="3"/>
        <v>12.905</v>
      </c>
      <c r="M59" s="26" t="str">
        <f t="shared" si="4"/>
        <v>3.133%</v>
      </c>
    </row>
    <row r="60">
      <c r="A60" s="3" t="s">
        <v>615</v>
      </c>
      <c r="B60" s="4" t="str">
        <f t="array" ref="B60">CONCATENATE(INDEX('Nordschleife Data'!$A$2:$E$403,MATCH(1,('Nordschleife Data'!$E$2:$E$403=D60)*('Nordschleife Data'!$C$2:$C$403=A60),0),1)," ",INDEX('Nordschleife Data'!$A$2:$E$403,MATCH(1,('Nordschleife Data'!$E$2:$E$403=D60)*('Nordschleife Data'!$C$2:$C$403=A60),0),2))</f>
        <v>Ford Escort RS1600 (Rallycross)</v>
      </c>
      <c r="C60" s="4" t="str">
        <f t="array" ref="C60">INDEX('Nordschleife Data'!$A$2:$E$403,MATCH(1,('Nordschleife Data'!$E$2:$E$403=D60)*('Nordschleife Data'!$C$2:$C$403=A60),0),4)</f>
        <v>8:16.759</v>
      </c>
      <c r="D60" s="4">
        <f>MINIFS('Nordschleife Data'!$E$2:$E$403,'Nordschleife Data'!$C$2:$C$403,A60)</f>
        <v>496.759</v>
      </c>
      <c r="E60" s="23">
        <f>(AVERAGEIFS('Nordschleife Data'!$E$2:$E$403,'Nordschleife Data'!$C$2:$C$403,A60))/1439.78</f>
        <v>0.3450242398</v>
      </c>
      <c r="F60" s="24">
        <f>ROUND(AVERAGEIFS('Nordschleife Data'!$E$2:$E$403,'Nordschleife Data'!$C$2:$C$403,A60),3)</f>
        <v>496.759</v>
      </c>
      <c r="G60" s="24">
        <f t="shared" si="1"/>
        <v>0</v>
      </c>
      <c r="H60" s="24" t="str">
        <f t="shared" si="2"/>
        <v>0%</v>
      </c>
      <c r="I60" s="24" t="str">
        <f t="array" ref="I60">CONCATENATE(INDEX('Nordschleife Data'!$A$2:$E$403,MATCH(1,('Nordschleife Data'!$E$2:$E$403=K60)*('Nordschleife Data'!$C$2:$C$403=A60),0),1)," ",INDEX('Nordschleife Data'!$A$2:$E$403,MATCH(1,('Nordschleife Data'!$E$2:$E$403=K60)*('Nordschleife Data'!$C$2:$C$403=A60),0),2))</f>
        <v>Ford Escort RS1600 (Rallycross)</v>
      </c>
      <c r="J60" s="24" t="str">
        <f t="array" ref="J60">INDEX('Nordschleife Data'!$A$2:$E$403,MATCH(1,('Nordschleife Data'!$E$2:$E$403=K60)*('Nordschleife Data'!$C$2:$C$403=A60),0),4)</f>
        <v>8:16.759</v>
      </c>
      <c r="K60" s="24">
        <f>MAXIFS('Nordschleife Data'!$E$2:$E$403,'Nordschleife Data'!$C$2:$C$403,A60)</f>
        <v>496.759</v>
      </c>
      <c r="L60" s="24">
        <f t="shared" si="3"/>
        <v>0</v>
      </c>
      <c r="M60" s="24" t="str">
        <f t="shared" si="4"/>
        <v>0%</v>
      </c>
    </row>
    <row r="61">
      <c r="A61" s="6" t="s">
        <v>401</v>
      </c>
      <c r="B61" s="7" t="str">
        <f t="array" ref="B61">CONCATENATE(INDEX('Nordschleife Data'!$A$2:$E$403,MATCH(1,('Nordschleife Data'!$E$2:$E$403=D61)*('Nordschleife Data'!$C$2:$C$403=A61),0),1)," ",INDEX('Nordschleife Data'!$A$2:$E$403,MATCH(1,('Nordschleife Data'!$E$2:$E$403=D61)*('Nordschleife Data'!$C$2:$C$403=A61),0),2))</f>
        <v>Honda Civic Coupé GRC</v>
      </c>
      <c r="C61" s="7" t="str">
        <f t="array" ref="C61">INDEX('Nordschleife Data'!$A$2:$E$403,MATCH(1,('Nordschleife Data'!$E$2:$E$403=D61)*('Nordschleife Data'!$C$2:$C$403=A61),0),4)</f>
        <v>6:49.198</v>
      </c>
      <c r="D61" s="7">
        <f>MINIFS('Nordschleife Data'!$E$2:$E$403,'Nordschleife Data'!$C$2:$C$403,A61)</f>
        <v>409.198</v>
      </c>
      <c r="E61" s="25">
        <f>(AVERAGEIFS('Nordschleife Data'!$E$2:$E$403,'Nordschleife Data'!$C$2:$C$403,A61))/1439.78</f>
        <v>0.2874063225</v>
      </c>
      <c r="F61" s="26">
        <f>ROUND(AVERAGEIFS('Nordschleife Data'!$E$2:$E$403,'Nordschleife Data'!$C$2:$C$403,A61),3)</f>
        <v>413.802</v>
      </c>
      <c r="G61" s="26">
        <f t="shared" si="1"/>
        <v>4.604</v>
      </c>
      <c r="H61" s="26" t="str">
        <f t="shared" si="2"/>
        <v>1.113%</v>
      </c>
      <c r="I61" s="26" t="str">
        <f t="array" ref="I61">CONCATENATE(INDEX('Nordschleife Data'!$A$2:$E$403,MATCH(1,('Nordschleife Data'!$E$2:$E$403=K61)*('Nordschleife Data'!$C$2:$C$403=A61),0),1)," ",INDEX('Nordschleife Data'!$A$2:$E$403,MATCH(1,('Nordschleife Data'!$E$2:$E$403=K61)*('Nordschleife Data'!$C$2:$C$403=A61),0),2))</f>
        <v>Citroen DS3 RX Supercar</v>
      </c>
      <c r="J61" s="26" t="str">
        <f t="array" ref="J61">INDEX('Nordschleife Data'!$A$2:$E$403,MATCH(1,('Nordschleife Data'!$E$2:$E$403=K61)*('Nordschleife Data'!$C$2:$C$403=A61),0),4)</f>
        <v>6:59.161</v>
      </c>
      <c r="K61" s="26">
        <f>MAXIFS('Nordschleife Data'!$E$2:$E$403,'Nordschleife Data'!$C$2:$C$403,A61)</f>
        <v>419.161</v>
      </c>
      <c r="L61" s="26">
        <f t="shared" si="3"/>
        <v>5.359</v>
      </c>
      <c r="M61" s="26" t="str">
        <f t="shared" si="4"/>
        <v>1.295%</v>
      </c>
    </row>
  </sheetData>
  <autoFilter ref="$A$1:$M$61">
    <sortState ref="A1:M61">
      <sortCondition descending="1" ref="H1:H61"/>
      <sortCondition ref="A1:A61"/>
      <sortCondition descending="1" ref="M1:M61"/>
    </sortState>
  </autoFilter>
  <drawing r:id="rId1"/>
</worksheet>
</file>