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 kesav\Desktop\MISC\BEM 21-22\"/>
    </mc:Choice>
  </mc:AlternateContent>
  <xr:revisionPtr revIDLastSave="0" documentId="8_{E66E8FFD-5873-4DA3-B7C9-2C8890483B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2" i="1" l="1"/>
  <c r="F161" i="1"/>
  <c r="D162" i="1"/>
  <c r="D161" i="1"/>
  <c r="H162" i="1"/>
  <c r="H161" i="1"/>
  <c r="P6" i="2"/>
  <c r="S6" i="2" s="1"/>
  <c r="R6" i="2"/>
  <c r="T6" i="2" s="1"/>
  <c r="R4" i="2"/>
  <c r="Q5" i="2"/>
  <c r="Q4" i="2"/>
  <c r="P5" i="2"/>
  <c r="P4" i="2"/>
  <c r="Q139" i="1"/>
  <c r="P139" i="1"/>
  <c r="N139" i="1"/>
  <c r="R139" i="1"/>
  <c r="S139" i="1" s="1"/>
  <c r="P133" i="1" s="1"/>
  <c r="Q131" i="1"/>
  <c r="Q130" i="1"/>
  <c r="Q133" i="1"/>
  <c r="P131" i="1"/>
  <c r="P130" i="1"/>
  <c r="N133" i="1"/>
  <c r="N131" i="1"/>
  <c r="N130" i="1"/>
  <c r="R133" i="1"/>
  <c r="R131" i="1"/>
  <c r="S131" i="1" s="1"/>
  <c r="R130" i="1"/>
  <c r="S130" i="1" s="1"/>
  <c r="G106" i="1"/>
  <c r="F104" i="1"/>
  <c r="F103" i="1"/>
  <c r="G110" i="1"/>
  <c r="H110" i="1" s="1"/>
  <c r="F110" i="1"/>
  <c r="D110" i="1"/>
  <c r="D106" i="1"/>
  <c r="D104" i="1"/>
  <c r="D103" i="1"/>
  <c r="H106" i="1"/>
  <c r="H104" i="1"/>
  <c r="H103" i="1"/>
  <c r="I103" i="1" s="1"/>
  <c r="P84" i="1"/>
  <c r="P83" i="1"/>
  <c r="P82" i="1"/>
  <c r="Q85" i="1"/>
  <c r="R85" i="1" s="1"/>
  <c r="Q89" i="1"/>
  <c r="P89" i="1"/>
  <c r="N89" i="1"/>
  <c r="N85" i="1"/>
  <c r="N84" i="1"/>
  <c r="N83" i="1"/>
  <c r="N82" i="1"/>
  <c r="R84" i="1"/>
  <c r="R83" i="1"/>
  <c r="R82" i="1"/>
  <c r="P51" i="1"/>
  <c r="P50" i="1"/>
  <c r="P49" i="1"/>
  <c r="N51" i="1"/>
  <c r="N50" i="1"/>
  <c r="N49" i="1"/>
  <c r="R51" i="1"/>
  <c r="F50" i="1"/>
  <c r="D50" i="1"/>
  <c r="R50" i="1"/>
  <c r="R49" i="1"/>
  <c r="S49" i="1" s="1"/>
  <c r="H50" i="1"/>
  <c r="I50" i="1" s="1"/>
  <c r="H49" i="1"/>
  <c r="F49" i="1"/>
  <c r="D49" i="1"/>
  <c r="N19" i="1"/>
  <c r="N18" i="1"/>
  <c r="P18" i="1"/>
  <c r="P19" i="1"/>
  <c r="P17" i="1"/>
  <c r="N17" i="1"/>
  <c r="R19" i="1"/>
  <c r="S19" i="1" s="1"/>
  <c r="R18" i="1"/>
  <c r="R17" i="1"/>
  <c r="P10" i="1"/>
  <c r="P9" i="1"/>
  <c r="P8" i="1"/>
  <c r="R9" i="1"/>
  <c r="R10" i="1"/>
  <c r="R8" i="1"/>
  <c r="N10" i="1"/>
  <c r="N9" i="1"/>
  <c r="N8" i="1"/>
  <c r="S8" i="1" l="1"/>
  <c r="S17" i="1"/>
  <c r="S18" i="1"/>
  <c r="S50" i="1"/>
  <c r="S51" i="1"/>
  <c r="R89" i="1"/>
  <c r="S89" i="1" s="1"/>
  <c r="P85" i="1" s="1"/>
  <c r="S85" i="1" s="1"/>
  <c r="S83" i="1"/>
  <c r="I110" i="1"/>
  <c r="F106" i="1" s="1"/>
  <c r="I106" i="1" s="1"/>
  <c r="I104" i="1"/>
  <c r="P9" i="2"/>
  <c r="S4" i="2"/>
  <c r="T5" i="2"/>
  <c r="S5" i="2"/>
  <c r="T4" i="2"/>
  <c r="T9" i="2" s="1"/>
  <c r="T12" i="2" s="1"/>
  <c r="I162" i="1"/>
  <c r="I161" i="1"/>
  <c r="S133" i="1"/>
  <c r="S134" i="1"/>
  <c r="S82" i="1"/>
  <c r="S84" i="1"/>
  <c r="S53" i="1"/>
  <c r="S9" i="1"/>
  <c r="S10" i="1"/>
  <c r="I49" i="1"/>
  <c r="S21" i="1"/>
  <c r="S12" i="1" l="1"/>
  <c r="S9" i="2"/>
  <c r="S12" i="2" s="1"/>
  <c r="I165" i="1"/>
  <c r="I107" i="1"/>
  <c r="S86" i="1"/>
  <c r="I53" i="1"/>
</calcChain>
</file>

<file path=xl/sharedStrings.xml><?xml version="1.0" encoding="utf-8"?>
<sst xmlns="http://schemas.openxmlformats.org/spreadsheetml/2006/main" count="167" uniqueCount="52">
  <si>
    <t>S.No</t>
  </si>
  <si>
    <t>Geometry</t>
  </si>
  <si>
    <t>Dimensions in mm</t>
  </si>
  <si>
    <t>Area ( A)</t>
  </si>
  <si>
    <t>MOI about CG</t>
  </si>
  <si>
    <t>distance (d)</t>
  </si>
  <si>
    <t>d^2</t>
  </si>
  <si>
    <t>I</t>
  </si>
  <si>
    <t>Rectangle</t>
  </si>
  <si>
    <t>80x10</t>
  </si>
  <si>
    <t>(bd^3)/12</t>
  </si>
  <si>
    <t>10x100</t>
  </si>
  <si>
    <t>mm^4</t>
  </si>
  <si>
    <t>80x120</t>
  </si>
  <si>
    <t>35*100(-ve)</t>
  </si>
  <si>
    <t>80x90</t>
  </si>
  <si>
    <t>10x80</t>
  </si>
  <si>
    <t>35x80</t>
  </si>
  <si>
    <t>120x60</t>
  </si>
  <si>
    <t>Triangle</t>
  </si>
  <si>
    <t>30x60</t>
  </si>
  <si>
    <t>(bd^3)/36</t>
  </si>
  <si>
    <t>Semi Circle</t>
  </si>
  <si>
    <t>Radius 40</t>
  </si>
  <si>
    <t>about diameter</t>
  </si>
  <si>
    <t>about CG</t>
  </si>
  <si>
    <r>
      <t>(</t>
    </r>
    <r>
      <rPr>
        <sz val="11"/>
        <color theme="1"/>
        <rFont val="Calibri"/>
        <family val="2"/>
      </rPr>
      <t>ᶲ*r^4)/8</t>
    </r>
  </si>
  <si>
    <t>60x90</t>
  </si>
  <si>
    <t>40x90</t>
  </si>
  <si>
    <t>Radius 30</t>
  </si>
  <si>
    <t>Square</t>
  </si>
  <si>
    <t>40x40</t>
  </si>
  <si>
    <t>60x40</t>
  </si>
  <si>
    <t>Quarter Circle</t>
  </si>
  <si>
    <t>(ᶲ*r^4)/16</t>
  </si>
  <si>
    <r>
      <t>(</t>
    </r>
    <r>
      <rPr>
        <sz val="11"/>
        <color theme="1"/>
        <rFont val="Calibri"/>
        <family val="2"/>
      </rPr>
      <t>ᶲ*r^4)/16</t>
    </r>
  </si>
  <si>
    <t>Y</t>
  </si>
  <si>
    <t>2x8</t>
  </si>
  <si>
    <t>8x2</t>
  </si>
  <si>
    <t>area</t>
  </si>
  <si>
    <t>Xi</t>
  </si>
  <si>
    <t>Yi</t>
  </si>
  <si>
    <t>AiXi</t>
  </si>
  <si>
    <t>AiYi</t>
  </si>
  <si>
    <t>200x100</t>
  </si>
  <si>
    <t>Semi circle</t>
  </si>
  <si>
    <t>R 50</t>
  </si>
  <si>
    <t>Circle</t>
  </si>
  <si>
    <t>R25</t>
  </si>
  <si>
    <t xml:space="preserve">Sum </t>
  </si>
  <si>
    <t>X bar</t>
  </si>
  <si>
    <t>Y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</si>
</sst>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267073</xdr:colOff>
      <xdr:row>1</xdr:row>
      <xdr:rowOff>60387</xdr:rowOff>
    </xdr:from>
    <xdr:to>
      <xdr:col>8</xdr:col>
      <xdr:colOff>295009</xdr:colOff>
      <xdr:row>24</xdr:row>
      <xdr:rowOff>165162</xdr:rowOff>
    </xdr:to>
    <xdr:pic>
      <xdr:nvPicPr>
        <xdr:cNvPr id="2" name="Picture 1" descr="Composite MOI-I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191" y="250887"/>
          <a:ext cx="5866200" cy="44862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119</xdr:row>
      <xdr:rowOff>111525</xdr:rowOff>
    </xdr:from>
    <xdr:to>
      <xdr:col>10</xdr:col>
      <xdr:colOff>55897</xdr:colOff>
      <xdr:row>144</xdr:row>
      <xdr:rowOff>178200</xdr:rowOff>
    </xdr:to>
    <xdr:pic>
      <xdr:nvPicPr>
        <xdr:cNvPr id="4" name="Picture 3" descr="Composite MOI-III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530" y="22781025"/>
          <a:ext cx="7059573" cy="4829175"/>
        </a:xfrm>
        <a:prstGeom prst="rect">
          <a:avLst/>
        </a:prstGeom>
      </xdr:spPr>
    </xdr:pic>
    <xdr:clientData/>
  </xdr:twoCellAnchor>
  <xdr:twoCellAnchor editAs="oneCell">
    <xdr:from>
      <xdr:col>2</xdr:col>
      <xdr:colOff>593933</xdr:colOff>
      <xdr:row>55</xdr:row>
      <xdr:rowOff>133408</xdr:rowOff>
    </xdr:from>
    <xdr:to>
      <xdr:col>9</xdr:col>
      <xdr:colOff>744366</xdr:colOff>
      <xdr:row>95</xdr:row>
      <xdr:rowOff>163286</xdr:rowOff>
    </xdr:to>
    <xdr:pic>
      <xdr:nvPicPr>
        <xdr:cNvPr id="5" name="Picture 4" descr="Composite MOI-IV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3462" y="10610908"/>
          <a:ext cx="6190404" cy="7649878"/>
        </a:xfrm>
        <a:prstGeom prst="rect">
          <a:avLst/>
        </a:prstGeom>
      </xdr:spPr>
    </xdr:pic>
    <xdr:clientData/>
  </xdr:twoCellAnchor>
  <xdr:twoCellAnchor editAs="oneCell">
    <xdr:from>
      <xdr:col>0</xdr:col>
      <xdr:colOff>427069</xdr:colOff>
      <xdr:row>27</xdr:row>
      <xdr:rowOff>50425</xdr:rowOff>
    </xdr:from>
    <xdr:to>
      <xdr:col>10</xdr:col>
      <xdr:colOff>245196</xdr:colOff>
      <xdr:row>44</xdr:row>
      <xdr:rowOff>160826</xdr:rowOff>
    </xdr:to>
    <xdr:pic>
      <xdr:nvPicPr>
        <xdr:cNvPr id="7" name="Picture 6" descr="Composite MOI-V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069" y="5193925"/>
          <a:ext cx="8211333" cy="3348901"/>
        </a:xfrm>
        <a:prstGeom prst="rect">
          <a:avLst/>
        </a:prstGeom>
      </xdr:spPr>
    </xdr:pic>
    <xdr:clientData/>
  </xdr:twoCellAnchor>
  <xdr:twoCellAnchor editAs="oneCell">
    <xdr:from>
      <xdr:col>9</xdr:col>
      <xdr:colOff>680356</xdr:colOff>
      <xdr:row>92</xdr:row>
      <xdr:rowOff>108857</xdr:rowOff>
    </xdr:from>
    <xdr:to>
      <xdr:col>23</xdr:col>
      <xdr:colOff>372835</xdr:colOff>
      <xdr:row>119</xdr:row>
      <xdr:rowOff>80282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715249" y="17634857"/>
          <a:ext cx="9897836" cy="5114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582705</xdr:colOff>
      <xdr:row>147</xdr:row>
      <xdr:rowOff>56029</xdr:rowOff>
    </xdr:from>
    <xdr:to>
      <xdr:col>13</xdr:col>
      <xdr:colOff>498100</xdr:colOff>
      <xdr:row>166</xdr:row>
      <xdr:rowOff>151279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012205" y="28059529"/>
          <a:ext cx="3366807" cy="3714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171450</xdr:rowOff>
    </xdr:from>
    <xdr:to>
      <xdr:col>11</xdr:col>
      <xdr:colOff>495300</xdr:colOff>
      <xdr:row>21</xdr:row>
      <xdr:rowOff>133350</xdr:rowOff>
    </xdr:to>
    <xdr:pic>
      <xdr:nvPicPr>
        <xdr:cNvPr id="2" name="Picture 1" descr="WhatsApp Image 2020-05-22 at 11.34.58 AM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52450"/>
          <a:ext cx="6858000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T165"/>
  <sheetViews>
    <sheetView tabSelected="1" topLeftCell="A145" zoomScale="85" zoomScaleNormal="85" workbookViewId="0">
      <selection activeCell="B159" sqref="B159"/>
    </sheetView>
  </sheetViews>
  <sheetFormatPr defaultRowHeight="14.4" x14ac:dyDescent="0.3"/>
  <cols>
    <col min="2" max="2" width="11.6640625" bestFit="1" customWidth="1"/>
    <col min="3" max="3" width="18.109375" bestFit="1" customWidth="1"/>
    <col min="5" max="5" width="15.5546875" bestFit="1" customWidth="1"/>
    <col min="6" max="6" width="14.88671875" bestFit="1" customWidth="1"/>
    <col min="9" max="9" width="14.88671875" bestFit="1" customWidth="1"/>
    <col min="10" max="10" width="14.44140625" customWidth="1"/>
    <col min="11" max="11" width="5.109375" bestFit="1" customWidth="1"/>
    <col min="12" max="12" width="14.44140625" customWidth="1"/>
    <col min="13" max="13" width="17.6640625" bestFit="1" customWidth="1"/>
    <col min="14" max="14" width="8.6640625" bestFit="1" customWidth="1"/>
    <col min="15" max="15" width="9.6640625" bestFit="1" customWidth="1"/>
    <col min="16" max="16" width="13.33203125" bestFit="1" customWidth="1"/>
    <col min="17" max="17" width="11.44140625" bestFit="1" customWidth="1"/>
    <col min="18" max="18" width="7.88671875" customWidth="1"/>
    <col min="19" max="19" width="13.33203125" bestFit="1" customWidth="1"/>
  </cols>
  <sheetData>
    <row r="7" spans="11:20" x14ac:dyDescent="0.3">
      <c r="K7" s="1" t="s">
        <v>0</v>
      </c>
      <c r="L7" s="1" t="s">
        <v>1</v>
      </c>
      <c r="M7" s="1" t="s">
        <v>2</v>
      </c>
      <c r="N7" s="1" t="s">
        <v>3</v>
      </c>
      <c r="O7" s="1"/>
      <c r="P7" s="1" t="s">
        <v>4</v>
      </c>
      <c r="Q7" s="1" t="s">
        <v>5</v>
      </c>
      <c r="R7" s="1" t="s">
        <v>6</v>
      </c>
      <c r="S7" s="1" t="s">
        <v>7</v>
      </c>
    </row>
    <row r="8" spans="11:20" x14ac:dyDescent="0.3">
      <c r="K8" s="1">
        <v>1</v>
      </c>
      <c r="L8" s="1" t="s">
        <v>8</v>
      </c>
      <c r="M8" s="1" t="s">
        <v>9</v>
      </c>
      <c r="N8" s="1">
        <f>80*10</f>
        <v>800</v>
      </c>
      <c r="O8" s="1" t="s">
        <v>10</v>
      </c>
      <c r="P8" s="1">
        <f>ROUNDUP(((80*10^3)/12),2)</f>
        <v>6666.67</v>
      </c>
      <c r="Q8" s="1">
        <v>55</v>
      </c>
      <c r="R8" s="1">
        <f>Q8^2</f>
        <v>3025</v>
      </c>
      <c r="S8" s="1">
        <f>ROUNDUP((P8+(R8*N8)),2)</f>
        <v>2426666.67</v>
      </c>
    </row>
    <row r="9" spans="11:20" x14ac:dyDescent="0.3">
      <c r="K9" s="1">
        <v>2</v>
      </c>
      <c r="L9" s="1" t="s">
        <v>8</v>
      </c>
      <c r="M9" s="1" t="s">
        <v>11</v>
      </c>
      <c r="N9" s="1">
        <f>10*100</f>
        <v>1000</v>
      </c>
      <c r="O9" s="1" t="s">
        <v>10</v>
      </c>
      <c r="P9" s="1">
        <f>ROUNDUP(((10*100^3)/12),2)</f>
        <v>833333.34</v>
      </c>
      <c r="Q9" s="1">
        <v>0</v>
      </c>
      <c r="R9" s="1">
        <f t="shared" ref="R9" si="0">Q9^2</f>
        <v>0</v>
      </c>
      <c r="S9" s="1">
        <f t="shared" ref="S9" si="1">ROUNDUP((P9+(R9*N9)),2)</f>
        <v>833333.34</v>
      </c>
    </row>
    <row r="10" spans="11:20" x14ac:dyDescent="0.3">
      <c r="K10" s="1">
        <v>3</v>
      </c>
      <c r="L10" s="1" t="s">
        <v>8</v>
      </c>
      <c r="M10" s="1" t="s">
        <v>9</v>
      </c>
      <c r="N10" s="1">
        <f>80*10</f>
        <v>800</v>
      </c>
      <c r="O10" s="1" t="s">
        <v>10</v>
      </c>
      <c r="P10" s="1">
        <f>ROUNDUP(((80*10^3)/12),2)</f>
        <v>6666.67</v>
      </c>
      <c r="Q10" s="1">
        <v>55</v>
      </c>
      <c r="R10" s="1">
        <f>Q10^2</f>
        <v>3025</v>
      </c>
      <c r="S10" s="1">
        <f>ROUNDUP((P10+(R10*N10)),2)</f>
        <v>2426666.67</v>
      </c>
    </row>
    <row r="11" spans="11:20" x14ac:dyDescent="0.3">
      <c r="K11" s="1"/>
      <c r="L11" s="1"/>
      <c r="M11" s="1"/>
      <c r="N11" s="1"/>
      <c r="O11" s="1"/>
      <c r="P11" s="1"/>
      <c r="Q11" s="1"/>
      <c r="R11" s="1"/>
      <c r="S11" s="1"/>
    </row>
    <row r="12" spans="11:20" x14ac:dyDescent="0.3">
      <c r="K12" s="6"/>
      <c r="L12" s="6"/>
      <c r="M12" s="6"/>
      <c r="N12" s="6"/>
      <c r="O12" s="6"/>
      <c r="P12" s="6"/>
      <c r="Q12" s="6"/>
      <c r="R12" s="6"/>
      <c r="S12" s="1">
        <f>SUM(S8:S11)</f>
        <v>5686666.6799999997</v>
      </c>
      <c r="T12" t="s">
        <v>12</v>
      </c>
    </row>
    <row r="16" spans="11:20" x14ac:dyDescent="0.3">
      <c r="K16" s="1" t="s">
        <v>0</v>
      </c>
      <c r="L16" s="1" t="s">
        <v>1</v>
      </c>
      <c r="M16" s="1" t="s">
        <v>2</v>
      </c>
      <c r="N16" s="1" t="s">
        <v>3</v>
      </c>
      <c r="O16" s="1"/>
      <c r="P16" s="1" t="s">
        <v>4</v>
      </c>
      <c r="Q16" s="1" t="s">
        <v>5</v>
      </c>
      <c r="R16" s="1" t="s">
        <v>6</v>
      </c>
      <c r="S16" s="1" t="s">
        <v>7</v>
      </c>
    </row>
    <row r="17" spans="11:19" x14ac:dyDescent="0.3">
      <c r="K17" s="1">
        <v>1</v>
      </c>
      <c r="L17" s="1" t="s">
        <v>8</v>
      </c>
      <c r="M17" s="1" t="s">
        <v>13</v>
      </c>
      <c r="N17" s="1">
        <f>80*120</f>
        <v>9600</v>
      </c>
      <c r="O17" s="1" t="s">
        <v>10</v>
      </c>
      <c r="P17" s="1">
        <f>ROUNDUP(((80*120^3)/12),2)</f>
        <v>11520000</v>
      </c>
      <c r="Q17" s="1">
        <v>0</v>
      </c>
      <c r="R17" s="1">
        <f>Q17^2</f>
        <v>0</v>
      </c>
      <c r="S17" s="1">
        <f>ROUNDUP((P17+(R17*N17)),2)*1</f>
        <v>11520000</v>
      </c>
    </row>
    <row r="18" spans="11:19" x14ac:dyDescent="0.3">
      <c r="K18" s="1">
        <v>2</v>
      </c>
      <c r="L18" s="1" t="s">
        <v>8</v>
      </c>
      <c r="M18" s="1" t="s">
        <v>14</v>
      </c>
      <c r="N18" s="1">
        <f>(35*100)</f>
        <v>3500</v>
      </c>
      <c r="O18" s="1" t="s">
        <v>10</v>
      </c>
      <c r="P18" s="1">
        <f>ROUNDUP(((35*100^3)/12),2)</f>
        <v>2916666.67</v>
      </c>
      <c r="Q18" s="1">
        <v>0</v>
      </c>
      <c r="R18" s="1">
        <f t="shared" ref="R18" si="2">Q18^2</f>
        <v>0</v>
      </c>
      <c r="S18" s="1">
        <f>(ROUNDUP((P18+(R18*N18)),2))*-1</f>
        <v>-2916666.67</v>
      </c>
    </row>
    <row r="19" spans="11:19" x14ac:dyDescent="0.3">
      <c r="K19" s="1">
        <v>3</v>
      </c>
      <c r="L19" s="1" t="s">
        <v>8</v>
      </c>
      <c r="M19" s="1" t="s">
        <v>14</v>
      </c>
      <c r="N19" s="1">
        <f>(35*100)</f>
        <v>3500</v>
      </c>
      <c r="O19" s="1" t="s">
        <v>10</v>
      </c>
      <c r="P19" s="1">
        <f>ROUNDUP(((35*100^3)/12),2)</f>
        <v>2916666.67</v>
      </c>
      <c r="Q19" s="1">
        <v>0</v>
      </c>
      <c r="R19" s="1">
        <f>Q19^2</f>
        <v>0</v>
      </c>
      <c r="S19" s="1">
        <f>ROUNDUP((P19+(R19*N19)),2)*-1</f>
        <v>-2916666.67</v>
      </c>
    </row>
    <row r="20" spans="11:19" x14ac:dyDescent="0.3">
      <c r="K20" s="1"/>
      <c r="L20" s="1"/>
      <c r="M20" s="1"/>
      <c r="N20" s="1"/>
      <c r="O20" s="1"/>
      <c r="P20" s="1"/>
      <c r="Q20" s="1"/>
      <c r="R20" s="1"/>
      <c r="S20" s="1"/>
    </row>
    <row r="21" spans="11:19" x14ac:dyDescent="0.3">
      <c r="K21" s="6"/>
      <c r="L21" s="6"/>
      <c r="M21" s="6"/>
      <c r="N21" s="6"/>
      <c r="O21" s="6"/>
      <c r="P21" s="6"/>
      <c r="Q21" s="6"/>
      <c r="R21" s="6"/>
      <c r="S21" s="1">
        <f>SUM(S17:S20)</f>
        <v>5686666.6600000001</v>
      </c>
    </row>
    <row r="48" spans="1:19" x14ac:dyDescent="0.3">
      <c r="A48" s="1" t="s">
        <v>0</v>
      </c>
      <c r="B48" s="1" t="s">
        <v>1</v>
      </c>
      <c r="C48" s="1" t="s">
        <v>2</v>
      </c>
      <c r="D48" s="1" t="s">
        <v>3</v>
      </c>
      <c r="E48" s="1"/>
      <c r="F48" s="1" t="s">
        <v>4</v>
      </c>
      <c r="G48" s="1" t="s">
        <v>5</v>
      </c>
      <c r="H48" s="1" t="s">
        <v>6</v>
      </c>
      <c r="I48" s="1" t="s">
        <v>7</v>
      </c>
      <c r="K48" s="1" t="s">
        <v>0</v>
      </c>
      <c r="L48" s="1" t="s">
        <v>1</v>
      </c>
      <c r="M48" s="1" t="s">
        <v>2</v>
      </c>
      <c r="N48" s="1" t="s">
        <v>3</v>
      </c>
      <c r="O48" s="1"/>
      <c r="P48" s="1" t="s">
        <v>4</v>
      </c>
      <c r="Q48" s="1" t="s">
        <v>5</v>
      </c>
      <c r="R48" s="1" t="s">
        <v>6</v>
      </c>
      <c r="S48" s="1" t="s">
        <v>7</v>
      </c>
    </row>
    <row r="49" spans="1:19" x14ac:dyDescent="0.3">
      <c r="A49" s="1">
        <v>1</v>
      </c>
      <c r="B49" s="1" t="s">
        <v>8</v>
      </c>
      <c r="C49" s="1" t="s">
        <v>9</v>
      </c>
      <c r="D49" s="1">
        <f>80*10</f>
        <v>800</v>
      </c>
      <c r="E49" s="1" t="s">
        <v>10</v>
      </c>
      <c r="F49" s="1">
        <f>ROUNDUP(((80*10^3)/12),2)</f>
        <v>6666.67</v>
      </c>
      <c r="G49" s="1">
        <v>22.5</v>
      </c>
      <c r="H49" s="1">
        <f>G49^2</f>
        <v>506.25</v>
      </c>
      <c r="I49" s="1">
        <f>ROUNDUP((F49+(H49*D49)),2)</f>
        <v>411666.67</v>
      </c>
      <c r="K49" s="1">
        <v>1</v>
      </c>
      <c r="L49" s="1" t="s">
        <v>8</v>
      </c>
      <c r="M49" s="1" t="s">
        <v>15</v>
      </c>
      <c r="N49" s="1">
        <f>80*90</f>
        <v>7200</v>
      </c>
      <c r="O49" s="1" t="s">
        <v>10</v>
      </c>
      <c r="P49" s="1">
        <f>ROUNDUP(((80*90^3)/12),2)</f>
        <v>4860000</v>
      </c>
      <c r="Q49" s="1">
        <v>17.5</v>
      </c>
      <c r="R49" s="1">
        <f>Q49^2</f>
        <v>306.25</v>
      </c>
      <c r="S49" s="1">
        <f>ROUNDUP((P49+(R49*N49)),2)</f>
        <v>7065000</v>
      </c>
    </row>
    <row r="50" spans="1:19" x14ac:dyDescent="0.3">
      <c r="A50" s="1">
        <v>2</v>
      </c>
      <c r="B50" s="1" t="s">
        <v>8</v>
      </c>
      <c r="C50" s="1" t="s">
        <v>16</v>
      </c>
      <c r="D50" s="1">
        <f>10*80</f>
        <v>800</v>
      </c>
      <c r="E50" s="1" t="s">
        <v>10</v>
      </c>
      <c r="F50" s="1">
        <f>ROUNDUP(((10*80^3)/12),2)</f>
        <v>426666.67</v>
      </c>
      <c r="G50" s="1">
        <v>22.5</v>
      </c>
      <c r="H50" s="1">
        <f t="shared" ref="H50" si="3">G50^2</f>
        <v>506.25</v>
      </c>
      <c r="I50" s="1">
        <f t="shared" ref="I50" si="4">ROUNDUP((F50+(H50*D50)),2)</f>
        <v>831666.67</v>
      </c>
      <c r="K50" s="1">
        <v>2</v>
      </c>
      <c r="L50" s="1" t="s">
        <v>8</v>
      </c>
      <c r="M50" s="1" t="s">
        <v>17</v>
      </c>
      <c r="N50" s="1">
        <f>35*80</f>
        <v>2800</v>
      </c>
      <c r="O50" s="1" t="s">
        <v>10</v>
      </c>
      <c r="P50" s="1">
        <f>ROUNDUP(((35*80^3)/12),2)</f>
        <v>1493333.34</v>
      </c>
      <c r="Q50" s="1">
        <v>22.5</v>
      </c>
      <c r="R50" s="1">
        <f t="shared" ref="R50:R51" si="5">Q50^2</f>
        <v>506.25</v>
      </c>
      <c r="S50" s="1">
        <f>ROUNDUP((P50+(R50*N50)),2)*-1</f>
        <v>-2910833.34</v>
      </c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K51" s="1">
        <v>2</v>
      </c>
      <c r="L51" s="1" t="s">
        <v>8</v>
      </c>
      <c r="M51" s="1" t="s">
        <v>17</v>
      </c>
      <c r="N51" s="1">
        <f>35*80</f>
        <v>2800</v>
      </c>
      <c r="O51" s="1" t="s">
        <v>10</v>
      </c>
      <c r="P51" s="1">
        <f>ROUNDUP(((35*80^3)/12),2)</f>
        <v>1493333.34</v>
      </c>
      <c r="Q51" s="1">
        <v>22.5</v>
      </c>
      <c r="R51" s="1">
        <f t="shared" si="5"/>
        <v>506.25</v>
      </c>
      <c r="S51" s="1">
        <f>ROUNDUP((P51+(R51*N51)),2)*-1</f>
        <v>-2910833.34</v>
      </c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3"/>
      <c r="B53" s="3"/>
      <c r="C53" s="3"/>
      <c r="D53" s="3"/>
      <c r="E53" s="3"/>
      <c r="F53" s="3"/>
      <c r="G53" s="3"/>
      <c r="H53" s="3"/>
      <c r="I53" s="1">
        <f>SUM(I49:I52)</f>
        <v>1243333.3400000001</v>
      </c>
      <c r="K53" s="3"/>
      <c r="L53" s="3"/>
      <c r="M53" s="3"/>
      <c r="N53" s="3"/>
      <c r="O53" s="3"/>
      <c r="P53" s="3"/>
      <c r="Q53" s="3"/>
      <c r="R53" s="3"/>
      <c r="S53" s="1">
        <f>SUM(S49:S52)</f>
        <v>1243333.3200000003</v>
      </c>
    </row>
    <row r="81" spans="11:20" x14ac:dyDescent="0.3">
      <c r="K81" s="1" t="s">
        <v>0</v>
      </c>
      <c r="L81" s="1" t="s">
        <v>1</v>
      </c>
      <c r="M81" s="1" t="s">
        <v>2</v>
      </c>
      <c r="N81" s="1" t="s">
        <v>3</v>
      </c>
      <c r="O81" s="1"/>
      <c r="P81" s="1" t="s">
        <v>4</v>
      </c>
      <c r="Q81" s="1" t="s">
        <v>5</v>
      </c>
      <c r="R81" s="1" t="s">
        <v>6</v>
      </c>
      <c r="S81" s="1" t="s">
        <v>7</v>
      </c>
    </row>
    <row r="82" spans="11:20" x14ac:dyDescent="0.3">
      <c r="K82" s="1">
        <v>1</v>
      </c>
      <c r="L82" s="1" t="s">
        <v>8</v>
      </c>
      <c r="M82" s="1" t="s">
        <v>18</v>
      </c>
      <c r="N82" s="1">
        <f>120*60</f>
        <v>7200</v>
      </c>
      <c r="O82" s="1" t="s">
        <v>10</v>
      </c>
      <c r="P82" s="1">
        <f>ROUNDUP(((120*60^3)/12),2)</f>
        <v>2160000</v>
      </c>
      <c r="Q82" s="1">
        <v>10</v>
      </c>
      <c r="R82" s="1">
        <f>Q82^2</f>
        <v>100</v>
      </c>
      <c r="S82" s="1">
        <f>ROUNDUP((P82+(R82*N82)),2)</f>
        <v>2880000</v>
      </c>
    </row>
    <row r="83" spans="11:20" x14ac:dyDescent="0.3">
      <c r="K83" s="1">
        <v>2</v>
      </c>
      <c r="L83" s="1" t="s">
        <v>19</v>
      </c>
      <c r="M83" s="1" t="s">
        <v>20</v>
      </c>
      <c r="N83" s="1">
        <f>(0.5*30*60)</f>
        <v>900</v>
      </c>
      <c r="O83" s="1" t="s">
        <v>21</v>
      </c>
      <c r="P83" s="1">
        <f>ROUNDUP(((30*60^3)/36),2)</f>
        <v>180000</v>
      </c>
      <c r="Q83" s="1">
        <v>0</v>
      </c>
      <c r="R83" s="1">
        <f t="shared" ref="R83:R85" si="6">Q83^2</f>
        <v>0</v>
      </c>
      <c r="S83" s="1">
        <f>ROUNDUP((P83+(R83*N83)),2)*-1</f>
        <v>-180000</v>
      </c>
    </row>
    <row r="84" spans="11:20" x14ac:dyDescent="0.3">
      <c r="K84" s="1">
        <v>3</v>
      </c>
      <c r="L84" s="1" t="s">
        <v>19</v>
      </c>
      <c r="M84" s="1" t="s">
        <v>20</v>
      </c>
      <c r="N84" s="1">
        <f>(0.5*30*60)</f>
        <v>900</v>
      </c>
      <c r="O84" s="1" t="s">
        <v>21</v>
      </c>
      <c r="P84" s="1">
        <f>ROUNDUP(((30*60^3)/36),2)</f>
        <v>180000</v>
      </c>
      <c r="Q84" s="1">
        <v>0</v>
      </c>
      <c r="R84" s="1">
        <f t="shared" si="6"/>
        <v>0</v>
      </c>
      <c r="S84" s="1">
        <f>ROUNDUP((P84+(R84*N84)),2)*-1</f>
        <v>-180000</v>
      </c>
    </row>
    <row r="85" spans="11:20" x14ac:dyDescent="0.3">
      <c r="K85" s="1">
        <v>4</v>
      </c>
      <c r="L85" s="1" t="s">
        <v>22</v>
      </c>
      <c r="M85" s="1" t="s">
        <v>23</v>
      </c>
      <c r="N85" s="1">
        <f>((PI())*40^2)/2</f>
        <v>2513.2741228718346</v>
      </c>
      <c r="O85" s="1"/>
      <c r="P85" s="1">
        <f>S89</f>
        <v>280977.81925495248</v>
      </c>
      <c r="Q85" s="1">
        <f>40-((4*40)/(3*PI()))</f>
        <v>23.023472736864498</v>
      </c>
      <c r="R85" s="1">
        <f t="shared" si="6"/>
        <v>530.08029686514283</v>
      </c>
      <c r="S85" s="1">
        <f>ROUNDUP((P85+(R85*N85)),2)*-1</f>
        <v>-1613214.92</v>
      </c>
    </row>
    <row r="86" spans="11:20" x14ac:dyDescent="0.3">
      <c r="K86" s="3"/>
      <c r="L86" s="3"/>
      <c r="M86" s="3"/>
      <c r="N86" s="3"/>
      <c r="O86" s="3"/>
      <c r="P86" s="3"/>
      <c r="Q86" s="3"/>
      <c r="R86" s="3"/>
      <c r="S86" s="1">
        <f>SUM(S82:S85)</f>
        <v>906785.08000000007</v>
      </c>
      <c r="T86" t="s">
        <v>12</v>
      </c>
    </row>
    <row r="87" spans="11:20" x14ac:dyDescent="0.3">
      <c r="O87" s="7" t="s">
        <v>24</v>
      </c>
    </row>
    <row r="88" spans="11:20" x14ac:dyDescent="0.3">
      <c r="O88" s="8"/>
      <c r="S88" t="s">
        <v>25</v>
      </c>
    </row>
    <row r="89" spans="11:20" x14ac:dyDescent="0.3">
      <c r="L89" s="1" t="s">
        <v>22</v>
      </c>
      <c r="M89" s="1" t="s">
        <v>23</v>
      </c>
      <c r="N89">
        <f>((PI())*40^2)/2</f>
        <v>2513.2741228718346</v>
      </c>
      <c r="O89" t="s">
        <v>26</v>
      </c>
      <c r="P89">
        <f>((PI())*40^4)/8</f>
        <v>1005309.6491487338</v>
      </c>
      <c r="Q89">
        <f>4*40/(3*(PI()))</f>
        <v>16.976527263135502</v>
      </c>
      <c r="R89">
        <f>Q89^2</f>
        <v>288.20247791598297</v>
      </c>
      <c r="S89">
        <f>P89-(N89*R89)</f>
        <v>280977.81925495248</v>
      </c>
    </row>
    <row r="102" spans="1:10" x14ac:dyDescent="0.3">
      <c r="A102" s="1" t="s">
        <v>0</v>
      </c>
      <c r="B102" s="1" t="s">
        <v>1</v>
      </c>
      <c r="C102" s="1" t="s">
        <v>2</v>
      </c>
      <c r="D102" s="1" t="s">
        <v>3</v>
      </c>
      <c r="E102" s="1"/>
      <c r="F102" s="1" t="s">
        <v>4</v>
      </c>
      <c r="G102" s="1" t="s">
        <v>5</v>
      </c>
      <c r="H102" s="1" t="s">
        <v>6</v>
      </c>
      <c r="I102" s="1" t="s">
        <v>7</v>
      </c>
    </row>
    <row r="103" spans="1:10" x14ac:dyDescent="0.3">
      <c r="A103" s="1">
        <v>1</v>
      </c>
      <c r="B103" s="1" t="s">
        <v>8</v>
      </c>
      <c r="C103" s="1" t="s">
        <v>27</v>
      </c>
      <c r="D103" s="1">
        <f>60*90</f>
        <v>5400</v>
      </c>
      <c r="E103" s="1" t="s">
        <v>10</v>
      </c>
      <c r="F103" s="1">
        <f>ROUNDUP(((60*90^3)/12),2)</f>
        <v>3645000</v>
      </c>
      <c r="G103" s="1">
        <v>25</v>
      </c>
      <c r="H103" s="1">
        <f>G103^2</f>
        <v>625</v>
      </c>
      <c r="I103" s="1">
        <f>ROUNDUP((F103+(H103*D103)),2)</f>
        <v>7020000</v>
      </c>
    </row>
    <row r="104" spans="1:10" x14ac:dyDescent="0.3">
      <c r="A104" s="1">
        <v>2</v>
      </c>
      <c r="B104" s="1" t="s">
        <v>19</v>
      </c>
      <c r="C104" s="1" t="s">
        <v>28</v>
      </c>
      <c r="D104" s="1">
        <f>(0.5*40*90)</f>
        <v>1800</v>
      </c>
      <c r="E104" s="1" t="s">
        <v>21</v>
      </c>
      <c r="F104" s="1">
        <f>ROUNDUP(((40*90^3)/36),2)</f>
        <v>810000</v>
      </c>
      <c r="G104" s="1">
        <v>40</v>
      </c>
      <c r="H104" s="1">
        <f t="shared" ref="H104:H106" si="7">G104^2</f>
        <v>1600</v>
      </c>
      <c r="I104" s="1">
        <f>ROUNDUP((F104+(H104*D104)),2)</f>
        <v>3690000</v>
      </c>
    </row>
    <row r="105" spans="1:10" x14ac:dyDescent="0.3">
      <c r="A105" s="1"/>
      <c r="B105" s="1"/>
      <c r="C105" s="1"/>
      <c r="D105" s="1"/>
      <c r="E105" s="1"/>
      <c r="F105" s="1"/>
      <c r="G105" s="1"/>
      <c r="H105" s="1"/>
      <c r="I105" s="1"/>
    </row>
    <row r="106" spans="1:10" x14ac:dyDescent="0.3">
      <c r="A106" s="1">
        <v>3</v>
      </c>
      <c r="B106" s="1" t="s">
        <v>22</v>
      </c>
      <c r="C106" s="1" t="s">
        <v>29</v>
      </c>
      <c r="D106" s="1">
        <f>((PI())*30^2)/2</f>
        <v>1413.7166941154069</v>
      </c>
      <c r="E106" s="1"/>
      <c r="F106" s="1">
        <f>I110</f>
        <v>88903.138123637211</v>
      </c>
      <c r="G106" s="1">
        <f>20+((4*30)/(3*PI()))</f>
        <v>32.732395447351628</v>
      </c>
      <c r="H106" s="1">
        <f t="shared" si="7"/>
        <v>1071.4097117218055</v>
      </c>
      <c r="I106" s="1">
        <f>ROUNDUP((F106+(H106*D106)),2)</f>
        <v>1603572.94</v>
      </c>
    </row>
    <row r="107" spans="1:10" x14ac:dyDescent="0.3">
      <c r="A107" s="3"/>
      <c r="B107" s="3"/>
      <c r="C107" s="3"/>
      <c r="D107" s="3"/>
      <c r="E107" s="3"/>
      <c r="F107" s="3"/>
      <c r="G107" s="3"/>
      <c r="H107" s="3"/>
      <c r="I107" s="1">
        <f>SUM(I103:I106)</f>
        <v>12313572.939999999</v>
      </c>
      <c r="J107" t="s">
        <v>12</v>
      </c>
    </row>
    <row r="108" spans="1:10" x14ac:dyDescent="0.3">
      <c r="E108" s="7" t="s">
        <v>24</v>
      </c>
    </row>
    <row r="109" spans="1:10" x14ac:dyDescent="0.3">
      <c r="E109" s="8"/>
      <c r="I109" t="s">
        <v>25</v>
      </c>
    </row>
    <row r="110" spans="1:10" x14ac:dyDescent="0.3">
      <c r="B110" s="1" t="s">
        <v>22</v>
      </c>
      <c r="C110" s="1" t="s">
        <v>23</v>
      </c>
      <c r="D110">
        <f>((PI())*30^2)/2</f>
        <v>1413.7166941154069</v>
      </c>
      <c r="E110" t="s">
        <v>26</v>
      </c>
      <c r="F110">
        <f>((PI()*30^4))/8</f>
        <v>318086.25617596653</v>
      </c>
      <c r="G110">
        <f>4*30/(3*(PI()))</f>
        <v>12.732395447351628</v>
      </c>
      <c r="H110">
        <f>G110^2</f>
        <v>162.11389382774047</v>
      </c>
      <c r="I110">
        <f>F110-(D110*H110)</f>
        <v>88903.138123637211</v>
      </c>
    </row>
    <row r="129" spans="11:20" x14ac:dyDescent="0.3">
      <c r="K129" s="1" t="s">
        <v>0</v>
      </c>
      <c r="L129" s="1" t="s">
        <v>1</v>
      </c>
      <c r="M129" s="1" t="s">
        <v>2</v>
      </c>
      <c r="N129" s="1" t="s">
        <v>3</v>
      </c>
      <c r="O129" s="1"/>
      <c r="P129" s="1" t="s">
        <v>4</v>
      </c>
      <c r="Q129" s="1" t="s">
        <v>5</v>
      </c>
      <c r="R129" s="1" t="s">
        <v>6</v>
      </c>
      <c r="S129" s="1" t="s">
        <v>7</v>
      </c>
    </row>
    <row r="130" spans="11:20" x14ac:dyDescent="0.3">
      <c r="K130" s="1">
        <v>1</v>
      </c>
      <c r="L130" s="1" t="s">
        <v>30</v>
      </c>
      <c r="M130" s="1" t="s">
        <v>31</v>
      </c>
      <c r="N130" s="1">
        <f>40*40</f>
        <v>1600</v>
      </c>
      <c r="O130" s="1" t="s">
        <v>10</v>
      </c>
      <c r="P130" s="1">
        <f>ROUNDUP(((40*40^3)/12),2)</f>
        <v>213333.34</v>
      </c>
      <c r="Q130" s="1">
        <f>60+(40/2)</f>
        <v>80</v>
      </c>
      <c r="R130" s="1">
        <f>Q130^2</f>
        <v>6400</v>
      </c>
      <c r="S130" s="1">
        <f>ROUNDUP((P130+(R130*N130)),2)</f>
        <v>10453333.34</v>
      </c>
    </row>
    <row r="131" spans="11:20" x14ac:dyDescent="0.3">
      <c r="K131" s="1">
        <v>2</v>
      </c>
      <c r="L131" s="1" t="s">
        <v>19</v>
      </c>
      <c r="M131" s="1" t="s">
        <v>32</v>
      </c>
      <c r="N131" s="1">
        <f>(0.5*60*40)</f>
        <v>1200</v>
      </c>
      <c r="O131" s="1" t="s">
        <v>21</v>
      </c>
      <c r="P131" s="1">
        <f>ROUNDUP(((60*40^3)/36),2)</f>
        <v>106666.67</v>
      </c>
      <c r="Q131" s="1">
        <f>(2/3)*60</f>
        <v>40</v>
      </c>
      <c r="R131" s="1">
        <f t="shared" ref="R131:R133" si="8">Q131^2</f>
        <v>1600</v>
      </c>
      <c r="S131" s="1">
        <f>ROUNDUP((P131+(R131*N131)),2)</f>
        <v>2026666.67</v>
      </c>
    </row>
    <row r="132" spans="11:20" x14ac:dyDescent="0.3">
      <c r="K132" s="1"/>
      <c r="L132" s="1"/>
      <c r="M132" s="1"/>
      <c r="N132" s="1"/>
      <c r="O132" s="1"/>
      <c r="P132" s="1"/>
      <c r="Q132" s="1"/>
      <c r="R132" s="1"/>
      <c r="S132" s="1"/>
    </row>
    <row r="133" spans="11:20" x14ac:dyDescent="0.3">
      <c r="K133" s="1">
        <v>4</v>
      </c>
      <c r="L133" s="1" t="s">
        <v>33</v>
      </c>
      <c r="M133" s="1" t="s">
        <v>23</v>
      </c>
      <c r="N133" s="1">
        <f>((PI())*40^2)/4</f>
        <v>1256.6370614359173</v>
      </c>
      <c r="O133" s="1" t="s">
        <v>34</v>
      </c>
      <c r="P133" s="1">
        <f>S139</f>
        <v>140488.90962747624</v>
      </c>
      <c r="Q133" s="1">
        <f>60+40-((4*40)/(3*PI()))</f>
        <v>83.023472736864505</v>
      </c>
      <c r="R133" s="1">
        <f t="shared" si="8"/>
        <v>6892.8970252888839</v>
      </c>
      <c r="S133" s="1">
        <f>ROUNDUP((P133+(R133*N133)),2)*-1</f>
        <v>-8802358.7799999993</v>
      </c>
    </row>
    <row r="134" spans="11:20" x14ac:dyDescent="0.3">
      <c r="K134" s="3"/>
      <c r="L134" s="3"/>
      <c r="M134" s="3"/>
      <c r="N134" s="3"/>
      <c r="O134" s="3"/>
      <c r="P134" s="3"/>
      <c r="Q134" s="3"/>
      <c r="R134" s="3"/>
      <c r="S134" s="1">
        <f>SUM(S130:S133)</f>
        <v>3677641.2300000004</v>
      </c>
      <c r="T134" t="s">
        <v>12</v>
      </c>
    </row>
    <row r="137" spans="11:20" ht="15" customHeight="1" x14ac:dyDescent="0.3">
      <c r="O137" s="4" t="s">
        <v>24</v>
      </c>
    </row>
    <row r="138" spans="11:20" x14ac:dyDescent="0.3">
      <c r="O138" s="5"/>
      <c r="S138" t="s">
        <v>25</v>
      </c>
    </row>
    <row r="139" spans="11:20" x14ac:dyDescent="0.3">
      <c r="L139" s="1" t="s">
        <v>33</v>
      </c>
      <c r="M139" s="1" t="s">
        <v>23</v>
      </c>
      <c r="N139">
        <f>((PI())*40^2)/4</f>
        <v>1256.6370614359173</v>
      </c>
      <c r="O139" t="s">
        <v>35</v>
      </c>
      <c r="P139">
        <f>((PI()*40^4))/16</f>
        <v>502654.82457436691</v>
      </c>
      <c r="Q139">
        <f>4*40/(3*(PI()))</f>
        <v>16.976527263135502</v>
      </c>
      <c r="R139">
        <f>Q139^2</f>
        <v>288.20247791598297</v>
      </c>
      <c r="S139">
        <f>P139-(N139*R139)</f>
        <v>140488.90962747624</v>
      </c>
    </row>
    <row r="158" spans="1:9" x14ac:dyDescent="0.3">
      <c r="A158" t="s">
        <v>36</v>
      </c>
      <c r="B158">
        <v>3.5</v>
      </c>
    </row>
    <row r="160" spans="1:9" x14ac:dyDescent="0.3">
      <c r="A160" s="1" t="s">
        <v>0</v>
      </c>
      <c r="B160" s="1" t="s">
        <v>1</v>
      </c>
      <c r="C160" s="1" t="s">
        <v>2</v>
      </c>
      <c r="D160" s="1" t="s">
        <v>3</v>
      </c>
      <c r="E160" s="1"/>
      <c r="F160" s="1" t="s">
        <v>4</v>
      </c>
      <c r="G160" s="1" t="s">
        <v>5</v>
      </c>
      <c r="H160" s="1" t="s">
        <v>6</v>
      </c>
      <c r="I160" s="1" t="s">
        <v>7</v>
      </c>
    </row>
    <row r="161" spans="1:9" x14ac:dyDescent="0.3">
      <c r="A161" s="1">
        <v>1</v>
      </c>
      <c r="B161" s="1" t="s">
        <v>8</v>
      </c>
      <c r="C161" s="1" t="s">
        <v>37</v>
      </c>
      <c r="D161" s="1">
        <f>2*8</f>
        <v>16</v>
      </c>
      <c r="E161" s="1" t="s">
        <v>10</v>
      </c>
      <c r="F161" s="1">
        <f>ROUNDUP(((2*8^3)/12),2)</f>
        <v>85.34</v>
      </c>
      <c r="G161" s="1">
        <v>2.5</v>
      </c>
      <c r="H161" s="1">
        <f>G161^2</f>
        <v>6.25</v>
      </c>
      <c r="I161" s="1">
        <f>ROUNDUP((F161+(H161*D161)),2)</f>
        <v>185.34</v>
      </c>
    </row>
    <row r="162" spans="1:9" x14ac:dyDescent="0.3">
      <c r="A162" s="1">
        <v>2</v>
      </c>
      <c r="B162" s="1" t="s">
        <v>8</v>
      </c>
      <c r="C162" s="1" t="s">
        <v>38</v>
      </c>
      <c r="D162" s="1">
        <f>8*2</f>
        <v>16</v>
      </c>
      <c r="E162" s="1" t="s">
        <v>10</v>
      </c>
      <c r="F162" s="1">
        <f>ROUNDUP(((8*2^3)/12),2)</f>
        <v>5.34</v>
      </c>
      <c r="G162" s="1">
        <v>2.5</v>
      </c>
      <c r="H162" s="1">
        <f t="shared" ref="H162" si="9">G162^2</f>
        <v>6.25</v>
      </c>
      <c r="I162" s="1">
        <f t="shared" ref="I162" si="10">ROUNDUP((F162+(H162*D162)),2)</f>
        <v>105.34</v>
      </c>
    </row>
    <row r="163" spans="1:9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1">
        <f>SUM(I161:I164)</f>
        <v>290.68</v>
      </c>
    </row>
  </sheetData>
  <mergeCells count="4">
    <mergeCell ref="K12:R12"/>
    <mergeCell ref="K21:R21"/>
    <mergeCell ref="O87:O88"/>
    <mergeCell ref="E108:E10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3:T12"/>
  <sheetViews>
    <sheetView topLeftCell="B1" workbookViewId="0">
      <selection activeCell="T13" sqref="T13"/>
    </sheetView>
  </sheetViews>
  <sheetFormatPr defaultRowHeight="14.4" x14ac:dyDescent="0.3"/>
  <cols>
    <col min="14" max="14" width="10.5546875" bestFit="1" customWidth="1"/>
  </cols>
  <sheetData>
    <row r="3" spans="14:20" x14ac:dyDescent="0.3">
      <c r="P3" t="s">
        <v>39</v>
      </c>
      <c r="Q3" t="s">
        <v>40</v>
      </c>
      <c r="R3" t="s">
        <v>41</v>
      </c>
      <c r="S3" t="s">
        <v>42</v>
      </c>
      <c r="T3" t="s">
        <v>43</v>
      </c>
    </row>
    <row r="4" spans="14:20" x14ac:dyDescent="0.3">
      <c r="N4" t="s">
        <v>8</v>
      </c>
      <c r="O4" t="s">
        <v>44</v>
      </c>
      <c r="P4">
        <f>200*100</f>
        <v>20000</v>
      </c>
      <c r="Q4">
        <f>200/2</f>
        <v>100</v>
      </c>
      <c r="R4">
        <f>100/2</f>
        <v>50</v>
      </c>
      <c r="S4">
        <f>P4*Q4</f>
        <v>2000000</v>
      </c>
      <c r="T4">
        <f>R4*P4</f>
        <v>1000000</v>
      </c>
    </row>
    <row r="5" spans="14:20" x14ac:dyDescent="0.3">
      <c r="N5" t="s">
        <v>45</v>
      </c>
      <c r="O5" t="s">
        <v>46</v>
      </c>
      <c r="P5">
        <f>(PI()*50^2)/2</f>
        <v>3926.9908169872415</v>
      </c>
      <c r="Q5">
        <f>(200+((4*50)/(3*PI())))</f>
        <v>221.22065907891937</v>
      </c>
      <c r="R5">
        <v>50</v>
      </c>
      <c r="S5">
        <f t="shared" ref="S5:S6" si="0">P5*Q5</f>
        <v>868731.49673078163</v>
      </c>
      <c r="T5">
        <f t="shared" ref="T5:T6" si="1">R5*P5</f>
        <v>196349.54084936206</v>
      </c>
    </row>
    <row r="6" spans="14:20" x14ac:dyDescent="0.3">
      <c r="N6" t="s">
        <v>47</v>
      </c>
      <c r="O6" t="s">
        <v>48</v>
      </c>
      <c r="P6">
        <f>-(PI()*25^2)</f>
        <v>-1963.4954084936207</v>
      </c>
      <c r="Q6">
        <v>200</v>
      </c>
      <c r="R6">
        <f>50+(50/2)</f>
        <v>75</v>
      </c>
      <c r="S6">
        <f t="shared" si="0"/>
        <v>-392699.08169872413</v>
      </c>
      <c r="T6">
        <f t="shared" si="1"/>
        <v>-147262.15563702155</v>
      </c>
    </row>
    <row r="8" spans="14:20" x14ac:dyDescent="0.3">
      <c r="S8" t="s">
        <v>42</v>
      </c>
      <c r="T8" t="s">
        <v>43</v>
      </c>
    </row>
    <row r="9" spans="14:20" x14ac:dyDescent="0.3">
      <c r="O9" t="s">
        <v>49</v>
      </c>
      <c r="P9" s="2">
        <f>SUM(P4:P6)</f>
        <v>21963.495408493622</v>
      </c>
      <c r="S9">
        <f>SUM(S4:S6)</f>
        <v>2476032.4150320576</v>
      </c>
      <c r="T9">
        <f>SUM(T4:T6)</f>
        <v>1049087.3852123404</v>
      </c>
    </row>
    <row r="11" spans="14:20" x14ac:dyDescent="0.3">
      <c r="S11" t="s">
        <v>50</v>
      </c>
      <c r="T11" t="s">
        <v>51</v>
      </c>
    </row>
    <row r="12" spans="14:20" x14ac:dyDescent="0.3">
      <c r="S12">
        <f>S9/P9</f>
        <v>112.73398741780134</v>
      </c>
      <c r="T12">
        <f>T9/P9</f>
        <v>47.765046760573554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7E645127E3484CA6EFAF83CE6F70F3" ma:contentTypeVersion="3" ma:contentTypeDescription="Create a new document." ma:contentTypeScope="" ma:versionID="b1720a58ecb3acd4e23e030f4fc2a689">
  <xsd:schema xmlns:xsd="http://www.w3.org/2001/XMLSchema" xmlns:xs="http://www.w3.org/2001/XMLSchema" xmlns:p="http://schemas.microsoft.com/office/2006/metadata/properties" xmlns:ns2="73dfd77f-ca1c-43da-bc19-1d2b913e4946" targetNamespace="http://schemas.microsoft.com/office/2006/metadata/properties" ma:root="true" ma:fieldsID="da068b730cf06f5228b951512cdca189" ns2:_="">
    <xsd:import namespace="73dfd77f-ca1c-43da-bc19-1d2b913e49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fd77f-ca1c-43da-bc19-1d2b913e4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CE8A6B-8C3A-486C-8704-7A36BF54A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fd77f-ca1c-43da-bc19-1d2b913e49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135D58-C5E1-4ABA-BBE4-57155C70F9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28CEA0-57D8-4EB2-BD54-7609F845FC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Siva kesav</cp:lastModifiedBy>
  <cp:revision/>
  <dcterms:created xsi:type="dcterms:W3CDTF">2020-05-21T04:59:41Z</dcterms:created>
  <dcterms:modified xsi:type="dcterms:W3CDTF">2022-02-25T17:49:53Z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0x010100287E645127E3484CA6EFAF83CE6F70F3</vt:lpwstr>
  </property>
</Properties>
</file>